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8_{DD9CE903-3184-424A-A0A3-00D8C455ABC5}" xr6:coauthVersionLast="47" xr6:coauthVersionMax="47" xr10:uidLastSave="{00000000-0000-0000-0000-000000000000}"/>
  <bookViews>
    <workbookView xWindow="-120" yWindow="-120" windowWidth="29040" windowHeight="17520" tabRatio="841" xr2:uid="{0389AE18-5C7D-4D0C-BA1C-93B9A55A8763}"/>
  </bookViews>
  <sheets>
    <sheet name="1. Titelblad" sheetId="9" r:id="rId1"/>
    <sheet name="2. Toelichting" sheetId="10" r:id="rId2"/>
    <sheet name="3. Bronnen en toepassingen" sheetId="11" r:id="rId3"/>
    <sheet name="4. Totale inkomsten 2027" sheetId="21" r:id="rId4"/>
    <sheet name="5. Tarieven en RV 2027" sheetId="24" r:id="rId5"/>
    <sheet name="Input (Dataverzoek TenneT) --&gt;" sheetId="25" r:id="rId6"/>
    <sheet name="6. Correcties en prognoses" sheetId="26" r:id="rId7"/>
    <sheet name="7. Spreiding nacalculaties 2025" sheetId="61" r:id="rId8"/>
    <sheet name="8. Voorstel tarieven en RV" sheetId="28" r:id="rId9"/>
    <sheet name="Input (Data door ACM) --&gt;" sheetId="13" r:id="rId10"/>
    <sheet name="9. Parameters" sheetId="30" r:id="rId11"/>
    <sheet name="10. Brondata" sheetId="31" r:id="rId12"/>
    <sheet name="11. Tarieven, RV en omzet" sheetId="32" r:id="rId13"/>
    <sheet name="12. Input inv. &lt;= 10 jaar" sheetId="58" r:id="rId14"/>
    <sheet name="Input (Database) --&gt;" sheetId="48" r:id="rId15"/>
    <sheet name="13. Input desinvesteringen" sheetId="43" r:id="rId16"/>
    <sheet name="14. Realisaties IKE&amp;V" sheetId="49" r:id="rId17"/>
    <sheet name="15. Realisaties IKTNN" sheetId="50" r:id="rId18"/>
    <sheet name="Berekeningen --&gt;" sheetId="15" r:id="rId19"/>
    <sheet name="16. Berekening parameters" sheetId="33" r:id="rId20"/>
    <sheet name="17. Correctie IKE&amp;V" sheetId="36" r:id="rId21"/>
    <sheet name="18. Correcties OA&amp;M en IKTNN" sheetId="38" r:id="rId22"/>
    <sheet name="19. Correctie desinvesteringen" sheetId="44" r:id="rId23"/>
    <sheet name="20. Correctie bijschatten" sheetId="54" r:id="rId24"/>
    <sheet name="21. Correctie afloopinv. WUI" sheetId="47" r:id="rId25"/>
    <sheet name="22. Correctie WACC" sheetId="51" r:id="rId26"/>
    <sheet name="23. Correctie inv. &lt;= 10 jaar" sheetId="59" r:id="rId27"/>
    <sheet name="24. Omzetcorrectie" sheetId="40" r:id="rId28"/>
    <sheet name="25. Overige correcties" sheetId="39" r:id="rId29"/>
    <sheet name="26. Controle tarieven" sheetId="42" r:id="rId30"/>
  </sheets>
  <definedNames>
    <definedName name="_xlnm._FilterDatabase" localSheetId="15" hidden="1">'13. Input desinvesteringen'!$B$16:$K$16</definedName>
    <definedName name="_xlnm._FilterDatabase" localSheetId="22" hidden="1">'19. Correctie desinvesteringen'!$J$104:$Z$116</definedName>
    <definedName name="_xlnm.Print_Area" localSheetId="6">'6. Correcties en prognoses'!$B$1:$AO$53</definedName>
    <definedName name="AS2DocOpenMode" hidden="1">"AS2DocumentEdit"</definedName>
    <definedName name="ExternalData_1" localSheetId="16" hidden="1">'14. Realisaties IKE&amp;V'!$B$17:$F$96</definedName>
    <definedName name="ExternalData_1" localSheetId="17" hidden="1">'15. Realisaties IKTNN'!$B$16:$E$32</definedName>
    <definedName name="ExternalData_2" localSheetId="17" hidden="1">'15. Realisaties IKTNN'!$F$17:$I$28</definedName>
    <definedName name="SAPBEXhrIndnt" hidden="1">"Wide"</definedName>
    <definedName name="SAPsysID" hidden="1">"708C5W7SBKP804JT78WJ0JNKI"</definedName>
    <definedName name="SAPwbID" hidden="1">"ARS"</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36" i="42" l="1"/>
  <c r="P581" i="44"/>
  <c r="P580" i="44"/>
  <c r="P579" i="44"/>
  <c r="J52" i="21"/>
  <c r="J51" i="21"/>
  <c r="J28" i="21"/>
  <c r="K27" i="21"/>
  <c r="K57" i="21"/>
  <c r="J57" i="21"/>
  <c r="J56" i="21"/>
  <c r="K55" i="21"/>
  <c r="J55" i="21"/>
  <c r="J54" i="21"/>
  <c r="K53" i="21"/>
  <c r="J53" i="21"/>
  <c r="K51" i="21"/>
  <c r="J42" i="21"/>
  <c r="J41" i="21"/>
  <c r="K40" i="21"/>
  <c r="J40" i="21"/>
  <c r="J39" i="21"/>
  <c r="K38" i="21"/>
  <c r="J38" i="21"/>
  <c r="K37" i="21"/>
  <c r="J37" i="21"/>
  <c r="K36" i="21"/>
  <c r="J36" i="21"/>
  <c r="J35" i="21"/>
  <c r="K34" i="21"/>
  <c r="J34" i="21"/>
  <c r="J33" i="21" l="1"/>
  <c r="K33" i="21"/>
  <c r="H19" i="39" l="1"/>
  <c r="AJ54" i="39" l="1"/>
  <c r="H33" i="39"/>
  <c r="H32" i="39"/>
  <c r="H29" i="39" l="1"/>
  <c r="AK83" i="39" s="1"/>
  <c r="AK84" i="39" l="1"/>
  <c r="J31" i="61"/>
  <c r="J30" i="61"/>
  <c r="K29" i="61"/>
  <c r="J29" i="61"/>
  <c r="J27" i="61"/>
  <c r="J41" i="61"/>
  <c r="J40" i="61"/>
  <c r="K26" i="61"/>
  <c r="J70" i="61" l="1"/>
  <c r="J67" i="61"/>
  <c r="J71" i="61"/>
  <c r="J69" i="61"/>
  <c r="K69" i="61"/>
  <c r="B142" i="59"/>
  <c r="H142" i="59"/>
  <c r="I142" i="59"/>
  <c r="J142" i="59"/>
  <c r="K142" i="59"/>
  <c r="L142" i="59"/>
  <c r="M142" i="59"/>
  <c r="R142" i="59" s="1"/>
  <c r="N142" i="59"/>
  <c r="Q142" i="59" s="1"/>
  <c r="AP142" i="59" a="1"/>
  <c r="AP142" i="59" s="1"/>
  <c r="AM26" i="31"/>
  <c r="J28" i="61" s="1"/>
  <c r="AM24" i="31"/>
  <c r="K27" i="61" s="1"/>
  <c r="J68" i="61" l="1"/>
  <c r="K67" i="61"/>
  <c r="AN142" i="59" a="1"/>
  <c r="AN142" i="59" s="1"/>
  <c r="T142" i="59"/>
  <c r="S142" i="59"/>
  <c r="AQ142" i="59" a="1"/>
  <c r="AQ142" i="59" s="1"/>
  <c r="AO142" i="59" a="1"/>
  <c r="AO142" i="59" s="1"/>
  <c r="AL17" i="39"/>
  <c r="AL16" i="39"/>
  <c r="V142" i="59" l="1"/>
  <c r="AB142" i="59" s="1"/>
  <c r="AH142" i="59" s="1"/>
  <c r="Z142" i="59"/>
  <c r="AF142" i="59" s="1"/>
  <c r="Y142" i="59"/>
  <c r="AE142" i="59" s="1"/>
  <c r="W142" i="59"/>
  <c r="AC142" i="59" s="1"/>
  <c r="X142" i="59"/>
  <c r="AD142" i="59" s="1"/>
  <c r="AI142" i="59" l="1"/>
  <c r="AS142" i="59" s="1"/>
  <c r="J26" i="61"/>
  <c r="K25" i="61"/>
  <c r="J25" i="61"/>
  <c r="L18" i="42"/>
  <c r="M18" i="42"/>
  <c r="N18" i="42"/>
  <c r="O18" i="42"/>
  <c r="P18" i="42"/>
  <c r="L14" i="42"/>
  <c r="M14" i="42"/>
  <c r="N14" i="42"/>
  <c r="O14" i="42"/>
  <c r="P14" i="42"/>
  <c r="AJ142" i="59" l="1"/>
  <c r="J65" i="61"/>
  <c r="J66" i="61"/>
  <c r="K65" i="61"/>
  <c r="K66" i="61"/>
  <c r="M43" i="59"/>
  <c r="N43" i="59"/>
  <c r="M35" i="59"/>
  <c r="N35" i="59"/>
  <c r="H42" i="21"/>
  <c r="H41" i="21"/>
  <c r="P21" i="24"/>
  <c r="O21" i="24"/>
  <c r="N21" i="24"/>
  <c r="M21" i="24"/>
  <c r="L21" i="24"/>
  <c r="M17" i="24"/>
  <c r="N17" i="24"/>
  <c r="O17" i="24"/>
  <c r="P17" i="24"/>
  <c r="L17" i="24"/>
  <c r="B514" i="44"/>
  <c r="J514" i="44"/>
  <c r="K514" i="44"/>
  <c r="L514" i="44"/>
  <c r="M514" i="44"/>
  <c r="N514" i="44"/>
  <c r="Q514" i="44"/>
  <c r="R514" i="44"/>
  <c r="S514" i="44"/>
  <c r="B436" i="44"/>
  <c r="J436" i="44"/>
  <c r="K436" i="44"/>
  <c r="L436" i="44"/>
  <c r="M436" i="44"/>
  <c r="N436" i="44"/>
  <c r="Q436" i="44"/>
  <c r="R436" i="44"/>
  <c r="S436" i="44"/>
  <c r="B437" i="44"/>
  <c r="J437" i="44"/>
  <c r="K437" i="44"/>
  <c r="L437" i="44"/>
  <c r="M437" i="44"/>
  <c r="N437" i="44"/>
  <c r="Q437" i="44"/>
  <c r="R437" i="44"/>
  <c r="S437" i="44"/>
  <c r="B438" i="44"/>
  <c r="J438" i="44"/>
  <c r="K438" i="44"/>
  <c r="L438" i="44"/>
  <c r="M438" i="44"/>
  <c r="N438" i="44"/>
  <c r="Q438" i="44"/>
  <c r="R438" i="44"/>
  <c r="S438" i="44"/>
  <c r="B439" i="44"/>
  <c r="J439" i="44"/>
  <c r="K439" i="44"/>
  <c r="L439" i="44"/>
  <c r="M439" i="44"/>
  <c r="N439" i="44"/>
  <c r="Q439" i="44"/>
  <c r="R439" i="44"/>
  <c r="S439" i="44"/>
  <c r="B440" i="44"/>
  <c r="J440" i="44"/>
  <c r="K440" i="44"/>
  <c r="L440" i="44"/>
  <c r="M440" i="44"/>
  <c r="N440" i="44"/>
  <c r="Q440" i="44"/>
  <c r="R440" i="44"/>
  <c r="S440" i="44"/>
  <c r="B441" i="44"/>
  <c r="J441" i="44"/>
  <c r="K441" i="44"/>
  <c r="L441" i="44"/>
  <c r="M441" i="44"/>
  <c r="N441" i="44"/>
  <c r="Q441" i="44"/>
  <c r="R441" i="44"/>
  <c r="S441" i="44"/>
  <c r="B442" i="44"/>
  <c r="J442" i="44"/>
  <c r="K442" i="44"/>
  <c r="L442" i="44"/>
  <c r="M442" i="44"/>
  <c r="N442" i="44"/>
  <c r="Q442" i="44"/>
  <c r="R442" i="44"/>
  <c r="S442" i="44"/>
  <c r="B443" i="44"/>
  <c r="J443" i="44"/>
  <c r="K443" i="44"/>
  <c r="L443" i="44"/>
  <c r="M443" i="44"/>
  <c r="N443" i="44"/>
  <c r="Q443" i="44"/>
  <c r="R443" i="44"/>
  <c r="S443" i="44"/>
  <c r="B444" i="44"/>
  <c r="J444" i="44"/>
  <c r="K444" i="44"/>
  <c r="L444" i="44"/>
  <c r="M444" i="44"/>
  <c r="N444" i="44"/>
  <c r="Q444" i="44"/>
  <c r="R444" i="44"/>
  <c r="S444" i="44"/>
  <c r="B445" i="44"/>
  <c r="J445" i="44"/>
  <c r="K445" i="44"/>
  <c r="L445" i="44"/>
  <c r="M445" i="44"/>
  <c r="N445" i="44"/>
  <c r="Q445" i="44"/>
  <c r="R445" i="44"/>
  <c r="S445" i="44"/>
  <c r="B446" i="44"/>
  <c r="J446" i="44"/>
  <c r="K446" i="44"/>
  <c r="L446" i="44"/>
  <c r="M446" i="44"/>
  <c r="N446" i="44"/>
  <c r="Q446" i="44"/>
  <c r="R446" i="44"/>
  <c r="S446" i="44"/>
  <c r="B447" i="44"/>
  <c r="J447" i="44"/>
  <c r="K447" i="44"/>
  <c r="L447" i="44"/>
  <c r="M447" i="44"/>
  <c r="N447" i="44"/>
  <c r="Q447" i="44"/>
  <c r="R447" i="44"/>
  <c r="S447" i="44"/>
  <c r="B448" i="44"/>
  <c r="J448" i="44"/>
  <c r="K448" i="44"/>
  <c r="L448" i="44"/>
  <c r="M448" i="44"/>
  <c r="N448" i="44"/>
  <c r="Q448" i="44"/>
  <c r="R448" i="44"/>
  <c r="S448" i="44"/>
  <c r="B449" i="44"/>
  <c r="J449" i="44"/>
  <c r="K449" i="44"/>
  <c r="L449" i="44"/>
  <c r="M449" i="44"/>
  <c r="N449" i="44"/>
  <c r="Q449" i="44"/>
  <c r="R449" i="44"/>
  <c r="S449" i="44"/>
  <c r="B450" i="44"/>
  <c r="J450" i="44"/>
  <c r="K450" i="44"/>
  <c r="L450" i="44"/>
  <c r="M450" i="44"/>
  <c r="N450" i="44"/>
  <c r="Q450" i="44"/>
  <c r="R450" i="44"/>
  <c r="S450" i="44"/>
  <c r="B451" i="44"/>
  <c r="J451" i="44"/>
  <c r="K451" i="44"/>
  <c r="L451" i="44"/>
  <c r="M451" i="44"/>
  <c r="N451" i="44"/>
  <c r="Q451" i="44"/>
  <c r="R451" i="44"/>
  <c r="S451" i="44"/>
  <c r="B452" i="44"/>
  <c r="J452" i="44"/>
  <c r="K452" i="44"/>
  <c r="L452" i="44"/>
  <c r="M452" i="44"/>
  <c r="N452" i="44"/>
  <c r="Q452" i="44"/>
  <c r="R452" i="44"/>
  <c r="S452" i="44"/>
  <c r="B453" i="44"/>
  <c r="J453" i="44"/>
  <c r="K453" i="44"/>
  <c r="L453" i="44"/>
  <c r="M453" i="44"/>
  <c r="N453" i="44"/>
  <c r="Q453" i="44"/>
  <c r="R453" i="44"/>
  <c r="S453" i="44"/>
  <c r="B454" i="44"/>
  <c r="J454" i="44"/>
  <c r="K454" i="44"/>
  <c r="L454" i="44"/>
  <c r="M454" i="44"/>
  <c r="N454" i="44"/>
  <c r="Q454" i="44"/>
  <c r="R454" i="44"/>
  <c r="S454" i="44"/>
  <c r="B455" i="44"/>
  <c r="J455" i="44"/>
  <c r="K455" i="44"/>
  <c r="L455" i="44"/>
  <c r="M455" i="44"/>
  <c r="N455" i="44"/>
  <c r="Q455" i="44"/>
  <c r="R455" i="44"/>
  <c r="S455" i="44"/>
  <c r="B456" i="44"/>
  <c r="J456" i="44"/>
  <c r="K456" i="44"/>
  <c r="L456" i="44"/>
  <c r="M456" i="44"/>
  <c r="N456" i="44"/>
  <c r="Q456" i="44"/>
  <c r="R456" i="44"/>
  <c r="S456" i="44"/>
  <c r="B457" i="44"/>
  <c r="J457" i="44"/>
  <c r="K457" i="44"/>
  <c r="L457" i="44"/>
  <c r="M457" i="44"/>
  <c r="N457" i="44"/>
  <c r="Q457" i="44"/>
  <c r="R457" i="44"/>
  <c r="S457" i="44"/>
  <c r="B458" i="44"/>
  <c r="J458" i="44"/>
  <c r="K458" i="44"/>
  <c r="L458" i="44"/>
  <c r="M458" i="44"/>
  <c r="N458" i="44"/>
  <c r="Q458" i="44"/>
  <c r="R458" i="44"/>
  <c r="S458" i="44"/>
  <c r="B459" i="44"/>
  <c r="J459" i="44"/>
  <c r="K459" i="44"/>
  <c r="L459" i="44"/>
  <c r="M459" i="44"/>
  <c r="N459" i="44"/>
  <c r="Q459" i="44"/>
  <c r="R459" i="44"/>
  <c r="S459" i="44"/>
  <c r="B460" i="44"/>
  <c r="J460" i="44"/>
  <c r="K460" i="44"/>
  <c r="L460" i="44"/>
  <c r="M460" i="44"/>
  <c r="N460" i="44"/>
  <c r="Q460" i="44"/>
  <c r="R460" i="44"/>
  <c r="S460" i="44"/>
  <c r="B461" i="44"/>
  <c r="J461" i="44"/>
  <c r="K461" i="44"/>
  <c r="L461" i="44"/>
  <c r="M461" i="44"/>
  <c r="N461" i="44"/>
  <c r="Q461" i="44"/>
  <c r="R461" i="44"/>
  <c r="S461" i="44"/>
  <c r="B462" i="44"/>
  <c r="J462" i="44"/>
  <c r="K462" i="44"/>
  <c r="L462" i="44"/>
  <c r="M462" i="44"/>
  <c r="N462" i="44"/>
  <c r="Q462" i="44"/>
  <c r="R462" i="44"/>
  <c r="S462" i="44"/>
  <c r="B463" i="44"/>
  <c r="J463" i="44"/>
  <c r="K463" i="44"/>
  <c r="L463" i="44"/>
  <c r="M463" i="44"/>
  <c r="N463" i="44"/>
  <c r="Q463" i="44"/>
  <c r="R463" i="44"/>
  <c r="S463" i="44"/>
  <c r="B464" i="44"/>
  <c r="J464" i="44"/>
  <c r="K464" i="44"/>
  <c r="L464" i="44"/>
  <c r="M464" i="44"/>
  <c r="N464" i="44"/>
  <c r="Q464" i="44"/>
  <c r="R464" i="44"/>
  <c r="S464" i="44"/>
  <c r="B465" i="44"/>
  <c r="J465" i="44"/>
  <c r="K465" i="44"/>
  <c r="L465" i="44"/>
  <c r="M465" i="44"/>
  <c r="N465" i="44"/>
  <c r="Q465" i="44"/>
  <c r="R465" i="44"/>
  <c r="S465" i="44"/>
  <c r="B466" i="44"/>
  <c r="J466" i="44"/>
  <c r="K466" i="44"/>
  <c r="L466" i="44"/>
  <c r="M466" i="44"/>
  <c r="N466" i="44"/>
  <c r="Q466" i="44"/>
  <c r="R466" i="44"/>
  <c r="S466" i="44"/>
  <c r="B467" i="44"/>
  <c r="J467" i="44"/>
  <c r="K467" i="44"/>
  <c r="L467" i="44"/>
  <c r="M467" i="44"/>
  <c r="N467" i="44"/>
  <c r="Q467" i="44"/>
  <c r="R467" i="44"/>
  <c r="S467" i="44"/>
  <c r="B468" i="44"/>
  <c r="J468" i="44"/>
  <c r="K468" i="44"/>
  <c r="L468" i="44"/>
  <c r="M468" i="44"/>
  <c r="N468" i="44"/>
  <c r="Q468" i="44"/>
  <c r="R468" i="44"/>
  <c r="S468" i="44"/>
  <c r="B469" i="44"/>
  <c r="J469" i="44"/>
  <c r="K469" i="44"/>
  <c r="L469" i="44"/>
  <c r="M469" i="44"/>
  <c r="N469" i="44"/>
  <c r="Q469" i="44"/>
  <c r="R469" i="44"/>
  <c r="S469" i="44"/>
  <c r="B470" i="44"/>
  <c r="J470" i="44"/>
  <c r="K470" i="44"/>
  <c r="L470" i="44"/>
  <c r="M470" i="44"/>
  <c r="N470" i="44"/>
  <c r="Q470" i="44"/>
  <c r="R470" i="44"/>
  <c r="S470" i="44"/>
  <c r="B471" i="44"/>
  <c r="J471" i="44"/>
  <c r="K471" i="44"/>
  <c r="L471" i="44"/>
  <c r="M471" i="44"/>
  <c r="N471" i="44"/>
  <c r="Q471" i="44"/>
  <c r="R471" i="44"/>
  <c r="S471" i="44"/>
  <c r="B472" i="44"/>
  <c r="J472" i="44"/>
  <c r="K472" i="44"/>
  <c r="L472" i="44"/>
  <c r="M472" i="44"/>
  <c r="N472" i="44"/>
  <c r="Q472" i="44"/>
  <c r="R472" i="44"/>
  <c r="S472" i="44"/>
  <c r="B473" i="44"/>
  <c r="J473" i="44"/>
  <c r="K473" i="44"/>
  <c r="L473" i="44"/>
  <c r="M473" i="44"/>
  <c r="N473" i="44"/>
  <c r="Q473" i="44"/>
  <c r="R473" i="44"/>
  <c r="S473" i="44"/>
  <c r="B474" i="44"/>
  <c r="J474" i="44"/>
  <c r="K474" i="44"/>
  <c r="L474" i="44"/>
  <c r="M474" i="44"/>
  <c r="N474" i="44"/>
  <c r="Q474" i="44"/>
  <c r="R474" i="44"/>
  <c r="S474" i="44"/>
  <c r="B475" i="44"/>
  <c r="J475" i="44"/>
  <c r="K475" i="44"/>
  <c r="L475" i="44"/>
  <c r="M475" i="44"/>
  <c r="N475" i="44"/>
  <c r="Q475" i="44"/>
  <c r="R475" i="44"/>
  <c r="S475" i="44"/>
  <c r="B476" i="44"/>
  <c r="J476" i="44"/>
  <c r="K476" i="44"/>
  <c r="L476" i="44"/>
  <c r="M476" i="44"/>
  <c r="N476" i="44"/>
  <c r="Q476" i="44"/>
  <c r="R476" i="44"/>
  <c r="S476" i="44"/>
  <c r="B477" i="44"/>
  <c r="J477" i="44"/>
  <c r="K477" i="44"/>
  <c r="L477" i="44"/>
  <c r="M477" i="44"/>
  <c r="N477" i="44"/>
  <c r="Q477" i="44"/>
  <c r="R477" i="44"/>
  <c r="S477" i="44"/>
  <c r="B478" i="44"/>
  <c r="J478" i="44"/>
  <c r="K478" i="44"/>
  <c r="L478" i="44"/>
  <c r="M478" i="44"/>
  <c r="N478" i="44"/>
  <c r="Q478" i="44"/>
  <c r="R478" i="44"/>
  <c r="S478" i="44"/>
  <c r="B479" i="44"/>
  <c r="J479" i="44"/>
  <c r="K479" i="44"/>
  <c r="L479" i="44"/>
  <c r="M479" i="44"/>
  <c r="N479" i="44"/>
  <c r="Q479" i="44"/>
  <c r="R479" i="44"/>
  <c r="S479" i="44"/>
  <c r="B480" i="44"/>
  <c r="J480" i="44"/>
  <c r="K480" i="44"/>
  <c r="L480" i="44"/>
  <c r="M480" i="44"/>
  <c r="N480" i="44"/>
  <c r="Q480" i="44"/>
  <c r="R480" i="44"/>
  <c r="S480" i="44"/>
  <c r="B481" i="44"/>
  <c r="J481" i="44"/>
  <c r="K481" i="44"/>
  <c r="L481" i="44"/>
  <c r="M481" i="44"/>
  <c r="N481" i="44"/>
  <c r="Q481" i="44"/>
  <c r="R481" i="44"/>
  <c r="S481" i="44"/>
  <c r="B482" i="44"/>
  <c r="J482" i="44"/>
  <c r="K482" i="44"/>
  <c r="L482" i="44"/>
  <c r="M482" i="44"/>
  <c r="N482" i="44"/>
  <c r="Q482" i="44"/>
  <c r="R482" i="44"/>
  <c r="S482" i="44"/>
  <c r="B483" i="44"/>
  <c r="J483" i="44"/>
  <c r="K483" i="44"/>
  <c r="L483" i="44"/>
  <c r="M483" i="44"/>
  <c r="N483" i="44"/>
  <c r="Q483" i="44"/>
  <c r="R483" i="44"/>
  <c r="S483" i="44"/>
  <c r="B484" i="44"/>
  <c r="J484" i="44"/>
  <c r="K484" i="44"/>
  <c r="L484" i="44"/>
  <c r="M484" i="44"/>
  <c r="N484" i="44"/>
  <c r="Q484" i="44"/>
  <c r="R484" i="44"/>
  <c r="S484" i="44"/>
  <c r="B485" i="44"/>
  <c r="J485" i="44"/>
  <c r="K485" i="44"/>
  <c r="L485" i="44"/>
  <c r="M485" i="44"/>
  <c r="N485" i="44"/>
  <c r="Q485" i="44"/>
  <c r="R485" i="44"/>
  <c r="S485" i="44"/>
  <c r="B486" i="44"/>
  <c r="J486" i="44"/>
  <c r="K486" i="44"/>
  <c r="L486" i="44"/>
  <c r="M486" i="44"/>
  <c r="N486" i="44"/>
  <c r="Q486" i="44"/>
  <c r="R486" i="44"/>
  <c r="S486" i="44"/>
  <c r="B487" i="44"/>
  <c r="J487" i="44"/>
  <c r="K487" i="44"/>
  <c r="L487" i="44"/>
  <c r="M487" i="44"/>
  <c r="N487" i="44"/>
  <c r="Q487" i="44"/>
  <c r="R487" i="44"/>
  <c r="S487" i="44"/>
  <c r="B488" i="44"/>
  <c r="J488" i="44"/>
  <c r="K488" i="44"/>
  <c r="L488" i="44"/>
  <c r="M488" i="44"/>
  <c r="N488" i="44"/>
  <c r="Q488" i="44"/>
  <c r="R488" i="44"/>
  <c r="S488" i="44"/>
  <c r="B489" i="44"/>
  <c r="J489" i="44"/>
  <c r="K489" i="44"/>
  <c r="L489" i="44"/>
  <c r="M489" i="44"/>
  <c r="N489" i="44"/>
  <c r="Q489" i="44"/>
  <c r="R489" i="44"/>
  <c r="S489" i="44"/>
  <c r="B490" i="44"/>
  <c r="J490" i="44"/>
  <c r="K490" i="44"/>
  <c r="L490" i="44"/>
  <c r="M490" i="44"/>
  <c r="N490" i="44"/>
  <c r="Q490" i="44"/>
  <c r="R490" i="44"/>
  <c r="S490" i="44"/>
  <c r="B491" i="44"/>
  <c r="J491" i="44"/>
  <c r="K491" i="44"/>
  <c r="L491" i="44"/>
  <c r="M491" i="44"/>
  <c r="N491" i="44"/>
  <c r="Q491" i="44"/>
  <c r="R491" i="44"/>
  <c r="S491" i="44"/>
  <c r="B492" i="44"/>
  <c r="J492" i="44"/>
  <c r="K492" i="44"/>
  <c r="L492" i="44"/>
  <c r="M492" i="44"/>
  <c r="N492" i="44"/>
  <c r="Q492" i="44"/>
  <c r="R492" i="44"/>
  <c r="S492" i="44"/>
  <c r="B493" i="44"/>
  <c r="J493" i="44"/>
  <c r="K493" i="44"/>
  <c r="L493" i="44"/>
  <c r="M493" i="44"/>
  <c r="N493" i="44"/>
  <c r="Q493" i="44"/>
  <c r="R493" i="44"/>
  <c r="S493" i="44"/>
  <c r="B494" i="44"/>
  <c r="J494" i="44"/>
  <c r="K494" i="44"/>
  <c r="L494" i="44"/>
  <c r="M494" i="44"/>
  <c r="N494" i="44"/>
  <c r="Q494" i="44"/>
  <c r="R494" i="44"/>
  <c r="S494" i="44"/>
  <c r="B495" i="44"/>
  <c r="J495" i="44"/>
  <c r="K495" i="44"/>
  <c r="L495" i="44"/>
  <c r="M495" i="44"/>
  <c r="N495" i="44"/>
  <c r="Q495" i="44"/>
  <c r="R495" i="44"/>
  <c r="S495" i="44"/>
  <c r="B496" i="44"/>
  <c r="J496" i="44"/>
  <c r="K496" i="44"/>
  <c r="L496" i="44"/>
  <c r="M496" i="44"/>
  <c r="N496" i="44"/>
  <c r="Q496" i="44"/>
  <c r="R496" i="44"/>
  <c r="S496" i="44"/>
  <c r="B497" i="44"/>
  <c r="J497" i="44"/>
  <c r="K497" i="44"/>
  <c r="L497" i="44"/>
  <c r="M497" i="44"/>
  <c r="N497" i="44"/>
  <c r="Q497" i="44"/>
  <c r="R497" i="44"/>
  <c r="S497" i="44"/>
  <c r="B498" i="44"/>
  <c r="J498" i="44"/>
  <c r="K498" i="44"/>
  <c r="L498" i="44"/>
  <c r="M498" i="44"/>
  <c r="N498" i="44"/>
  <c r="Q498" i="44"/>
  <c r="R498" i="44"/>
  <c r="S498" i="44"/>
  <c r="B499" i="44"/>
  <c r="J499" i="44"/>
  <c r="K499" i="44"/>
  <c r="L499" i="44"/>
  <c r="M499" i="44"/>
  <c r="N499" i="44"/>
  <c r="Q499" i="44"/>
  <c r="R499" i="44"/>
  <c r="S499" i="44"/>
  <c r="B500" i="44"/>
  <c r="J500" i="44"/>
  <c r="K500" i="44"/>
  <c r="L500" i="44"/>
  <c r="M500" i="44"/>
  <c r="N500" i="44"/>
  <c r="Q500" i="44"/>
  <c r="R500" i="44"/>
  <c r="S500" i="44"/>
  <c r="B501" i="44"/>
  <c r="J501" i="44"/>
  <c r="K501" i="44"/>
  <c r="L501" i="44"/>
  <c r="M501" i="44"/>
  <c r="N501" i="44"/>
  <c r="Q501" i="44"/>
  <c r="R501" i="44"/>
  <c r="S501" i="44"/>
  <c r="B502" i="44"/>
  <c r="J502" i="44"/>
  <c r="K502" i="44"/>
  <c r="L502" i="44"/>
  <c r="M502" i="44"/>
  <c r="N502" i="44"/>
  <c r="Q502" i="44"/>
  <c r="R502" i="44"/>
  <c r="S502" i="44"/>
  <c r="B503" i="44"/>
  <c r="J503" i="44"/>
  <c r="K503" i="44"/>
  <c r="L503" i="44"/>
  <c r="M503" i="44"/>
  <c r="N503" i="44"/>
  <c r="Q503" i="44"/>
  <c r="R503" i="44"/>
  <c r="S503" i="44"/>
  <c r="B504" i="44"/>
  <c r="J504" i="44"/>
  <c r="K504" i="44"/>
  <c r="L504" i="44"/>
  <c r="M504" i="44"/>
  <c r="N504" i="44"/>
  <c r="Q504" i="44"/>
  <c r="R504" i="44"/>
  <c r="S504" i="44"/>
  <c r="B505" i="44"/>
  <c r="J505" i="44"/>
  <c r="K505" i="44"/>
  <c r="L505" i="44"/>
  <c r="M505" i="44"/>
  <c r="N505" i="44"/>
  <c r="Q505" i="44"/>
  <c r="R505" i="44"/>
  <c r="S505" i="44"/>
  <c r="B506" i="44"/>
  <c r="J506" i="44"/>
  <c r="K506" i="44"/>
  <c r="L506" i="44"/>
  <c r="M506" i="44"/>
  <c r="N506" i="44"/>
  <c r="Q506" i="44"/>
  <c r="R506" i="44"/>
  <c r="S506" i="44"/>
  <c r="B507" i="44"/>
  <c r="J507" i="44"/>
  <c r="K507" i="44"/>
  <c r="L507" i="44"/>
  <c r="M507" i="44"/>
  <c r="N507" i="44"/>
  <c r="Q507" i="44"/>
  <c r="R507" i="44"/>
  <c r="S507" i="44"/>
  <c r="B508" i="44"/>
  <c r="J508" i="44"/>
  <c r="K508" i="44"/>
  <c r="L508" i="44"/>
  <c r="M508" i="44"/>
  <c r="N508" i="44"/>
  <c r="Q508" i="44"/>
  <c r="R508" i="44"/>
  <c r="S508" i="44"/>
  <c r="B509" i="44"/>
  <c r="J509" i="44"/>
  <c r="K509" i="44"/>
  <c r="L509" i="44"/>
  <c r="M509" i="44"/>
  <c r="N509" i="44"/>
  <c r="Q509" i="44"/>
  <c r="R509" i="44"/>
  <c r="S509" i="44"/>
  <c r="B510" i="44"/>
  <c r="J510" i="44"/>
  <c r="K510" i="44"/>
  <c r="L510" i="44"/>
  <c r="M510" i="44"/>
  <c r="N510" i="44"/>
  <c r="Q510" i="44"/>
  <c r="R510" i="44"/>
  <c r="S510" i="44"/>
  <c r="B511" i="44"/>
  <c r="J511" i="44"/>
  <c r="K511" i="44"/>
  <c r="L511" i="44"/>
  <c r="M511" i="44"/>
  <c r="N511" i="44"/>
  <c r="Q511" i="44"/>
  <c r="R511" i="44"/>
  <c r="S511" i="44"/>
  <c r="B512" i="44"/>
  <c r="J512" i="44"/>
  <c r="K512" i="44"/>
  <c r="L512" i="44"/>
  <c r="M512" i="44"/>
  <c r="N512" i="44"/>
  <c r="Q512" i="44"/>
  <c r="R512" i="44"/>
  <c r="S512" i="44"/>
  <c r="B513" i="44"/>
  <c r="J513" i="44"/>
  <c r="K513" i="44"/>
  <c r="L513" i="44"/>
  <c r="M513" i="44"/>
  <c r="N513" i="44"/>
  <c r="Q513" i="44"/>
  <c r="R513" i="44"/>
  <c r="S513" i="44"/>
  <c r="AT142" i="59" l="1"/>
  <c r="AK142" i="59"/>
  <c r="H40" i="21"/>
  <c r="X474" i="44" a="1"/>
  <c r="X474" i="44" s="1"/>
  <c r="Y473" i="44" a="1"/>
  <c r="Y473" i="44" s="1"/>
  <c r="X473" i="44" a="1"/>
  <c r="X473" i="44" s="1"/>
  <c r="Y474" i="44" a="1"/>
  <c r="Y474" i="44" s="1"/>
  <c r="AL142" i="59" l="1"/>
  <c r="AV142" i="59" s="1"/>
  <c r="AU142" i="59"/>
  <c r="J26" i="21"/>
  <c r="J25" i="21"/>
  <c r="J24" i="21"/>
  <c r="AK49" i="39" l="1"/>
  <c r="AE36" i="39"/>
  <c r="AF36" i="39"/>
  <c r="AG36" i="39"/>
  <c r="AH36" i="39"/>
  <c r="AI36" i="39"/>
  <c r="AJ36" i="39"/>
  <c r="AK36" i="39"/>
  <c r="AK56" i="51"/>
  <c r="AK55" i="51"/>
  <c r="AK52" i="51"/>
  <c r="AK51" i="51"/>
  <c r="AK50" i="51"/>
  <c r="AK49" i="51"/>
  <c r="AK46" i="51"/>
  <c r="AK45" i="51"/>
  <c r="AK44" i="51"/>
  <c r="AK43" i="51"/>
  <c r="AK42" i="51"/>
  <c r="AK41" i="51"/>
  <c r="L27" i="38" a="1"/>
  <c r="L27" i="38" s="1"/>
  <c r="M23" i="38" a="1"/>
  <c r="M23" i="38" s="1"/>
  <c r="K17" i="21" l="1"/>
  <c r="J17" i="21"/>
  <c r="AK38" i="39" l="1"/>
  <c r="AK40" i="39"/>
  <c r="AK42" i="39"/>
  <c r="AK45" i="39"/>
  <c r="AK47" i="39"/>
  <c r="AK51" i="39"/>
  <c r="AK52" i="39"/>
  <c r="AK57" i="39"/>
  <c r="AK59" i="39"/>
  <c r="AK60" i="39"/>
  <c r="M25" i="40"/>
  <c r="N25" i="40"/>
  <c r="O25" i="40"/>
  <c r="P25" i="40"/>
  <c r="N18" i="40"/>
  <c r="O18" i="40"/>
  <c r="P18" i="40"/>
  <c r="M16" i="59"/>
  <c r="AK22" i="51"/>
  <c r="AK23" i="51"/>
  <c r="AK26" i="51"/>
  <c r="AK61" i="51" s="1"/>
  <c r="AK27" i="51"/>
  <c r="AK30" i="51"/>
  <c r="AK31" i="51"/>
  <c r="AK34" i="51"/>
  <c r="AK35" i="51"/>
  <c r="AK16" i="51"/>
  <c r="AH57" i="47"/>
  <c r="AI57" i="47"/>
  <c r="AJ57" i="47"/>
  <c r="AK57" i="47"/>
  <c r="AL57" i="47"/>
  <c r="AI55" i="47"/>
  <c r="AJ55" i="47"/>
  <c r="AK55" i="47"/>
  <c r="AL55" i="47"/>
  <c r="AH55" i="47"/>
  <c r="AL122" i="54"/>
  <c r="AK119" i="54"/>
  <c r="AL119" i="54"/>
  <c r="AL112" i="54"/>
  <c r="AL108" i="54"/>
  <c r="AL109" i="54"/>
  <c r="AL104" i="54"/>
  <c r="AL105" i="54"/>
  <c r="AK101" i="54"/>
  <c r="AL101" i="54"/>
  <c r="AK62" i="51" l="1"/>
  <c r="AK72" i="51"/>
  <c r="AK68" i="51"/>
  <c r="AK85" i="51"/>
  <c r="AK71" i="51"/>
  <c r="AK67" i="51"/>
  <c r="AK97" i="51"/>
  <c r="AK82" i="51"/>
  <c r="AK93" i="54"/>
  <c r="AL93" i="54"/>
  <c r="AK86" i="54"/>
  <c r="AL86" i="54"/>
  <c r="AK78" i="54"/>
  <c r="AL78" i="54"/>
  <c r="AK71" i="54"/>
  <c r="AL71" i="54"/>
  <c r="AK33" i="54"/>
  <c r="AL33" i="54"/>
  <c r="AK40" i="54"/>
  <c r="AL40" i="54"/>
  <c r="AK48" i="54"/>
  <c r="AL48" i="54"/>
  <c r="AK55" i="54"/>
  <c r="AL55" i="54"/>
  <c r="AK63" i="54"/>
  <c r="AK191" i="54" s="1"/>
  <c r="AL63" i="54"/>
  <c r="AL191" i="54" s="1"/>
  <c r="P55" i="44"/>
  <c r="AL139" i="54" l="1"/>
  <c r="AK81" i="51"/>
  <c r="AK94" i="51"/>
  <c r="AK100" i="51" s="1"/>
  <c r="AK86" i="51"/>
  <c r="AK132" i="54"/>
  <c r="AK168" i="54"/>
  <c r="AL175" i="54"/>
  <c r="AK175" i="54"/>
  <c r="AL168" i="54"/>
  <c r="AK139" i="54"/>
  <c r="AL132" i="54"/>
  <c r="AK89" i="51" l="1"/>
  <c r="M19" i="38"/>
  <c r="L19" i="38"/>
  <c r="AM19" i="33" l="1"/>
  <c r="AM20" i="33"/>
  <c r="AL21" i="33"/>
  <c r="AL22" i="33"/>
  <c r="AM80" i="33" l="1"/>
  <c r="AM91" i="33" s="1"/>
  <c r="AL19" i="47" l="1"/>
  <c r="AL25" i="54"/>
  <c r="P54" i="44"/>
  <c r="I31" i="59"/>
  <c r="I39" i="59"/>
  <c r="B123" i="59" l="1"/>
  <c r="H123" i="59"/>
  <c r="I123" i="59"/>
  <c r="J123" i="59"/>
  <c r="K123" i="59"/>
  <c r="L123" i="59"/>
  <c r="M123" i="59"/>
  <c r="N123" i="59"/>
  <c r="B124" i="59"/>
  <c r="H124" i="59"/>
  <c r="I124" i="59"/>
  <c r="J124" i="59"/>
  <c r="K124" i="59"/>
  <c r="L124" i="59"/>
  <c r="M124" i="59"/>
  <c r="N124" i="59"/>
  <c r="B125" i="59"/>
  <c r="H125" i="59"/>
  <c r="I125" i="59"/>
  <c r="J125" i="59"/>
  <c r="K125" i="59"/>
  <c r="L125" i="59"/>
  <c r="M125" i="59"/>
  <c r="N125" i="59"/>
  <c r="B126" i="59"/>
  <c r="H126" i="59"/>
  <c r="I126" i="59"/>
  <c r="J126" i="59"/>
  <c r="K126" i="59"/>
  <c r="L126" i="59"/>
  <c r="M126" i="59"/>
  <c r="N126" i="59"/>
  <c r="B127" i="59"/>
  <c r="H127" i="59"/>
  <c r="I127" i="59"/>
  <c r="J127" i="59"/>
  <c r="K127" i="59"/>
  <c r="L127" i="59"/>
  <c r="M127" i="59"/>
  <c r="N127" i="59"/>
  <c r="B128" i="59"/>
  <c r="H128" i="59"/>
  <c r="I128" i="59"/>
  <c r="J128" i="59"/>
  <c r="K128" i="59"/>
  <c r="L128" i="59"/>
  <c r="M128" i="59"/>
  <c r="N128" i="59"/>
  <c r="B129" i="59"/>
  <c r="H129" i="59"/>
  <c r="I129" i="59"/>
  <c r="J129" i="59"/>
  <c r="K129" i="59"/>
  <c r="L129" i="59"/>
  <c r="M129" i="59"/>
  <c r="N129" i="59"/>
  <c r="B130" i="59"/>
  <c r="H130" i="59"/>
  <c r="I130" i="59"/>
  <c r="J130" i="59"/>
  <c r="K130" i="59"/>
  <c r="L130" i="59"/>
  <c r="M130" i="59"/>
  <c r="N130" i="59"/>
  <c r="B131" i="59"/>
  <c r="H131" i="59"/>
  <c r="I131" i="59"/>
  <c r="J131" i="59"/>
  <c r="K131" i="59"/>
  <c r="L131" i="59"/>
  <c r="M131" i="59"/>
  <c r="N131" i="59"/>
  <c r="B132" i="59"/>
  <c r="H132" i="59"/>
  <c r="I132" i="59"/>
  <c r="J132" i="59"/>
  <c r="K132" i="59"/>
  <c r="L132" i="59"/>
  <c r="M132" i="59"/>
  <c r="N132" i="59"/>
  <c r="B133" i="59"/>
  <c r="H133" i="59"/>
  <c r="I133" i="59"/>
  <c r="J133" i="59"/>
  <c r="K133" i="59"/>
  <c r="L133" i="59"/>
  <c r="M133" i="59"/>
  <c r="N133" i="59"/>
  <c r="B134" i="59"/>
  <c r="H134" i="59"/>
  <c r="I134" i="59"/>
  <c r="J134" i="59"/>
  <c r="K134" i="59"/>
  <c r="L134" i="59"/>
  <c r="M134" i="59"/>
  <c r="N134" i="59"/>
  <c r="B135" i="59"/>
  <c r="H135" i="59"/>
  <c r="I135" i="59"/>
  <c r="J135" i="59"/>
  <c r="K135" i="59"/>
  <c r="L135" i="59"/>
  <c r="M135" i="59"/>
  <c r="N135" i="59"/>
  <c r="B136" i="59"/>
  <c r="H136" i="59"/>
  <c r="I136" i="59"/>
  <c r="J136" i="59"/>
  <c r="K136" i="59"/>
  <c r="L136" i="59"/>
  <c r="M136" i="59"/>
  <c r="N136" i="59"/>
  <c r="B137" i="59"/>
  <c r="H137" i="59"/>
  <c r="I137" i="59"/>
  <c r="J137" i="59"/>
  <c r="K137" i="59"/>
  <c r="L137" i="59"/>
  <c r="M137" i="59"/>
  <c r="N137" i="59"/>
  <c r="B138" i="59"/>
  <c r="H138" i="59"/>
  <c r="I138" i="59"/>
  <c r="J138" i="59"/>
  <c r="K138" i="59"/>
  <c r="L138" i="59"/>
  <c r="M138" i="59"/>
  <c r="N138" i="59"/>
  <c r="B139" i="59"/>
  <c r="H139" i="59"/>
  <c r="I139" i="59"/>
  <c r="J139" i="59"/>
  <c r="K139" i="59"/>
  <c r="L139" i="59"/>
  <c r="M139" i="59"/>
  <c r="N139" i="59"/>
  <c r="B140" i="59"/>
  <c r="H140" i="59"/>
  <c r="I140" i="59"/>
  <c r="J140" i="59"/>
  <c r="K140" i="59"/>
  <c r="L140" i="59"/>
  <c r="M140" i="59"/>
  <c r="N140" i="59"/>
  <c r="B141" i="59"/>
  <c r="H141" i="59"/>
  <c r="I141" i="59"/>
  <c r="J141" i="59"/>
  <c r="K141" i="59"/>
  <c r="L141" i="59"/>
  <c r="M141" i="59"/>
  <c r="N141" i="59"/>
  <c r="B69" i="59"/>
  <c r="H69" i="59"/>
  <c r="I69" i="59"/>
  <c r="J69" i="59"/>
  <c r="K69" i="59"/>
  <c r="L69" i="59"/>
  <c r="M69" i="59"/>
  <c r="N69" i="59"/>
  <c r="B70" i="59"/>
  <c r="H70" i="59"/>
  <c r="I70" i="59"/>
  <c r="J70" i="59"/>
  <c r="K70" i="59"/>
  <c r="L70" i="59"/>
  <c r="M70" i="59"/>
  <c r="N70" i="59"/>
  <c r="B71" i="59"/>
  <c r="H71" i="59"/>
  <c r="I71" i="59"/>
  <c r="J71" i="59"/>
  <c r="K71" i="59"/>
  <c r="L71" i="59"/>
  <c r="M71" i="59"/>
  <c r="N71" i="59"/>
  <c r="B72" i="59"/>
  <c r="H72" i="59"/>
  <c r="I72" i="59"/>
  <c r="J72" i="59"/>
  <c r="K72" i="59"/>
  <c r="L72" i="59"/>
  <c r="M72" i="59"/>
  <c r="N72" i="59"/>
  <c r="B73" i="59"/>
  <c r="H73" i="59"/>
  <c r="I73" i="59"/>
  <c r="J73" i="59"/>
  <c r="K73" i="59"/>
  <c r="L73" i="59"/>
  <c r="M73" i="59"/>
  <c r="N73" i="59"/>
  <c r="B74" i="59"/>
  <c r="H74" i="59"/>
  <c r="I74" i="59"/>
  <c r="J74" i="59"/>
  <c r="K74" i="59"/>
  <c r="L74" i="59"/>
  <c r="M74" i="59"/>
  <c r="N74" i="59"/>
  <c r="B75" i="59"/>
  <c r="H75" i="59"/>
  <c r="I75" i="59"/>
  <c r="J75" i="59"/>
  <c r="K75" i="59"/>
  <c r="L75" i="59"/>
  <c r="M75" i="59"/>
  <c r="N75" i="59"/>
  <c r="B76" i="59"/>
  <c r="H76" i="59"/>
  <c r="I76" i="59"/>
  <c r="J76" i="59"/>
  <c r="K76" i="59"/>
  <c r="L76" i="59"/>
  <c r="M76" i="59"/>
  <c r="N76" i="59"/>
  <c r="B77" i="59"/>
  <c r="H77" i="59"/>
  <c r="I77" i="59"/>
  <c r="J77" i="59"/>
  <c r="K77" i="59"/>
  <c r="L77" i="59"/>
  <c r="M77" i="59"/>
  <c r="N77" i="59"/>
  <c r="B78" i="59"/>
  <c r="H78" i="59"/>
  <c r="I78" i="59"/>
  <c r="J78" i="59"/>
  <c r="K78" i="59"/>
  <c r="L78" i="59"/>
  <c r="M78" i="59"/>
  <c r="N78" i="59"/>
  <c r="B79" i="59"/>
  <c r="H79" i="59"/>
  <c r="I79" i="59"/>
  <c r="J79" i="59"/>
  <c r="K79" i="59"/>
  <c r="L79" i="59"/>
  <c r="M79" i="59"/>
  <c r="N79" i="59"/>
  <c r="B80" i="59"/>
  <c r="H80" i="59"/>
  <c r="I80" i="59"/>
  <c r="J80" i="59"/>
  <c r="K80" i="59"/>
  <c r="L80" i="59"/>
  <c r="M80" i="59"/>
  <c r="N80" i="59"/>
  <c r="B81" i="59"/>
  <c r="H81" i="59"/>
  <c r="I81" i="59"/>
  <c r="J81" i="59"/>
  <c r="K81" i="59"/>
  <c r="L81" i="59"/>
  <c r="M81" i="59"/>
  <c r="N81" i="59"/>
  <c r="B82" i="59"/>
  <c r="H82" i="59"/>
  <c r="I82" i="59"/>
  <c r="J82" i="59"/>
  <c r="K82" i="59"/>
  <c r="L82" i="59"/>
  <c r="M82" i="59"/>
  <c r="N82" i="59"/>
  <c r="B83" i="59"/>
  <c r="H83" i="59"/>
  <c r="I83" i="59"/>
  <c r="J83" i="59"/>
  <c r="K83" i="59"/>
  <c r="L83" i="59"/>
  <c r="M83" i="59"/>
  <c r="N83" i="59"/>
  <c r="B84" i="59"/>
  <c r="H84" i="59"/>
  <c r="I84" i="59"/>
  <c r="J84" i="59"/>
  <c r="K84" i="59"/>
  <c r="L84" i="59"/>
  <c r="M84" i="59"/>
  <c r="N84" i="59"/>
  <c r="B85" i="59"/>
  <c r="H85" i="59"/>
  <c r="I85" i="59"/>
  <c r="J85" i="59"/>
  <c r="K85" i="59"/>
  <c r="L85" i="59"/>
  <c r="M85" i="59"/>
  <c r="N85" i="59"/>
  <c r="B86" i="59"/>
  <c r="H86" i="59"/>
  <c r="I86" i="59"/>
  <c r="J86" i="59"/>
  <c r="K86" i="59"/>
  <c r="L86" i="59"/>
  <c r="M86" i="59"/>
  <c r="N86" i="59"/>
  <c r="B87" i="59"/>
  <c r="H87" i="59"/>
  <c r="I87" i="59"/>
  <c r="J87" i="59"/>
  <c r="K87" i="59"/>
  <c r="L87" i="59"/>
  <c r="M87" i="59"/>
  <c r="N87" i="59"/>
  <c r="B88" i="59"/>
  <c r="H88" i="59"/>
  <c r="I88" i="59"/>
  <c r="J88" i="59"/>
  <c r="K88" i="59"/>
  <c r="L88" i="59"/>
  <c r="M88" i="59"/>
  <c r="N88" i="59"/>
  <c r="B89" i="59"/>
  <c r="H89" i="59"/>
  <c r="I89" i="59"/>
  <c r="J89" i="59"/>
  <c r="K89" i="59"/>
  <c r="L89" i="59"/>
  <c r="M89" i="59"/>
  <c r="N89" i="59"/>
  <c r="B90" i="59"/>
  <c r="H90" i="59"/>
  <c r="I90" i="59"/>
  <c r="J90" i="59"/>
  <c r="K90" i="59"/>
  <c r="L90" i="59"/>
  <c r="M90" i="59"/>
  <c r="N90" i="59"/>
  <c r="B91" i="59"/>
  <c r="H91" i="59"/>
  <c r="I91" i="59"/>
  <c r="J91" i="59"/>
  <c r="K91" i="59"/>
  <c r="L91" i="59"/>
  <c r="M91" i="59"/>
  <c r="N91" i="59"/>
  <c r="B92" i="59"/>
  <c r="H92" i="59"/>
  <c r="I92" i="59"/>
  <c r="J92" i="59"/>
  <c r="K92" i="59"/>
  <c r="L92" i="59"/>
  <c r="M92" i="59"/>
  <c r="N92" i="59"/>
  <c r="B93" i="59"/>
  <c r="H93" i="59"/>
  <c r="I93" i="59"/>
  <c r="J93" i="59"/>
  <c r="K93" i="59"/>
  <c r="L93" i="59"/>
  <c r="M93" i="59"/>
  <c r="N93" i="59"/>
  <c r="B94" i="59"/>
  <c r="H94" i="59"/>
  <c r="I94" i="59"/>
  <c r="J94" i="59"/>
  <c r="K94" i="59"/>
  <c r="L94" i="59"/>
  <c r="M94" i="59"/>
  <c r="N94" i="59"/>
  <c r="B95" i="59"/>
  <c r="H95" i="59"/>
  <c r="I95" i="59"/>
  <c r="J95" i="59"/>
  <c r="K95" i="59"/>
  <c r="L95" i="59"/>
  <c r="M95" i="59"/>
  <c r="N95" i="59"/>
  <c r="B96" i="59"/>
  <c r="H96" i="59"/>
  <c r="I96" i="59"/>
  <c r="J96" i="59"/>
  <c r="K96" i="59"/>
  <c r="L96" i="59"/>
  <c r="M96" i="59"/>
  <c r="N96" i="59"/>
  <c r="B97" i="59"/>
  <c r="H97" i="59"/>
  <c r="I97" i="59"/>
  <c r="J97" i="59"/>
  <c r="K97" i="59"/>
  <c r="L97" i="59"/>
  <c r="M97" i="59"/>
  <c r="N97" i="59"/>
  <c r="B98" i="59"/>
  <c r="H98" i="59"/>
  <c r="I98" i="59"/>
  <c r="J98" i="59"/>
  <c r="K98" i="59"/>
  <c r="L98" i="59"/>
  <c r="M98" i="59"/>
  <c r="N98" i="59"/>
  <c r="B99" i="59"/>
  <c r="H99" i="59"/>
  <c r="I99" i="59"/>
  <c r="J99" i="59"/>
  <c r="K99" i="59"/>
  <c r="L99" i="59"/>
  <c r="M99" i="59"/>
  <c r="N99" i="59"/>
  <c r="B100" i="59"/>
  <c r="H100" i="59"/>
  <c r="I100" i="59"/>
  <c r="J100" i="59"/>
  <c r="K100" i="59"/>
  <c r="L100" i="59"/>
  <c r="M100" i="59"/>
  <c r="N100" i="59"/>
  <c r="B101" i="59"/>
  <c r="H101" i="59"/>
  <c r="I101" i="59"/>
  <c r="J101" i="59"/>
  <c r="K101" i="59"/>
  <c r="L101" i="59"/>
  <c r="M101" i="59"/>
  <c r="N101" i="59"/>
  <c r="B102" i="59"/>
  <c r="H102" i="59"/>
  <c r="I102" i="59"/>
  <c r="J102" i="59"/>
  <c r="K102" i="59"/>
  <c r="L102" i="59"/>
  <c r="M102" i="59"/>
  <c r="N102" i="59"/>
  <c r="B103" i="59"/>
  <c r="H103" i="59"/>
  <c r="I103" i="59"/>
  <c r="J103" i="59"/>
  <c r="K103" i="59"/>
  <c r="L103" i="59"/>
  <c r="M103" i="59"/>
  <c r="N103" i="59"/>
  <c r="B104" i="59"/>
  <c r="H104" i="59"/>
  <c r="I104" i="59"/>
  <c r="J104" i="59"/>
  <c r="K104" i="59"/>
  <c r="L104" i="59"/>
  <c r="M104" i="59"/>
  <c r="N104" i="59"/>
  <c r="B105" i="59"/>
  <c r="H105" i="59"/>
  <c r="I105" i="59"/>
  <c r="J105" i="59"/>
  <c r="K105" i="59"/>
  <c r="L105" i="59"/>
  <c r="M105" i="59"/>
  <c r="N105" i="59"/>
  <c r="B106" i="59"/>
  <c r="H106" i="59"/>
  <c r="I106" i="59"/>
  <c r="J106" i="59"/>
  <c r="K106" i="59"/>
  <c r="L106" i="59"/>
  <c r="M106" i="59"/>
  <c r="N106" i="59"/>
  <c r="B107" i="59"/>
  <c r="H107" i="59"/>
  <c r="I107" i="59"/>
  <c r="J107" i="59"/>
  <c r="K107" i="59"/>
  <c r="L107" i="59"/>
  <c r="M107" i="59"/>
  <c r="N107" i="59"/>
  <c r="B108" i="59"/>
  <c r="H108" i="59"/>
  <c r="I108" i="59"/>
  <c r="J108" i="59"/>
  <c r="K108" i="59"/>
  <c r="L108" i="59"/>
  <c r="M108" i="59"/>
  <c r="N108" i="59"/>
  <c r="B109" i="59"/>
  <c r="H109" i="59"/>
  <c r="I109" i="59"/>
  <c r="J109" i="59"/>
  <c r="K109" i="59"/>
  <c r="L109" i="59"/>
  <c r="M109" i="59"/>
  <c r="N109" i="59"/>
  <c r="B110" i="59"/>
  <c r="H110" i="59"/>
  <c r="I110" i="59"/>
  <c r="J110" i="59"/>
  <c r="K110" i="59"/>
  <c r="L110" i="59"/>
  <c r="M110" i="59"/>
  <c r="N110" i="59"/>
  <c r="B111" i="59"/>
  <c r="H111" i="59"/>
  <c r="I111" i="59"/>
  <c r="J111" i="59"/>
  <c r="K111" i="59"/>
  <c r="L111" i="59"/>
  <c r="M111" i="59"/>
  <c r="N111" i="59"/>
  <c r="B112" i="59"/>
  <c r="H112" i="59"/>
  <c r="I112" i="59"/>
  <c r="J112" i="59"/>
  <c r="K112" i="59"/>
  <c r="L112" i="59"/>
  <c r="M112" i="59"/>
  <c r="N112" i="59"/>
  <c r="B113" i="59"/>
  <c r="H113" i="59"/>
  <c r="I113" i="59"/>
  <c r="J113" i="59"/>
  <c r="K113" i="59"/>
  <c r="L113" i="59"/>
  <c r="M113" i="59"/>
  <c r="N113" i="59"/>
  <c r="B114" i="59"/>
  <c r="H114" i="59"/>
  <c r="I114" i="59"/>
  <c r="J114" i="59"/>
  <c r="K114" i="59"/>
  <c r="L114" i="59"/>
  <c r="M114" i="59"/>
  <c r="N114" i="59"/>
  <c r="B115" i="59"/>
  <c r="H115" i="59"/>
  <c r="I115" i="59"/>
  <c r="J115" i="59"/>
  <c r="K115" i="59"/>
  <c r="L115" i="59"/>
  <c r="M115" i="59"/>
  <c r="N115" i="59"/>
  <c r="B116" i="59"/>
  <c r="H116" i="59"/>
  <c r="I116" i="59"/>
  <c r="J116" i="59"/>
  <c r="K116" i="59"/>
  <c r="L116" i="59"/>
  <c r="M116" i="59"/>
  <c r="N116" i="59"/>
  <c r="B117" i="59"/>
  <c r="H117" i="59"/>
  <c r="I117" i="59"/>
  <c r="J117" i="59"/>
  <c r="K117" i="59"/>
  <c r="L117" i="59"/>
  <c r="M117" i="59"/>
  <c r="N117" i="59"/>
  <c r="B118" i="59"/>
  <c r="H118" i="59"/>
  <c r="I118" i="59"/>
  <c r="J118" i="59"/>
  <c r="K118" i="59"/>
  <c r="L118" i="59"/>
  <c r="M118" i="59"/>
  <c r="N118" i="59"/>
  <c r="B119" i="59"/>
  <c r="H119" i="59"/>
  <c r="I119" i="59"/>
  <c r="J119" i="59"/>
  <c r="K119" i="59"/>
  <c r="L119" i="59"/>
  <c r="M119" i="59"/>
  <c r="N119" i="59"/>
  <c r="B120" i="59"/>
  <c r="H120" i="59"/>
  <c r="I120" i="59"/>
  <c r="J120" i="59"/>
  <c r="K120" i="59"/>
  <c r="L120" i="59"/>
  <c r="M120" i="59"/>
  <c r="N120" i="59"/>
  <c r="B121" i="59"/>
  <c r="H121" i="59"/>
  <c r="I121" i="59"/>
  <c r="J121" i="59"/>
  <c r="K121" i="59"/>
  <c r="L121" i="59"/>
  <c r="M121" i="59"/>
  <c r="N121" i="59"/>
  <c r="B122" i="59"/>
  <c r="H122" i="59"/>
  <c r="I122" i="59"/>
  <c r="J122" i="59"/>
  <c r="K122" i="59"/>
  <c r="L122" i="59"/>
  <c r="M122" i="59"/>
  <c r="N122" i="59"/>
  <c r="Q133" i="59" l="1"/>
  <c r="Q127" i="59"/>
  <c r="S127" i="59" s="1"/>
  <c r="Q135" i="59"/>
  <c r="S135" i="59" s="1"/>
  <c r="Q141" i="59"/>
  <c r="S141" i="59" s="1"/>
  <c r="Q134" i="59"/>
  <c r="S134" i="59" s="1"/>
  <c r="Q132" i="59"/>
  <c r="Q128" i="59"/>
  <c r="S128" i="59" s="1"/>
  <c r="Q140" i="59"/>
  <c r="S140" i="59" s="1"/>
  <c r="Q139" i="59"/>
  <c r="S139" i="59" s="1"/>
  <c r="Q136" i="59"/>
  <c r="S136" i="59" s="1"/>
  <c r="Q126" i="59"/>
  <c r="S126" i="59" s="1"/>
  <c r="Q137" i="59"/>
  <c r="S137" i="59" s="1"/>
  <c r="Q129" i="59"/>
  <c r="Q138" i="59"/>
  <c r="S138" i="59" s="1"/>
  <c r="Q130" i="59"/>
  <c r="S130" i="59" s="1"/>
  <c r="Q125" i="59"/>
  <c r="S125" i="59" s="1"/>
  <c r="Q69" i="59"/>
  <c r="R123" i="59"/>
  <c r="Q101" i="59"/>
  <c r="S101" i="59" s="1"/>
  <c r="Q90" i="59"/>
  <c r="S90" i="59" s="1"/>
  <c r="Q85" i="59"/>
  <c r="Q122" i="59"/>
  <c r="S122" i="59" s="1"/>
  <c r="Q121" i="59"/>
  <c r="S121" i="59" s="1"/>
  <c r="Q120" i="59"/>
  <c r="S120" i="59" s="1"/>
  <c r="Q119" i="59"/>
  <c r="S119" i="59" s="1"/>
  <c r="Q117" i="59"/>
  <c r="S117" i="59" s="1"/>
  <c r="Q116" i="59"/>
  <c r="S116" i="59" s="1"/>
  <c r="Q100" i="59"/>
  <c r="S100" i="59" s="1"/>
  <c r="Q83" i="59"/>
  <c r="S83" i="59" s="1"/>
  <c r="Q81" i="59"/>
  <c r="S81" i="59" s="1"/>
  <c r="Q80" i="59"/>
  <c r="S80" i="59" s="1"/>
  <c r="Q70" i="59"/>
  <c r="S70" i="59" s="1"/>
  <c r="Q76" i="59"/>
  <c r="S76" i="59" s="1"/>
  <c r="Q124" i="59"/>
  <c r="S124" i="59" s="1"/>
  <c r="Q99" i="59"/>
  <c r="S99" i="59" s="1"/>
  <c r="Q96" i="59"/>
  <c r="S96" i="59" s="1"/>
  <c r="Q115" i="59"/>
  <c r="S115" i="59" s="1"/>
  <c r="Q114" i="59"/>
  <c r="S114" i="59" s="1"/>
  <c r="Q113" i="59"/>
  <c r="S113" i="59" s="1"/>
  <c r="Q112" i="59"/>
  <c r="S112" i="59" s="1"/>
  <c r="Q109" i="59"/>
  <c r="S109" i="59" s="1"/>
  <c r="Q79" i="59"/>
  <c r="S79" i="59" s="1"/>
  <c r="Q78" i="59"/>
  <c r="S78" i="59" s="1"/>
  <c r="Q77" i="59"/>
  <c r="S77" i="59" s="1"/>
  <c r="Q88" i="59"/>
  <c r="S88" i="59" s="1"/>
  <c r="Q87" i="59"/>
  <c r="S87" i="59" s="1"/>
  <c r="Q108" i="59"/>
  <c r="S108" i="59" s="1"/>
  <c r="Q98" i="59"/>
  <c r="S98" i="59" s="1"/>
  <c r="Q97" i="59"/>
  <c r="S97" i="59" s="1"/>
  <c r="Q91" i="59"/>
  <c r="S91" i="59" s="1"/>
  <c r="Q95" i="59"/>
  <c r="S95" i="59" s="1"/>
  <c r="Q106" i="59"/>
  <c r="S106" i="59" s="1"/>
  <c r="Q93" i="59"/>
  <c r="S93" i="59" s="1"/>
  <c r="Q92" i="59"/>
  <c r="S92" i="59" s="1"/>
  <c r="Q86" i="59"/>
  <c r="S86" i="59" s="1"/>
  <c r="Q71" i="59"/>
  <c r="S71" i="59" s="1"/>
  <c r="Q105" i="59"/>
  <c r="S105" i="59" s="1"/>
  <c r="Q104" i="59"/>
  <c r="S104" i="59" s="1"/>
  <c r="Q102" i="59"/>
  <c r="S102" i="59" s="1"/>
  <c r="Q94" i="59"/>
  <c r="S94" i="59" s="1"/>
  <c r="Q89" i="59"/>
  <c r="S89" i="59" s="1"/>
  <c r="Q84" i="59"/>
  <c r="S84" i="59" s="1"/>
  <c r="Q75" i="59"/>
  <c r="S75" i="59" s="1"/>
  <c r="Q74" i="59"/>
  <c r="S74" i="59" s="1"/>
  <c r="Q73" i="59"/>
  <c r="S73" i="59" s="1"/>
  <c r="Q72" i="59"/>
  <c r="Q123" i="59"/>
  <c r="S123" i="59" s="1"/>
  <c r="R71" i="59"/>
  <c r="R103" i="59"/>
  <c r="R137" i="59"/>
  <c r="S69" i="59"/>
  <c r="R135" i="59"/>
  <c r="R133" i="59"/>
  <c r="T133" i="59" s="1"/>
  <c r="S129" i="59"/>
  <c r="R95" i="59"/>
  <c r="R79" i="59"/>
  <c r="R141" i="59"/>
  <c r="R129" i="59"/>
  <c r="T129" i="59" s="1"/>
  <c r="R127" i="59"/>
  <c r="T127" i="59" s="1"/>
  <c r="R131" i="59"/>
  <c r="R108" i="59"/>
  <c r="R99" i="59"/>
  <c r="R91" i="59"/>
  <c r="R87" i="59"/>
  <c r="R82" i="59"/>
  <c r="R72" i="59"/>
  <c r="R138" i="59"/>
  <c r="R136" i="59"/>
  <c r="S133" i="59"/>
  <c r="Q131" i="59"/>
  <c r="R125" i="59"/>
  <c r="T125" i="59" s="1"/>
  <c r="R119" i="59"/>
  <c r="R115" i="59"/>
  <c r="R110" i="59"/>
  <c r="R93" i="59"/>
  <c r="R90" i="59"/>
  <c r="R80" i="59"/>
  <c r="R140" i="59"/>
  <c r="R139" i="59"/>
  <c r="R132" i="59"/>
  <c r="R104" i="59"/>
  <c r="R88" i="59"/>
  <c r="R76" i="59"/>
  <c r="R73" i="59"/>
  <c r="R114" i="59"/>
  <c r="R107" i="59"/>
  <c r="R92" i="59"/>
  <c r="R89" i="59"/>
  <c r="R128" i="59"/>
  <c r="R134" i="59"/>
  <c r="R130" i="59"/>
  <c r="R124" i="59"/>
  <c r="R126" i="59"/>
  <c r="S132" i="59"/>
  <c r="R97" i="59"/>
  <c r="Q82" i="59"/>
  <c r="R121" i="59"/>
  <c r="R118" i="59"/>
  <c r="R113" i="59"/>
  <c r="R106" i="59"/>
  <c r="R96" i="59"/>
  <c r="R86" i="59"/>
  <c r="R83" i="59"/>
  <c r="R78" i="59"/>
  <c r="T78" i="59" s="1"/>
  <c r="R74" i="59"/>
  <c r="R69" i="59"/>
  <c r="T69" i="59" s="1"/>
  <c r="Q110" i="59"/>
  <c r="R122" i="59"/>
  <c r="R120" i="59"/>
  <c r="R117" i="59"/>
  <c r="R112" i="59"/>
  <c r="R111" i="59"/>
  <c r="R102" i="59"/>
  <c r="R81" i="59"/>
  <c r="R75" i="59"/>
  <c r="R116" i="59"/>
  <c r="R84" i="59"/>
  <c r="R77" i="59"/>
  <c r="R70" i="59"/>
  <c r="Q111" i="59"/>
  <c r="Q103" i="59"/>
  <c r="Q118" i="59"/>
  <c r="Q107" i="59"/>
  <c r="R109" i="59"/>
  <c r="R105" i="59"/>
  <c r="R101" i="59"/>
  <c r="R98" i="59"/>
  <c r="R94" i="59"/>
  <c r="R85" i="59"/>
  <c r="S85" i="59"/>
  <c r="R100" i="59"/>
  <c r="T128" i="59" l="1"/>
  <c r="T135" i="59"/>
  <c r="T141" i="59"/>
  <c r="Y141" i="59" s="1"/>
  <c r="T132" i="59"/>
  <c r="Y132" i="59" s="1"/>
  <c r="Z133" i="59"/>
  <c r="X129" i="59"/>
  <c r="T139" i="59"/>
  <c r="X139" i="59" s="1"/>
  <c r="T136" i="59"/>
  <c r="Z136" i="59" s="1"/>
  <c r="T138" i="59"/>
  <c r="V138" i="59" s="1"/>
  <c r="V128" i="59"/>
  <c r="T122" i="59"/>
  <c r="Z122" i="59" s="1"/>
  <c r="Z127" i="59"/>
  <c r="Z69" i="59"/>
  <c r="Z78" i="59"/>
  <c r="Z128" i="59"/>
  <c r="Z129" i="59"/>
  <c r="T70" i="59"/>
  <c r="X70" i="59" s="1"/>
  <c r="T112" i="59"/>
  <c r="Z112" i="59" s="1"/>
  <c r="Z141" i="59"/>
  <c r="Z135" i="59"/>
  <c r="Z125" i="59"/>
  <c r="V141" i="59"/>
  <c r="V135" i="59"/>
  <c r="T99" i="59"/>
  <c r="W99" i="59" s="1"/>
  <c r="V133" i="59"/>
  <c r="T117" i="59"/>
  <c r="V117" i="59" s="1"/>
  <c r="V69" i="59"/>
  <c r="V78" i="59"/>
  <c r="T121" i="59"/>
  <c r="V121" i="59" s="1"/>
  <c r="T73" i="59"/>
  <c r="V73" i="59" s="1"/>
  <c r="V129" i="59"/>
  <c r="V112" i="59"/>
  <c r="T90" i="59"/>
  <c r="V90" i="59" s="1"/>
  <c r="V125" i="59"/>
  <c r="V127" i="59"/>
  <c r="T140" i="59"/>
  <c r="T119" i="59"/>
  <c r="T85" i="59"/>
  <c r="W85" i="59" s="1"/>
  <c r="T87" i="59"/>
  <c r="V87" i="59" s="1"/>
  <c r="T74" i="59"/>
  <c r="V74" i="59" s="1"/>
  <c r="T124" i="59"/>
  <c r="V124" i="59" s="1"/>
  <c r="T88" i="59"/>
  <c r="V88" i="59" s="1"/>
  <c r="T80" i="59"/>
  <c r="T91" i="59"/>
  <c r="X91" i="59" s="1"/>
  <c r="T120" i="59"/>
  <c r="V120" i="59" s="1"/>
  <c r="T105" i="59"/>
  <c r="V105" i="59" s="1"/>
  <c r="T115" i="59"/>
  <c r="V115" i="59" s="1"/>
  <c r="T92" i="59"/>
  <c r="Y92" i="59" s="1"/>
  <c r="T77" i="59"/>
  <c r="V77" i="59" s="1"/>
  <c r="T81" i="59"/>
  <c r="V81" i="59" s="1"/>
  <c r="T109" i="59"/>
  <c r="X109" i="59" s="1"/>
  <c r="T96" i="59"/>
  <c r="Y96" i="59" s="1"/>
  <c r="T83" i="59"/>
  <c r="V83" i="59" s="1"/>
  <c r="T108" i="59"/>
  <c r="W108" i="59" s="1"/>
  <c r="T93" i="59"/>
  <c r="W93" i="59" s="1"/>
  <c r="T72" i="59"/>
  <c r="T76" i="59"/>
  <c r="Y76" i="59" s="1"/>
  <c r="T79" i="59"/>
  <c r="X79" i="59" s="1"/>
  <c r="T86" i="59"/>
  <c r="T84" i="59"/>
  <c r="V84" i="59" s="1"/>
  <c r="T114" i="59"/>
  <c r="W114" i="59" s="1"/>
  <c r="T113" i="59"/>
  <c r="T104" i="59"/>
  <c r="Z104" i="59" s="1"/>
  <c r="T95" i="59"/>
  <c r="X95" i="59" s="1"/>
  <c r="T71" i="59"/>
  <c r="W71" i="59" s="1"/>
  <c r="T123" i="59"/>
  <c r="Y123" i="59" s="1"/>
  <c r="T98" i="59"/>
  <c r="W98" i="59" s="1"/>
  <c r="W129" i="59"/>
  <c r="S72" i="59"/>
  <c r="T102" i="59"/>
  <c r="Z102" i="59" s="1"/>
  <c r="T106" i="59"/>
  <c r="T75" i="59"/>
  <c r="W75" i="59" s="1"/>
  <c r="X127" i="59"/>
  <c r="X135" i="59"/>
  <c r="W125" i="59"/>
  <c r="X133" i="59"/>
  <c r="W127" i="59"/>
  <c r="T89" i="59"/>
  <c r="X89" i="59" s="1"/>
  <c r="Y127" i="59"/>
  <c r="Y135" i="59"/>
  <c r="T137" i="59"/>
  <c r="Y137" i="59" s="1"/>
  <c r="T131" i="59"/>
  <c r="W133" i="59"/>
  <c r="S131" i="59"/>
  <c r="W135" i="59"/>
  <c r="W78" i="59"/>
  <c r="Y78" i="59"/>
  <c r="X121" i="59"/>
  <c r="X78" i="59"/>
  <c r="Y69" i="59"/>
  <c r="T97" i="59"/>
  <c r="Y97" i="59" s="1"/>
  <c r="Y129" i="59"/>
  <c r="Y133" i="59"/>
  <c r="X69" i="59"/>
  <c r="Y112" i="59"/>
  <c r="X141" i="59"/>
  <c r="W138" i="59"/>
  <c r="T134" i="59"/>
  <c r="W134" i="59" s="1"/>
  <c r="Y125" i="59"/>
  <c r="X125" i="59"/>
  <c r="X128" i="59"/>
  <c r="W128" i="59"/>
  <c r="Y128" i="59"/>
  <c r="X132" i="59"/>
  <c r="T130" i="59"/>
  <c r="Y130" i="59" s="1"/>
  <c r="T126" i="59"/>
  <c r="Y122" i="59"/>
  <c r="W122" i="59"/>
  <c r="X122" i="59"/>
  <c r="S82" i="59"/>
  <c r="T82" i="59"/>
  <c r="S110" i="59"/>
  <c r="T110" i="59"/>
  <c r="T116" i="59"/>
  <c r="Y116" i="59" s="1"/>
  <c r="W69" i="59"/>
  <c r="T100" i="59"/>
  <c r="Z100" i="59" s="1"/>
  <c r="T94" i="59"/>
  <c r="Z94" i="59" s="1"/>
  <c r="T101" i="59"/>
  <c r="W101" i="59" s="1"/>
  <c r="S103" i="59"/>
  <c r="T103" i="59"/>
  <c r="S111" i="59"/>
  <c r="T111" i="59"/>
  <c r="S107" i="59"/>
  <c r="T107" i="59"/>
  <c r="S118" i="59"/>
  <c r="T118" i="59"/>
  <c r="W141" i="59" l="1"/>
  <c r="X136" i="59"/>
  <c r="W132" i="59"/>
  <c r="V139" i="59"/>
  <c r="V132" i="59"/>
  <c r="Z132" i="59"/>
  <c r="Y136" i="59"/>
  <c r="V136" i="59"/>
  <c r="Z138" i="59"/>
  <c r="X138" i="59"/>
  <c r="W136" i="59"/>
  <c r="Y138" i="59"/>
  <c r="Y139" i="59"/>
  <c r="W139" i="59"/>
  <c r="Z139" i="59"/>
  <c r="V122" i="59"/>
  <c r="X99" i="59"/>
  <c r="Y70" i="59"/>
  <c r="V70" i="59"/>
  <c r="W112" i="59"/>
  <c r="X112" i="59"/>
  <c r="Z73" i="59"/>
  <c r="Z110" i="59"/>
  <c r="X108" i="59"/>
  <c r="Z74" i="59"/>
  <c r="Z98" i="59"/>
  <c r="Z70" i="59"/>
  <c r="W70" i="59"/>
  <c r="Z82" i="59"/>
  <c r="Z124" i="59"/>
  <c r="W121" i="59"/>
  <c r="Z131" i="59"/>
  <c r="Z83" i="59"/>
  <c r="Z91" i="59"/>
  <c r="Z71" i="59"/>
  <c r="Z118" i="59"/>
  <c r="Z111" i="59"/>
  <c r="Y105" i="59"/>
  <c r="W126" i="59"/>
  <c r="Z126" i="59"/>
  <c r="V106" i="59"/>
  <c r="Z106" i="59"/>
  <c r="V119" i="59"/>
  <c r="Z119" i="59"/>
  <c r="Z76" i="59"/>
  <c r="Z97" i="59"/>
  <c r="Z134" i="59"/>
  <c r="Z90" i="59"/>
  <c r="Z114" i="59"/>
  <c r="Z92" i="59"/>
  <c r="Z116" i="59"/>
  <c r="Z84" i="59"/>
  <c r="V108" i="59"/>
  <c r="Z108" i="59"/>
  <c r="Z137" i="59"/>
  <c r="V140" i="59"/>
  <c r="Z140" i="59"/>
  <c r="Z101" i="59"/>
  <c r="Z115" i="59"/>
  <c r="Z93" i="59"/>
  <c r="Z130" i="59"/>
  <c r="Z121" i="59"/>
  <c r="Z79" i="59"/>
  <c r="Z105" i="59"/>
  <c r="Z120" i="59"/>
  <c r="Z99" i="59"/>
  <c r="Z75" i="59"/>
  <c r="V85" i="59"/>
  <c r="Z85" i="59"/>
  <c r="Z88" i="59"/>
  <c r="Z107" i="59"/>
  <c r="Z103" i="59"/>
  <c r="X85" i="59"/>
  <c r="Z72" i="59"/>
  <c r="V113" i="59"/>
  <c r="Z113" i="59"/>
  <c r="W86" i="59"/>
  <c r="Z86" i="59"/>
  <c r="V80" i="59"/>
  <c r="Z80" i="59"/>
  <c r="Z117" i="59"/>
  <c r="Z109" i="59"/>
  <c r="Z81" i="59"/>
  <c r="Z87" i="59"/>
  <c r="Z89" i="59"/>
  <c r="Z96" i="59"/>
  <c r="Z95" i="59"/>
  <c r="Z77" i="59"/>
  <c r="Z123" i="59"/>
  <c r="X90" i="59"/>
  <c r="Y121" i="59"/>
  <c r="W113" i="59"/>
  <c r="W84" i="59"/>
  <c r="Y73" i="59"/>
  <c r="X83" i="59"/>
  <c r="X120" i="59"/>
  <c r="Y119" i="59"/>
  <c r="W77" i="59"/>
  <c r="Y120" i="59"/>
  <c r="Y83" i="59"/>
  <c r="Y124" i="59"/>
  <c r="X124" i="59"/>
  <c r="W119" i="59"/>
  <c r="Y77" i="59"/>
  <c r="W120" i="59"/>
  <c r="X77" i="59"/>
  <c r="W83" i="59"/>
  <c r="W124" i="59"/>
  <c r="X123" i="59"/>
  <c r="X84" i="59"/>
  <c r="Y99" i="59"/>
  <c r="Y113" i="59"/>
  <c r="X73" i="59"/>
  <c r="V99" i="59"/>
  <c r="Y84" i="59"/>
  <c r="X113" i="59"/>
  <c r="W117" i="59"/>
  <c r="X93" i="59"/>
  <c r="W109" i="59"/>
  <c r="W88" i="59"/>
  <c r="Y117" i="59"/>
  <c r="X105" i="59"/>
  <c r="X81" i="59"/>
  <c r="Y88" i="59"/>
  <c r="W73" i="59"/>
  <c r="W105" i="59"/>
  <c r="X117" i="59"/>
  <c r="X76" i="59"/>
  <c r="Y85" i="59"/>
  <c r="Y115" i="59"/>
  <c r="Y87" i="59"/>
  <c r="W81" i="59"/>
  <c r="Y81" i="59"/>
  <c r="Y108" i="59"/>
  <c r="X88" i="59"/>
  <c r="W92" i="59"/>
  <c r="W90" i="59"/>
  <c r="V118" i="59"/>
  <c r="X119" i="59"/>
  <c r="V114" i="59"/>
  <c r="Y90" i="59"/>
  <c r="Y106" i="59"/>
  <c r="X106" i="59"/>
  <c r="V126" i="59"/>
  <c r="V95" i="59"/>
  <c r="V103" i="59"/>
  <c r="V109" i="59"/>
  <c r="V82" i="59"/>
  <c r="W106" i="59"/>
  <c r="V131" i="59"/>
  <c r="V134" i="59"/>
  <c r="V97" i="59"/>
  <c r="Y102" i="59"/>
  <c r="V102" i="59"/>
  <c r="V91" i="59"/>
  <c r="Y71" i="59"/>
  <c r="V107" i="59"/>
  <c r="V111" i="59"/>
  <c r="Y74" i="59"/>
  <c r="X74" i="59"/>
  <c r="Y72" i="59"/>
  <c r="V72" i="59"/>
  <c r="V98" i="59"/>
  <c r="V93" i="59"/>
  <c r="V92" i="59"/>
  <c r="X87" i="59"/>
  <c r="X80" i="59"/>
  <c r="W94" i="59"/>
  <c r="V94" i="59"/>
  <c r="Y109" i="59"/>
  <c r="V110" i="59"/>
  <c r="X140" i="59"/>
  <c r="Y80" i="59"/>
  <c r="W87" i="59"/>
  <c r="X115" i="59"/>
  <c r="Y91" i="59"/>
  <c r="Y93" i="59"/>
  <c r="W74" i="59"/>
  <c r="W80" i="59"/>
  <c r="W123" i="59"/>
  <c r="V123" i="59"/>
  <c r="W104" i="59"/>
  <c r="V104" i="59"/>
  <c r="V79" i="59"/>
  <c r="V89" i="59"/>
  <c r="V101" i="59"/>
  <c r="V130" i="59"/>
  <c r="V71" i="59"/>
  <c r="X86" i="59"/>
  <c r="V86" i="59"/>
  <c r="W96" i="59"/>
  <c r="V96" i="59"/>
  <c r="X92" i="59"/>
  <c r="W140" i="59"/>
  <c r="X71" i="59"/>
  <c r="W115" i="59"/>
  <c r="W79" i="59"/>
  <c r="X100" i="59"/>
  <c r="V100" i="59"/>
  <c r="Y140" i="59"/>
  <c r="Y75" i="59"/>
  <c r="W91" i="59"/>
  <c r="V75" i="59"/>
  <c r="V76" i="59"/>
  <c r="V137" i="59"/>
  <c r="V116" i="59"/>
  <c r="Y86" i="59"/>
  <c r="X75" i="59"/>
  <c r="W95" i="59"/>
  <c r="X102" i="59"/>
  <c r="X96" i="59"/>
  <c r="Y79" i="59"/>
  <c r="Y98" i="59"/>
  <c r="Y104" i="59"/>
  <c r="W76" i="59"/>
  <c r="Y114" i="59"/>
  <c r="X104" i="59"/>
  <c r="X114" i="59"/>
  <c r="Y95" i="59"/>
  <c r="X72" i="59"/>
  <c r="W102" i="59"/>
  <c r="W72" i="59"/>
  <c r="X98" i="59"/>
  <c r="Y89" i="59"/>
  <c r="W116" i="59"/>
  <c r="W131" i="59"/>
  <c r="X131" i="59"/>
  <c r="W89" i="59"/>
  <c r="Y131" i="59"/>
  <c r="X137" i="59"/>
  <c r="W137" i="59"/>
  <c r="X97" i="59"/>
  <c r="Y134" i="59"/>
  <c r="W97" i="59"/>
  <c r="X94" i="59"/>
  <c r="X116" i="59"/>
  <c r="X101" i="59"/>
  <c r="Y100" i="59"/>
  <c r="Y126" i="59"/>
  <c r="X130" i="59"/>
  <c r="X134" i="59"/>
  <c r="X126" i="59"/>
  <c r="W130" i="59"/>
  <c r="W82" i="59"/>
  <c r="X82" i="59"/>
  <c r="Y82" i="59"/>
  <c r="X110" i="59"/>
  <c r="Y110" i="59"/>
  <c r="W110" i="59"/>
  <c r="Y101" i="59"/>
  <c r="X107" i="59"/>
  <c r="W107" i="59"/>
  <c r="Y107" i="59"/>
  <c r="X111" i="59"/>
  <c r="W111" i="59"/>
  <c r="Y111" i="59"/>
  <c r="X118" i="59"/>
  <c r="Y118" i="59"/>
  <c r="W118" i="59"/>
  <c r="X103" i="59"/>
  <c r="W103" i="59"/>
  <c r="Y103" i="59"/>
  <c r="Y94" i="59"/>
  <c r="W100" i="59"/>
  <c r="F25" i="59" l="1"/>
  <c r="AF69" i="59" l="1"/>
  <c r="AF73" i="59"/>
  <c r="AF77" i="59"/>
  <c r="AF81" i="59"/>
  <c r="AF85" i="59"/>
  <c r="AF89" i="59"/>
  <c r="AF93" i="59"/>
  <c r="AF97" i="59"/>
  <c r="AF101" i="59"/>
  <c r="AF105" i="59"/>
  <c r="AF109" i="59"/>
  <c r="AF113" i="59"/>
  <c r="AF117" i="59"/>
  <c r="AF121" i="59"/>
  <c r="AF125" i="59"/>
  <c r="AF129" i="59"/>
  <c r="AF133" i="59"/>
  <c r="AF137" i="59"/>
  <c r="AF141" i="59"/>
  <c r="AF76" i="59"/>
  <c r="AF88" i="59"/>
  <c r="AF96" i="59"/>
  <c r="AF108" i="59"/>
  <c r="AF116" i="59"/>
  <c r="AF128" i="59"/>
  <c r="AF136" i="59"/>
  <c r="AF70" i="59"/>
  <c r="AF74" i="59"/>
  <c r="AF78" i="59"/>
  <c r="AF82" i="59"/>
  <c r="AF86" i="59"/>
  <c r="AF90" i="59"/>
  <c r="AF94" i="59"/>
  <c r="AF98" i="59"/>
  <c r="AF102" i="59"/>
  <c r="AF106" i="59"/>
  <c r="AF110" i="59"/>
  <c r="AF114" i="59"/>
  <c r="AF118" i="59"/>
  <c r="AF122" i="59"/>
  <c r="AF126" i="59"/>
  <c r="AF130" i="59"/>
  <c r="AF134" i="59"/>
  <c r="AF138" i="59"/>
  <c r="AF84" i="59"/>
  <c r="AF100" i="59"/>
  <c r="AF112" i="59"/>
  <c r="AF120" i="59"/>
  <c r="AF132" i="59"/>
  <c r="AF71" i="59"/>
  <c r="AF75" i="59"/>
  <c r="AF79" i="59"/>
  <c r="AF83" i="59"/>
  <c r="AF87" i="59"/>
  <c r="AF91" i="59"/>
  <c r="AF95" i="59"/>
  <c r="AF99" i="59"/>
  <c r="AF103" i="59"/>
  <c r="AF107" i="59"/>
  <c r="AF111" i="59"/>
  <c r="AF115" i="59"/>
  <c r="AF119" i="59"/>
  <c r="AF123" i="59"/>
  <c r="AF127" i="59"/>
  <c r="AF131" i="59"/>
  <c r="AF135" i="59"/>
  <c r="AF139" i="59"/>
  <c r="AF72" i="59"/>
  <c r="AF80" i="59"/>
  <c r="AF92" i="59"/>
  <c r="AF104" i="59"/>
  <c r="AF124" i="59"/>
  <c r="AF140" i="59"/>
  <c r="AB72" i="59"/>
  <c r="AH72" i="59" s="1"/>
  <c r="AB76" i="59"/>
  <c r="AH76" i="59" s="1"/>
  <c r="AB80" i="59"/>
  <c r="AH80" i="59" s="1"/>
  <c r="AB84" i="59"/>
  <c r="AH84" i="59" s="1"/>
  <c r="AB88" i="59"/>
  <c r="AH88" i="59" s="1"/>
  <c r="AB92" i="59"/>
  <c r="AH92" i="59" s="1"/>
  <c r="AB96" i="59"/>
  <c r="AH96" i="59" s="1"/>
  <c r="AB100" i="59"/>
  <c r="AH100" i="59" s="1"/>
  <c r="AB104" i="59"/>
  <c r="AH104" i="59" s="1"/>
  <c r="AB108" i="59"/>
  <c r="AH108" i="59" s="1"/>
  <c r="AB112" i="59"/>
  <c r="AH112" i="59" s="1"/>
  <c r="AB116" i="59"/>
  <c r="AH116" i="59" s="1"/>
  <c r="AB120" i="59"/>
  <c r="AH120" i="59" s="1"/>
  <c r="AB124" i="59"/>
  <c r="AH124" i="59" s="1"/>
  <c r="AB128" i="59"/>
  <c r="AH128" i="59" s="1"/>
  <c r="AB132" i="59"/>
  <c r="AH132" i="59" s="1"/>
  <c r="AB136" i="59"/>
  <c r="AH136" i="59" s="1"/>
  <c r="AB140" i="59"/>
  <c r="AH140" i="59" s="1"/>
  <c r="AB69" i="59"/>
  <c r="AH69" i="59" s="1"/>
  <c r="AB73" i="59"/>
  <c r="AH73" i="59" s="1"/>
  <c r="AB77" i="59"/>
  <c r="AH77" i="59" s="1"/>
  <c r="AB81" i="59"/>
  <c r="AH81" i="59" s="1"/>
  <c r="AB85" i="59"/>
  <c r="AH85" i="59" s="1"/>
  <c r="AB89" i="59"/>
  <c r="AH89" i="59" s="1"/>
  <c r="AB93" i="59"/>
  <c r="AH93" i="59" s="1"/>
  <c r="AB97" i="59"/>
  <c r="AH97" i="59" s="1"/>
  <c r="AB101" i="59"/>
  <c r="AH101" i="59" s="1"/>
  <c r="AB105" i="59"/>
  <c r="AH105" i="59" s="1"/>
  <c r="AB109" i="59"/>
  <c r="AH109" i="59" s="1"/>
  <c r="AB113" i="59"/>
  <c r="AH113" i="59" s="1"/>
  <c r="AB117" i="59"/>
  <c r="AH117" i="59" s="1"/>
  <c r="AB121" i="59"/>
  <c r="AH121" i="59" s="1"/>
  <c r="AB125" i="59"/>
  <c r="AH125" i="59" s="1"/>
  <c r="AB129" i="59"/>
  <c r="AH129" i="59" s="1"/>
  <c r="AB133" i="59"/>
  <c r="AH133" i="59" s="1"/>
  <c r="AB137" i="59"/>
  <c r="AH137" i="59" s="1"/>
  <c r="AB141" i="59"/>
  <c r="AH141" i="59" s="1"/>
  <c r="AB70" i="59"/>
  <c r="AH70" i="59" s="1"/>
  <c r="AB74" i="59"/>
  <c r="AH74" i="59" s="1"/>
  <c r="AB78" i="59"/>
  <c r="AH78" i="59" s="1"/>
  <c r="AB82" i="59"/>
  <c r="AH82" i="59" s="1"/>
  <c r="AB86" i="59"/>
  <c r="AH86" i="59" s="1"/>
  <c r="AB90" i="59"/>
  <c r="AH90" i="59" s="1"/>
  <c r="AB94" i="59"/>
  <c r="AH94" i="59" s="1"/>
  <c r="AB98" i="59"/>
  <c r="AH98" i="59" s="1"/>
  <c r="AB102" i="59"/>
  <c r="AH102" i="59" s="1"/>
  <c r="AB106" i="59"/>
  <c r="AH106" i="59" s="1"/>
  <c r="AB110" i="59"/>
  <c r="AH110" i="59" s="1"/>
  <c r="AB114" i="59"/>
  <c r="AH114" i="59" s="1"/>
  <c r="AB118" i="59"/>
  <c r="AH118" i="59" s="1"/>
  <c r="AB122" i="59"/>
  <c r="AH122" i="59" s="1"/>
  <c r="AB126" i="59"/>
  <c r="AH126" i="59" s="1"/>
  <c r="AB130" i="59"/>
  <c r="AH130" i="59" s="1"/>
  <c r="AB134" i="59"/>
  <c r="AH134" i="59" s="1"/>
  <c r="AB138" i="59"/>
  <c r="AH138" i="59" s="1"/>
  <c r="AB83" i="59"/>
  <c r="AH83" i="59" s="1"/>
  <c r="AB99" i="59"/>
  <c r="AH99" i="59" s="1"/>
  <c r="AB115" i="59"/>
  <c r="AH115" i="59" s="1"/>
  <c r="AB131" i="59"/>
  <c r="AH131" i="59" s="1"/>
  <c r="AB79" i="59"/>
  <c r="AH79" i="59" s="1"/>
  <c r="AB71" i="59"/>
  <c r="AH71" i="59" s="1"/>
  <c r="AB87" i="59"/>
  <c r="AH87" i="59" s="1"/>
  <c r="AB103" i="59"/>
  <c r="AH103" i="59" s="1"/>
  <c r="AB119" i="59"/>
  <c r="AH119" i="59" s="1"/>
  <c r="AB135" i="59"/>
  <c r="AH135" i="59" s="1"/>
  <c r="AB95" i="59"/>
  <c r="AH95" i="59" s="1"/>
  <c r="AB127" i="59"/>
  <c r="AH127" i="59" s="1"/>
  <c r="AB75" i="59"/>
  <c r="AH75" i="59" s="1"/>
  <c r="AB91" i="59"/>
  <c r="AH91" i="59" s="1"/>
  <c r="AB107" i="59"/>
  <c r="AH107" i="59" s="1"/>
  <c r="AB123" i="59"/>
  <c r="AH123" i="59" s="1"/>
  <c r="AB139" i="59"/>
  <c r="AH139" i="59" s="1"/>
  <c r="AB111" i="59"/>
  <c r="AH111" i="59" s="1"/>
  <c r="AD131" i="59"/>
  <c r="AD123" i="59"/>
  <c r="AD133" i="59"/>
  <c r="AD129" i="59"/>
  <c r="AD127" i="59"/>
  <c r="AD135" i="59"/>
  <c r="AD137" i="59"/>
  <c r="AC123" i="59"/>
  <c r="AC137" i="59"/>
  <c r="AE131" i="59"/>
  <c r="AC129" i="59"/>
  <c r="AE135" i="59"/>
  <c r="AE137" i="59"/>
  <c r="AE127" i="59"/>
  <c r="AC133" i="59"/>
  <c r="AE139" i="59"/>
  <c r="AD139" i="59"/>
  <c r="AC125" i="59"/>
  <c r="AC139" i="59"/>
  <c r="AC135" i="59"/>
  <c r="AC131" i="59"/>
  <c r="AE123" i="59"/>
  <c r="AC127" i="59"/>
  <c r="AE132" i="59"/>
  <c r="AE130" i="59"/>
  <c r="AC140" i="59"/>
  <c r="AD140" i="59"/>
  <c r="AC126" i="59"/>
  <c r="AE138" i="59"/>
  <c r="AE129" i="59"/>
  <c r="AE128" i="59"/>
  <c r="AC141" i="59"/>
  <c r="AC132" i="59"/>
  <c r="AE136" i="59"/>
  <c r="AD138" i="59"/>
  <c r="AE134" i="59"/>
  <c r="AC136" i="59"/>
  <c r="AE140" i="59"/>
  <c r="AC138" i="59"/>
  <c r="AC134" i="59"/>
  <c r="AC128" i="59"/>
  <c r="AD125" i="59"/>
  <c r="AE125" i="59"/>
  <c r="AC124" i="59"/>
  <c r="AE141" i="59"/>
  <c r="AD128" i="59"/>
  <c r="AE133" i="59"/>
  <c r="AD132" i="59"/>
  <c r="AD124" i="59"/>
  <c r="AE124" i="59"/>
  <c r="AD141" i="59"/>
  <c r="AD136" i="59"/>
  <c r="AE126" i="59"/>
  <c r="AD134" i="59"/>
  <c r="AD130" i="59"/>
  <c r="AD126" i="59"/>
  <c r="AC130" i="59"/>
  <c r="AC69" i="59"/>
  <c r="AD91" i="59"/>
  <c r="AD93" i="59"/>
  <c r="AD116" i="59"/>
  <c r="AD108" i="59"/>
  <c r="AC119" i="59"/>
  <c r="AD121" i="59"/>
  <c r="AD88" i="59"/>
  <c r="AD89" i="59"/>
  <c r="AE73" i="59"/>
  <c r="AC80" i="59"/>
  <c r="AD97" i="59"/>
  <c r="AC97" i="59"/>
  <c r="AC76" i="59"/>
  <c r="AD74" i="59"/>
  <c r="AC112" i="59"/>
  <c r="AD114" i="59"/>
  <c r="AC78" i="59"/>
  <c r="AD69" i="59"/>
  <c r="AC91" i="59"/>
  <c r="AE88" i="59"/>
  <c r="AC99" i="59"/>
  <c r="AD104" i="59"/>
  <c r="AD99" i="59"/>
  <c r="AC114" i="59"/>
  <c r="AC105" i="59"/>
  <c r="AE70" i="59"/>
  <c r="AE75" i="59"/>
  <c r="AE91" i="59"/>
  <c r="AD72" i="59"/>
  <c r="AD84" i="59"/>
  <c r="AD106" i="59"/>
  <c r="AC81" i="59"/>
  <c r="AC93" i="59"/>
  <c r="AE114" i="59"/>
  <c r="AC73" i="59"/>
  <c r="AC108" i="59"/>
  <c r="AE112" i="59"/>
  <c r="AE93" i="59"/>
  <c r="AC87" i="59"/>
  <c r="AE102" i="59"/>
  <c r="AD78" i="59"/>
  <c r="AC89" i="59"/>
  <c r="AC71" i="59"/>
  <c r="AC121" i="59"/>
  <c r="AE121" i="59"/>
  <c r="AE81" i="59"/>
  <c r="AC74" i="59"/>
  <c r="AE97" i="59"/>
  <c r="AC104" i="59"/>
  <c r="AE78" i="59"/>
  <c r="AC106" i="59"/>
  <c r="AE89" i="59"/>
  <c r="AE76" i="59"/>
  <c r="AD115" i="59"/>
  <c r="AE74" i="59"/>
  <c r="AE108" i="59"/>
  <c r="AD73" i="59"/>
  <c r="AE80" i="59"/>
  <c r="AE69" i="59"/>
  <c r="AD102" i="59"/>
  <c r="AD112" i="59"/>
  <c r="AE96" i="59"/>
  <c r="AD101" i="59"/>
  <c r="AE84" i="59"/>
  <c r="AE119" i="59"/>
  <c r="AC84" i="59"/>
  <c r="AC70" i="59"/>
  <c r="AD117" i="59"/>
  <c r="AC95" i="59"/>
  <c r="AC86" i="59"/>
  <c r="AC72" i="59"/>
  <c r="AC120" i="59"/>
  <c r="AD77" i="59"/>
  <c r="AD100" i="59"/>
  <c r="AE115" i="59"/>
  <c r="AD119" i="59"/>
  <c r="AE85" i="59"/>
  <c r="AC96" i="59"/>
  <c r="AE99" i="59"/>
  <c r="AD113" i="59"/>
  <c r="AE95" i="59"/>
  <c r="AD122" i="59"/>
  <c r="AD95" i="59"/>
  <c r="AD90" i="59"/>
  <c r="AE98" i="59"/>
  <c r="AD80" i="59"/>
  <c r="AC113" i="59"/>
  <c r="AE106" i="59"/>
  <c r="AD70" i="59"/>
  <c r="AC116" i="59"/>
  <c r="AC94" i="59"/>
  <c r="AE109" i="59"/>
  <c r="AE116" i="59"/>
  <c r="AD96" i="59"/>
  <c r="AC101" i="59"/>
  <c r="AC83" i="59"/>
  <c r="AE71" i="59"/>
  <c r="AC85" i="59"/>
  <c r="AE100" i="59"/>
  <c r="AC92" i="59"/>
  <c r="AE77" i="59"/>
  <c r="AE87" i="59"/>
  <c r="AD105" i="59"/>
  <c r="AC98" i="59"/>
  <c r="AC88" i="59"/>
  <c r="AD76" i="59"/>
  <c r="AD75" i="59"/>
  <c r="AE83" i="59"/>
  <c r="AE117" i="59"/>
  <c r="AC115" i="59"/>
  <c r="AD92" i="59"/>
  <c r="AE105" i="59"/>
  <c r="AD98" i="59"/>
  <c r="AC90" i="59"/>
  <c r="AD71" i="59"/>
  <c r="AE113" i="59"/>
  <c r="AD79" i="59"/>
  <c r="AD83" i="59"/>
  <c r="AC117" i="59"/>
  <c r="AC75" i="59"/>
  <c r="AC109" i="59"/>
  <c r="AE90" i="59"/>
  <c r="AD94" i="59"/>
  <c r="AD109" i="59"/>
  <c r="AE122" i="59"/>
  <c r="AD86" i="59"/>
  <c r="AC79" i="59"/>
  <c r="AD87" i="59"/>
  <c r="AE120" i="59"/>
  <c r="AC102" i="59"/>
  <c r="AE79" i="59"/>
  <c r="AD81" i="59"/>
  <c r="AE72" i="59"/>
  <c r="AD85" i="59"/>
  <c r="AC122" i="59"/>
  <c r="AE86" i="59"/>
  <c r="AD120" i="59"/>
  <c r="AC77" i="59"/>
  <c r="AE92" i="59"/>
  <c r="AE104" i="59"/>
  <c r="AD118" i="59"/>
  <c r="AE111" i="59"/>
  <c r="AC111" i="59"/>
  <c r="AC82" i="59"/>
  <c r="AC100" i="59"/>
  <c r="AD110" i="59"/>
  <c r="AC118" i="59"/>
  <c r="AE107" i="59"/>
  <c r="AE94" i="59"/>
  <c r="AD107" i="59"/>
  <c r="AC107" i="59"/>
  <c r="AD103" i="59"/>
  <c r="AE82" i="59"/>
  <c r="AC103" i="59"/>
  <c r="AE101" i="59"/>
  <c r="AC110" i="59"/>
  <c r="AE118" i="59"/>
  <c r="AE103" i="59"/>
  <c r="AE110" i="59"/>
  <c r="AD82" i="59"/>
  <c r="AD111" i="59"/>
  <c r="AI119" i="59" l="1"/>
  <c r="AJ119" i="59" s="1"/>
  <c r="AI123" i="59"/>
  <c r="AJ123" i="59" s="1"/>
  <c r="AK123" i="59" s="1"/>
  <c r="AL123" i="59" s="1"/>
  <c r="AI138" i="59"/>
  <c r="AJ138" i="59" s="1"/>
  <c r="AK138" i="59" s="1"/>
  <c r="AL138" i="59" s="1"/>
  <c r="AI90" i="59"/>
  <c r="AJ90" i="59" s="1"/>
  <c r="AK90" i="59" s="1"/>
  <c r="AL90" i="59" s="1"/>
  <c r="AI141" i="59"/>
  <c r="AJ141" i="59" s="1"/>
  <c r="AI125" i="59"/>
  <c r="AJ125" i="59" s="1"/>
  <c r="AI109" i="59"/>
  <c r="AJ109" i="59" s="1"/>
  <c r="AK109" i="59" s="1"/>
  <c r="AL109" i="59" s="1"/>
  <c r="AI93" i="59"/>
  <c r="AJ93" i="59" s="1"/>
  <c r="AK93" i="59" s="1"/>
  <c r="AL93" i="59" s="1"/>
  <c r="AI77" i="59"/>
  <c r="AJ77" i="59" s="1"/>
  <c r="AI96" i="59"/>
  <c r="AJ96" i="59" s="1"/>
  <c r="AK96" i="59" s="1"/>
  <c r="AL96" i="59" s="1"/>
  <c r="AI80" i="59"/>
  <c r="AJ80" i="59" s="1"/>
  <c r="AK80" i="59" s="1"/>
  <c r="AL80" i="59" s="1"/>
  <c r="AK141" i="59"/>
  <c r="AL141" i="59" s="1"/>
  <c r="AI131" i="59"/>
  <c r="AJ131" i="59" s="1"/>
  <c r="AK131" i="59" s="1"/>
  <c r="AL131" i="59" s="1"/>
  <c r="AI121" i="59"/>
  <c r="AJ121" i="59" s="1"/>
  <c r="AK121" i="59" s="1"/>
  <c r="AL121" i="59" s="1"/>
  <c r="AI105" i="59"/>
  <c r="AI108" i="59"/>
  <c r="AJ108" i="59" s="1"/>
  <c r="AK108" i="59" s="1"/>
  <c r="AL108" i="59" s="1"/>
  <c r="AI92" i="59"/>
  <c r="AJ92" i="59" s="1"/>
  <c r="AK92" i="59" s="1"/>
  <c r="AL92" i="59" s="1"/>
  <c r="AI76" i="59"/>
  <c r="AJ76" i="59" s="1"/>
  <c r="AK76" i="59" s="1"/>
  <c r="AL76" i="59" s="1"/>
  <c r="AI135" i="59"/>
  <c r="AJ135" i="59" s="1"/>
  <c r="AK135" i="59" s="1"/>
  <c r="AL135" i="59" s="1"/>
  <c r="AI106" i="59"/>
  <c r="AJ106" i="59" s="1"/>
  <c r="AK106" i="59" s="1"/>
  <c r="AL106" i="59" s="1"/>
  <c r="AI74" i="59"/>
  <c r="AJ74" i="59" s="1"/>
  <c r="AK74" i="59" s="1"/>
  <c r="AL74" i="59" s="1"/>
  <c r="AI115" i="59"/>
  <c r="AJ115" i="59" s="1"/>
  <c r="AK115" i="59" s="1"/>
  <c r="AL115" i="59" s="1"/>
  <c r="AI118" i="59"/>
  <c r="AJ118" i="59" s="1"/>
  <c r="AK118" i="59" s="1"/>
  <c r="AL118" i="59" s="1"/>
  <c r="AI86" i="59"/>
  <c r="AJ86" i="59" s="1"/>
  <c r="AK86" i="59" s="1"/>
  <c r="AL86" i="59" s="1"/>
  <c r="AI89" i="59"/>
  <c r="AJ89" i="59" s="1"/>
  <c r="AK89" i="59" s="1"/>
  <c r="AL89" i="59" s="1"/>
  <c r="AK119" i="59"/>
  <c r="AL119" i="59" s="1"/>
  <c r="AK125" i="59"/>
  <c r="AL125" i="59" s="1"/>
  <c r="AI91" i="59"/>
  <c r="AJ91" i="59" s="1"/>
  <c r="AK91" i="59" s="1"/>
  <c r="AL91" i="59" s="1"/>
  <c r="AI95" i="59"/>
  <c r="AJ95" i="59" s="1"/>
  <c r="AK95" i="59" s="1"/>
  <c r="AL95" i="59" s="1"/>
  <c r="AI103" i="59"/>
  <c r="AJ103" i="59" s="1"/>
  <c r="AK103" i="59" s="1"/>
  <c r="AL103" i="59" s="1"/>
  <c r="AI79" i="59"/>
  <c r="AJ79" i="59" s="1"/>
  <c r="AK79" i="59" s="1"/>
  <c r="AL79" i="59" s="1"/>
  <c r="AI99" i="59"/>
  <c r="AJ99" i="59" s="1"/>
  <c r="AK99" i="59" s="1"/>
  <c r="AL99" i="59" s="1"/>
  <c r="AI130" i="59"/>
  <c r="AJ130" i="59" s="1"/>
  <c r="AK130" i="59" s="1"/>
  <c r="AL130" i="59" s="1"/>
  <c r="AI114" i="59"/>
  <c r="AJ114" i="59" s="1"/>
  <c r="AK114" i="59" s="1"/>
  <c r="AL114" i="59" s="1"/>
  <c r="AI98" i="59"/>
  <c r="AJ98" i="59" s="1"/>
  <c r="AK98" i="59" s="1"/>
  <c r="AL98" i="59" s="1"/>
  <c r="AI82" i="59"/>
  <c r="AJ82" i="59" s="1"/>
  <c r="AK82" i="59" s="1"/>
  <c r="AL82" i="59" s="1"/>
  <c r="AI133" i="59"/>
  <c r="AJ133" i="59" s="1"/>
  <c r="AK133" i="59" s="1"/>
  <c r="AL133" i="59" s="1"/>
  <c r="AI117" i="59"/>
  <c r="AJ117" i="59" s="1"/>
  <c r="AK117" i="59" s="1"/>
  <c r="AL117" i="59" s="1"/>
  <c r="AI101" i="59"/>
  <c r="AJ101" i="59" s="1"/>
  <c r="AK101" i="59" s="1"/>
  <c r="AL101" i="59" s="1"/>
  <c r="AI85" i="59"/>
  <c r="AJ85" i="59" s="1"/>
  <c r="AK85" i="59" s="1"/>
  <c r="AL85" i="59" s="1"/>
  <c r="AI69" i="59"/>
  <c r="AJ69" i="59" s="1"/>
  <c r="AK69" i="59" s="1"/>
  <c r="AL69" i="59" s="1"/>
  <c r="AI136" i="59"/>
  <c r="AJ136" i="59" s="1"/>
  <c r="AK136" i="59" s="1"/>
  <c r="AL136" i="59" s="1"/>
  <c r="AI120" i="59"/>
  <c r="AJ120" i="59" s="1"/>
  <c r="AK120" i="59" s="1"/>
  <c r="AL120" i="59" s="1"/>
  <c r="AI104" i="59"/>
  <c r="AJ104" i="59" s="1"/>
  <c r="AK104" i="59" s="1"/>
  <c r="AL104" i="59" s="1"/>
  <c r="AI88" i="59"/>
  <c r="AJ88" i="59" s="1"/>
  <c r="AK88" i="59" s="1"/>
  <c r="AL88" i="59" s="1"/>
  <c r="AI72" i="59"/>
  <c r="AJ72" i="59" s="1"/>
  <c r="AK72" i="59" s="1"/>
  <c r="AL72" i="59" s="1"/>
  <c r="AI71" i="59"/>
  <c r="AJ71" i="59" s="1"/>
  <c r="AK71" i="59" s="1"/>
  <c r="AL71" i="59" s="1"/>
  <c r="AI122" i="59"/>
  <c r="AJ122" i="59" s="1"/>
  <c r="AK122" i="59" s="1"/>
  <c r="AL122" i="59" s="1"/>
  <c r="AI128" i="59"/>
  <c r="AJ128" i="59" s="1"/>
  <c r="AK128" i="59" s="1"/>
  <c r="AL128" i="59" s="1"/>
  <c r="AI112" i="59"/>
  <c r="AJ112" i="59" s="1"/>
  <c r="AK112" i="59" s="1"/>
  <c r="AL112" i="59" s="1"/>
  <c r="AI111" i="59"/>
  <c r="AJ111" i="59" s="1"/>
  <c r="AK111" i="59" s="1"/>
  <c r="AL111" i="59" s="1"/>
  <c r="AI107" i="59"/>
  <c r="AJ107" i="59" s="1"/>
  <c r="AK107" i="59" s="1"/>
  <c r="AL107" i="59" s="1"/>
  <c r="AI127" i="59"/>
  <c r="AJ127" i="59" s="1"/>
  <c r="AK127" i="59" s="1"/>
  <c r="AL127" i="59" s="1"/>
  <c r="AI134" i="59"/>
  <c r="AJ134" i="59" s="1"/>
  <c r="AK134" i="59" s="1"/>
  <c r="AL134" i="59" s="1"/>
  <c r="AI102" i="59"/>
  <c r="AJ102" i="59" s="1"/>
  <c r="AK102" i="59" s="1"/>
  <c r="AL102" i="59" s="1"/>
  <c r="AI70" i="59"/>
  <c r="AJ70" i="59" s="1"/>
  <c r="AK70" i="59" s="1"/>
  <c r="AL70" i="59" s="1"/>
  <c r="AI137" i="59"/>
  <c r="AJ137" i="59" s="1"/>
  <c r="AK137" i="59" s="1"/>
  <c r="AL137" i="59" s="1"/>
  <c r="AJ105" i="59"/>
  <c r="AK105" i="59" s="1"/>
  <c r="AL105" i="59" s="1"/>
  <c r="AI73" i="59"/>
  <c r="AJ73" i="59" s="1"/>
  <c r="AK73" i="59" s="1"/>
  <c r="AL73" i="59" s="1"/>
  <c r="AI140" i="59"/>
  <c r="AJ140" i="59" s="1"/>
  <c r="AK140" i="59" s="1"/>
  <c r="AL140" i="59" s="1"/>
  <c r="AI124" i="59"/>
  <c r="AJ124" i="59" s="1"/>
  <c r="AK124" i="59" s="1"/>
  <c r="AL124" i="59" s="1"/>
  <c r="AK77" i="59"/>
  <c r="AL77" i="59" s="1"/>
  <c r="AI139" i="59"/>
  <c r="AJ139" i="59" s="1"/>
  <c r="AK139" i="59" s="1"/>
  <c r="AL139" i="59" s="1"/>
  <c r="AI75" i="59"/>
  <c r="AJ75" i="59" s="1"/>
  <c r="AK75" i="59" s="1"/>
  <c r="AL75" i="59" s="1"/>
  <c r="AI87" i="59"/>
  <c r="AJ87" i="59" s="1"/>
  <c r="AK87" i="59" s="1"/>
  <c r="AL87" i="59" s="1"/>
  <c r="AI83" i="59"/>
  <c r="AJ83" i="59" s="1"/>
  <c r="AK83" i="59" s="1"/>
  <c r="AL83" i="59" s="1"/>
  <c r="AI126" i="59"/>
  <c r="AJ126" i="59" s="1"/>
  <c r="AK126" i="59" s="1"/>
  <c r="AL126" i="59" s="1"/>
  <c r="AI110" i="59"/>
  <c r="AJ110" i="59" s="1"/>
  <c r="AK110" i="59" s="1"/>
  <c r="AL110" i="59" s="1"/>
  <c r="AI94" i="59"/>
  <c r="AJ94" i="59" s="1"/>
  <c r="AK94" i="59" s="1"/>
  <c r="AL94" i="59" s="1"/>
  <c r="AI78" i="59"/>
  <c r="AJ78" i="59" s="1"/>
  <c r="AK78" i="59" s="1"/>
  <c r="AL78" i="59" s="1"/>
  <c r="AI129" i="59"/>
  <c r="AJ129" i="59" s="1"/>
  <c r="AK129" i="59" s="1"/>
  <c r="AL129" i="59" s="1"/>
  <c r="AI113" i="59"/>
  <c r="AJ113" i="59" s="1"/>
  <c r="AK113" i="59" s="1"/>
  <c r="AL113" i="59" s="1"/>
  <c r="AI97" i="59"/>
  <c r="AJ97" i="59" s="1"/>
  <c r="AK97" i="59" s="1"/>
  <c r="AL97" i="59" s="1"/>
  <c r="AI81" i="59"/>
  <c r="AJ81" i="59" s="1"/>
  <c r="AK81" i="59" s="1"/>
  <c r="AL81" i="59" s="1"/>
  <c r="AI132" i="59"/>
  <c r="AJ132" i="59" s="1"/>
  <c r="AK132" i="59" s="1"/>
  <c r="AL132" i="59" s="1"/>
  <c r="AI116" i="59"/>
  <c r="AJ116" i="59" s="1"/>
  <c r="AK116" i="59" s="1"/>
  <c r="AL116" i="59" s="1"/>
  <c r="AI100" i="59"/>
  <c r="AJ100" i="59" s="1"/>
  <c r="AK100" i="59" s="1"/>
  <c r="AL100" i="59" s="1"/>
  <c r="AI84" i="59"/>
  <c r="AJ84" i="59" s="1"/>
  <c r="AK84" i="59" s="1"/>
  <c r="AL84" i="59" s="1"/>
  <c r="AH52" i="39"/>
  <c r="AI52" i="39"/>
  <c r="AJ52" i="39"/>
  <c r="AH42" i="39"/>
  <c r="AI42" i="39"/>
  <c r="AJ42" i="39" l="1"/>
  <c r="K56" i="59" l="1"/>
  <c r="L56" i="59"/>
  <c r="M56" i="59"/>
  <c r="K57" i="59"/>
  <c r="L57" i="59"/>
  <c r="M57" i="59"/>
  <c r="K58" i="59"/>
  <c r="L58" i="59"/>
  <c r="M58" i="59"/>
  <c r="K59" i="59"/>
  <c r="L59" i="59"/>
  <c r="M59" i="59"/>
  <c r="K60" i="59"/>
  <c r="L60" i="59"/>
  <c r="M60" i="59"/>
  <c r="K61" i="59"/>
  <c r="L61" i="59"/>
  <c r="M61" i="59"/>
  <c r="K62" i="59"/>
  <c r="L62" i="59"/>
  <c r="M62" i="59"/>
  <c r="K63" i="59"/>
  <c r="L63" i="59"/>
  <c r="M63" i="59"/>
  <c r="K64" i="59"/>
  <c r="L64" i="59"/>
  <c r="M64" i="59"/>
  <c r="K65" i="59"/>
  <c r="L65" i="59"/>
  <c r="M65" i="59"/>
  <c r="K66" i="59"/>
  <c r="L66" i="59"/>
  <c r="M66" i="59"/>
  <c r="K67" i="59"/>
  <c r="L67" i="59"/>
  <c r="M67" i="59"/>
  <c r="K68" i="59"/>
  <c r="L68" i="59"/>
  <c r="M68" i="59"/>
  <c r="N56" i="59"/>
  <c r="H56" i="59"/>
  <c r="N57" i="59"/>
  <c r="H57" i="59"/>
  <c r="N58" i="59"/>
  <c r="H58" i="59"/>
  <c r="N59" i="59"/>
  <c r="H59" i="59"/>
  <c r="N60" i="59"/>
  <c r="H60" i="59"/>
  <c r="N61" i="59"/>
  <c r="H61" i="59"/>
  <c r="N62" i="59"/>
  <c r="H62" i="59"/>
  <c r="N63" i="59"/>
  <c r="H63" i="59"/>
  <c r="N64" i="59"/>
  <c r="H64" i="59"/>
  <c r="N65" i="59"/>
  <c r="H65" i="59"/>
  <c r="N66" i="59"/>
  <c r="H66" i="59"/>
  <c r="N67" i="59"/>
  <c r="H67" i="59"/>
  <c r="N68" i="59"/>
  <c r="H68" i="59"/>
  <c r="J56" i="59"/>
  <c r="J57" i="59"/>
  <c r="J58" i="59"/>
  <c r="J59" i="59"/>
  <c r="J60" i="59"/>
  <c r="J61" i="59"/>
  <c r="J62" i="59"/>
  <c r="J63" i="59"/>
  <c r="J64" i="59"/>
  <c r="J65" i="59"/>
  <c r="J66" i="59"/>
  <c r="J67" i="59"/>
  <c r="J68" i="59"/>
  <c r="I51" i="59"/>
  <c r="I52" i="59"/>
  <c r="I53" i="59"/>
  <c r="I54" i="59"/>
  <c r="I55" i="59"/>
  <c r="I56" i="59"/>
  <c r="I57" i="59"/>
  <c r="I58" i="59"/>
  <c r="I59" i="59"/>
  <c r="I60" i="59"/>
  <c r="I61" i="59"/>
  <c r="I62" i="59"/>
  <c r="I63" i="59"/>
  <c r="I64" i="59"/>
  <c r="I65" i="59"/>
  <c r="I66" i="59"/>
  <c r="I67" i="59"/>
  <c r="I68" i="59"/>
  <c r="H52" i="59"/>
  <c r="H53" i="59"/>
  <c r="H54" i="59"/>
  <c r="H55" i="59"/>
  <c r="H51" i="59"/>
  <c r="N51" i="59"/>
  <c r="B52" i="59"/>
  <c r="B53" i="59"/>
  <c r="B54" i="59"/>
  <c r="B55" i="59"/>
  <c r="B56" i="59"/>
  <c r="B57" i="59"/>
  <c r="B58" i="59"/>
  <c r="B59" i="59"/>
  <c r="B60" i="59"/>
  <c r="B61" i="59"/>
  <c r="B62" i="59"/>
  <c r="B63" i="59"/>
  <c r="B64" i="59"/>
  <c r="B65" i="59"/>
  <c r="B66" i="59"/>
  <c r="B67" i="59"/>
  <c r="B68" i="59"/>
  <c r="B51" i="59"/>
  <c r="F19" i="59"/>
  <c r="AN119" i="59" l="1" a="1"/>
  <c r="AN119" i="59" s="1"/>
  <c r="AN109" i="59" a="1"/>
  <c r="AN109" i="59" s="1"/>
  <c r="AN108" i="59" a="1"/>
  <c r="AN108" i="59" s="1"/>
  <c r="AN101" i="59" a="1"/>
  <c r="AN101" i="59" s="1"/>
  <c r="AN99" i="59" a="1"/>
  <c r="AN99" i="59" s="1"/>
  <c r="AN91" i="59" a="1"/>
  <c r="AN91" i="59" s="1"/>
  <c r="AN123" i="59" a="1"/>
  <c r="AN123" i="59" s="1"/>
  <c r="AN122" i="59" a="1"/>
  <c r="AN122" i="59" s="1"/>
  <c r="AN121" i="59" a="1"/>
  <c r="AN121" i="59" s="1"/>
  <c r="AN120" i="59" a="1"/>
  <c r="AN120" i="59" s="1"/>
  <c r="AN118" i="59" a="1"/>
  <c r="AN118" i="59" s="1"/>
  <c r="AN117" i="59" a="1"/>
  <c r="AN117" i="59" s="1"/>
  <c r="AN116" i="59" a="1"/>
  <c r="AN116" i="59" s="1"/>
  <c r="AN115" i="59" a="1"/>
  <c r="AN115" i="59" s="1"/>
  <c r="AN114" i="59" a="1"/>
  <c r="AN114" i="59" s="1"/>
  <c r="AN113" i="59" a="1"/>
  <c r="AN113" i="59" s="1"/>
  <c r="AN112" i="59" a="1"/>
  <c r="AN112" i="59" s="1"/>
  <c r="AN111" i="59" a="1"/>
  <c r="AN111" i="59" s="1"/>
  <c r="AN110" i="59" a="1"/>
  <c r="AN110" i="59" s="1"/>
  <c r="AN107" i="59" a="1"/>
  <c r="AN107" i="59" s="1"/>
  <c r="AN106" i="59" a="1"/>
  <c r="AN106" i="59" s="1"/>
  <c r="AN105" i="59" a="1"/>
  <c r="AN105" i="59" s="1"/>
  <c r="AN104" i="59" a="1"/>
  <c r="AN104" i="59" s="1"/>
  <c r="AN103" i="59" a="1"/>
  <c r="AN103" i="59" s="1"/>
  <c r="AN102" i="59" a="1"/>
  <c r="AN102" i="59" s="1"/>
  <c r="AN100" i="59" a="1"/>
  <c r="AN100" i="59" s="1"/>
  <c r="AN98" i="59" a="1"/>
  <c r="AN98" i="59" s="1"/>
  <c r="AN97" i="59" a="1"/>
  <c r="AN97" i="59" s="1"/>
  <c r="AN96" i="59" a="1"/>
  <c r="AN96" i="59" s="1"/>
  <c r="AN95" i="59" a="1"/>
  <c r="AN95" i="59" s="1"/>
  <c r="AN87" i="59" a="1"/>
  <c r="AN87" i="59" s="1"/>
  <c r="AN86" i="59" a="1"/>
  <c r="AN86" i="59" s="1"/>
  <c r="AN81" i="59" a="1"/>
  <c r="AN81" i="59" s="1"/>
  <c r="AN80" i="59" a="1"/>
  <c r="AN80" i="59" s="1"/>
  <c r="AN124" i="59" a="1"/>
  <c r="AN124" i="59" s="1"/>
  <c r="AP138" i="59" a="1"/>
  <c r="AP138" i="59" s="1"/>
  <c r="AO137" i="59" a="1"/>
  <c r="AO137" i="59" s="1"/>
  <c r="AP136" i="59" a="1"/>
  <c r="AP136" i="59" s="1"/>
  <c r="AN133" i="59" a="1"/>
  <c r="AN133" i="59" s="1"/>
  <c r="AN129" i="59" a="1"/>
  <c r="AN129" i="59" s="1"/>
  <c r="AO128" i="59" a="1"/>
  <c r="AO128" i="59" s="1"/>
  <c r="AO127" i="59" a="1"/>
  <c r="AO127" i="59" s="1"/>
  <c r="AN141" i="59" a="1"/>
  <c r="AN141" i="59" s="1"/>
  <c r="AN140" i="59" a="1"/>
  <c r="AN140" i="59" s="1"/>
  <c r="AP139" i="59" a="1"/>
  <c r="AP139" i="59" s="1"/>
  <c r="AP135" i="59" a="1"/>
  <c r="AP135" i="59" s="1"/>
  <c r="AO134" i="59" a="1"/>
  <c r="AO134" i="59" s="1"/>
  <c r="AN132" i="59" a="1"/>
  <c r="AN132" i="59" s="1"/>
  <c r="AQ131" i="59" a="1"/>
  <c r="AQ131" i="59" s="1"/>
  <c r="AN130" i="59" a="1"/>
  <c r="AN130" i="59" s="1"/>
  <c r="AP126" i="59" a="1"/>
  <c r="AP126" i="59" s="1"/>
  <c r="AQ125" i="59" a="1"/>
  <c r="AQ125" i="59" s="1"/>
  <c r="AV125" i="59" s="1"/>
  <c r="AN94" i="59" a="1"/>
  <c r="AN94" i="59" s="1"/>
  <c r="AN79" i="59" a="1"/>
  <c r="AN79" i="59" s="1"/>
  <c r="AN77" i="59" a="1"/>
  <c r="AN77" i="59" s="1"/>
  <c r="AN138" i="59" a="1"/>
  <c r="AN138" i="59" s="1"/>
  <c r="AN136" i="59" a="1"/>
  <c r="AN136" i="59" s="1"/>
  <c r="AQ129" i="59" a="1"/>
  <c r="AQ129" i="59" s="1"/>
  <c r="AN127" i="59" a="1"/>
  <c r="AN127" i="59" s="1"/>
  <c r="AP140" i="59" a="1"/>
  <c r="AP140" i="59" s="1"/>
  <c r="AQ135" i="59" a="1"/>
  <c r="AQ135" i="59" s="1"/>
  <c r="AO132" i="59" a="1"/>
  <c r="AO132" i="59" s="1"/>
  <c r="AO130" i="59" a="1"/>
  <c r="AO130" i="59" s="1"/>
  <c r="AP125" i="59" a="1"/>
  <c r="AP125" i="59" s="1"/>
  <c r="AN93" i="59" a="1"/>
  <c r="AN93" i="59" s="1"/>
  <c r="AN89" i="59" a="1"/>
  <c r="AN89" i="59" s="1"/>
  <c r="AN76" i="59" a="1"/>
  <c r="AN76" i="59" s="1"/>
  <c r="AQ138" i="59" a="1"/>
  <c r="AQ138" i="59" s="1"/>
  <c r="AV138" i="59" s="1"/>
  <c r="AQ136" i="59" a="1"/>
  <c r="AQ136" i="59" s="1"/>
  <c r="AP129" i="59" a="1"/>
  <c r="AP129" i="59" s="1"/>
  <c r="AQ128" i="59" a="1"/>
  <c r="AQ128" i="59" s="1"/>
  <c r="AV128" i="59" s="1"/>
  <c r="AP141" i="59" a="1"/>
  <c r="AP141" i="59" s="1"/>
  <c r="AQ139" i="59" a="1"/>
  <c r="AQ139" i="59" s="1"/>
  <c r="AP134" i="59" a="1"/>
  <c r="AP134" i="59" s="1"/>
  <c r="AO131" i="59" a="1"/>
  <c r="AO131" i="59" s="1"/>
  <c r="AP130" i="59" a="1"/>
  <c r="AP130" i="59" s="1"/>
  <c r="AN125" i="59" a="1"/>
  <c r="AN125" i="59" s="1"/>
  <c r="AO119" i="59" a="1"/>
  <c r="AO119" i="59" s="1"/>
  <c r="AO109" i="59" a="1"/>
  <c r="AO109" i="59" s="1"/>
  <c r="AO108" i="59" a="1"/>
  <c r="AO108" i="59" s="1"/>
  <c r="AO101" i="59" a="1"/>
  <c r="AO101" i="59" s="1"/>
  <c r="AO99" i="59" a="1"/>
  <c r="AO99" i="59" s="1"/>
  <c r="AN90" i="59" a="1"/>
  <c r="AN90" i="59" s="1"/>
  <c r="AN82" i="59" a="1"/>
  <c r="AN82" i="59" s="1"/>
  <c r="AO123" i="59" a="1"/>
  <c r="AO123" i="59" s="1"/>
  <c r="AO122" i="59" a="1"/>
  <c r="AO122" i="59" s="1"/>
  <c r="AO121" i="59" a="1"/>
  <c r="AO121" i="59" s="1"/>
  <c r="AO120" i="59" a="1"/>
  <c r="AO120" i="59" s="1"/>
  <c r="AO118" i="59" a="1"/>
  <c r="AO118" i="59" s="1"/>
  <c r="AO117" i="59" a="1"/>
  <c r="AO117" i="59" s="1"/>
  <c r="AO116" i="59" a="1"/>
  <c r="AO116" i="59" s="1"/>
  <c r="AO115" i="59" a="1"/>
  <c r="AO115" i="59" s="1"/>
  <c r="AO114" i="59" a="1"/>
  <c r="AO114" i="59" s="1"/>
  <c r="AO113" i="59" a="1"/>
  <c r="AO113" i="59" s="1"/>
  <c r="AO112" i="59" a="1"/>
  <c r="AO112" i="59" s="1"/>
  <c r="AO111" i="59" a="1"/>
  <c r="AO111" i="59" s="1"/>
  <c r="AO110" i="59" a="1"/>
  <c r="AO110" i="59" s="1"/>
  <c r="AO107" i="59" a="1"/>
  <c r="AO107" i="59" s="1"/>
  <c r="AO106" i="59" a="1"/>
  <c r="AO106" i="59" s="1"/>
  <c r="AO105" i="59" a="1"/>
  <c r="AO105" i="59" s="1"/>
  <c r="AO104" i="59" a="1"/>
  <c r="AO104" i="59" s="1"/>
  <c r="AO103" i="59" a="1"/>
  <c r="AO103" i="59" s="1"/>
  <c r="AO102" i="59" a="1"/>
  <c r="AO102" i="59" s="1"/>
  <c r="AO100" i="59" a="1"/>
  <c r="AO100" i="59" s="1"/>
  <c r="AO98" i="59" a="1"/>
  <c r="AO98" i="59" s="1"/>
  <c r="AO97" i="59" a="1"/>
  <c r="AO97" i="59" s="1"/>
  <c r="AN92" i="59" a="1"/>
  <c r="AN92" i="59" s="1"/>
  <c r="AN88" i="59" a="1"/>
  <c r="AN88" i="59" s="1"/>
  <c r="AN75" i="59" a="1"/>
  <c r="AN75" i="59" s="1"/>
  <c r="AO124" i="59" a="1"/>
  <c r="AO124" i="59" s="1"/>
  <c r="AO138" i="59" a="1"/>
  <c r="AO138" i="59" s="1"/>
  <c r="AQ137" i="59" a="1"/>
  <c r="AQ137" i="59" s="1"/>
  <c r="AV137" i="59" s="1"/>
  <c r="AO136" i="59" a="1"/>
  <c r="AO136" i="59" s="1"/>
  <c r="AO133" i="59" a="1"/>
  <c r="AO133" i="59" s="1"/>
  <c r="AO129" i="59" a="1"/>
  <c r="AO129" i="59" s="1"/>
  <c r="AP128" i="59" a="1"/>
  <c r="AP128" i="59" s="1"/>
  <c r="AP127" i="59" a="1"/>
  <c r="AP127" i="59" s="1"/>
  <c r="AQ141" i="59" a="1"/>
  <c r="AQ141" i="59" s="1"/>
  <c r="AQ140" i="59" a="1"/>
  <c r="AQ140" i="59" s="1"/>
  <c r="AN139" i="59" a="1"/>
  <c r="AN139" i="59" s="1"/>
  <c r="AN135" i="59" a="1"/>
  <c r="AN135" i="59" s="1"/>
  <c r="AN134" i="59" a="1"/>
  <c r="AN134" i="59" s="1"/>
  <c r="AQ132" i="59" a="1"/>
  <c r="AQ132" i="59" s="1"/>
  <c r="AV132" i="59" s="1"/>
  <c r="AP131" i="59" a="1"/>
  <c r="AP131" i="59" s="1"/>
  <c r="AQ130" i="59" a="1"/>
  <c r="AQ130" i="59" s="1"/>
  <c r="AO126" i="59" a="1"/>
  <c r="AO126" i="59" s="1"/>
  <c r="AO125" i="59" a="1"/>
  <c r="AO125" i="59" s="1"/>
  <c r="AN85" i="59" a="1"/>
  <c r="AN85" i="59" s="1"/>
  <c r="AN78" i="59" a="1"/>
  <c r="AN78" i="59" s="1"/>
  <c r="AN84" i="59" a="1"/>
  <c r="AN84" i="59" s="1"/>
  <c r="AP137" i="59" a="1"/>
  <c r="AP137" i="59" s="1"/>
  <c r="AQ133" i="59" a="1"/>
  <c r="AQ133" i="59" s="1"/>
  <c r="AV133" i="59" s="1"/>
  <c r="M147" i="59" s="1"/>
  <c r="AN128" i="59" a="1"/>
  <c r="AN128" i="59" s="1"/>
  <c r="AO141" i="59" a="1"/>
  <c r="AO141" i="59" s="1"/>
  <c r="AO139" i="59" a="1"/>
  <c r="AO139" i="59" s="1"/>
  <c r="AQ134" i="59" a="1"/>
  <c r="AQ134" i="59" s="1"/>
  <c r="AN131" i="59" a="1"/>
  <c r="AN131" i="59" s="1"/>
  <c r="AQ126" i="59" a="1"/>
  <c r="AQ126" i="59" s="1"/>
  <c r="AN83" i="59" a="1"/>
  <c r="AN83" i="59" s="1"/>
  <c r="AN137" i="59" a="1"/>
  <c r="AN137" i="59" s="1"/>
  <c r="AP133" i="59" a="1"/>
  <c r="AP133" i="59" s="1"/>
  <c r="AQ127" i="59" a="1"/>
  <c r="AQ127" i="59" s="1"/>
  <c r="AV127" i="59" s="1"/>
  <c r="AO140" i="59" a="1"/>
  <c r="AO140" i="59" s="1"/>
  <c r="AO135" i="59" a="1"/>
  <c r="AO135" i="59" s="1"/>
  <c r="AP132" i="59" a="1"/>
  <c r="AP132" i="59" s="1"/>
  <c r="AN126" i="59" a="1"/>
  <c r="AN126" i="59" s="1"/>
  <c r="AV126" i="59"/>
  <c r="AV139" i="59"/>
  <c r="AV130" i="59"/>
  <c r="AV135" i="59"/>
  <c r="AV129" i="59"/>
  <c r="AV134" i="59"/>
  <c r="AV140" i="59"/>
  <c r="AV136" i="59"/>
  <c r="AV131" i="59"/>
  <c r="AV141" i="59"/>
  <c r="Q65" i="59"/>
  <c r="S65" i="59" s="1"/>
  <c r="Q61" i="59"/>
  <c r="S61" i="59" s="1"/>
  <c r="Q57" i="59"/>
  <c r="S57" i="59" s="1"/>
  <c r="Q58" i="59"/>
  <c r="S58" i="59" s="1"/>
  <c r="Q67" i="59"/>
  <c r="S67" i="59" s="1"/>
  <c r="Q63" i="59"/>
  <c r="S63" i="59" s="1"/>
  <c r="Q59" i="59"/>
  <c r="S59" i="59" s="1"/>
  <c r="Q66" i="59"/>
  <c r="S66" i="59" s="1"/>
  <c r="Q62" i="59"/>
  <c r="S62" i="59" s="1"/>
  <c r="Q68" i="59"/>
  <c r="S68" i="59" s="1"/>
  <c r="Q64" i="59"/>
  <c r="S64" i="59" s="1"/>
  <c r="Q60" i="59"/>
  <c r="S60" i="59" s="1"/>
  <c r="Q56" i="59"/>
  <c r="S56" i="59" s="1"/>
  <c r="R66" i="59"/>
  <c r="R61" i="59"/>
  <c r="T61" i="59" s="1"/>
  <c r="R57" i="59"/>
  <c r="T57" i="59" s="1"/>
  <c r="R68" i="59"/>
  <c r="R67" i="59"/>
  <c r="R64" i="59"/>
  <c r="R60" i="59"/>
  <c r="R56" i="59"/>
  <c r="R63" i="59"/>
  <c r="R59" i="59"/>
  <c r="R65" i="59"/>
  <c r="R62" i="59"/>
  <c r="R58" i="59"/>
  <c r="M153" i="59" l="1"/>
  <c r="Z57" i="59"/>
  <c r="AF57" i="59" s="1"/>
  <c r="Z61" i="59"/>
  <c r="AF61" i="59" s="1"/>
  <c r="T63" i="59"/>
  <c r="V63" i="59" s="1"/>
  <c r="AB63" i="59" s="1"/>
  <c r="AH63" i="59" s="1"/>
  <c r="T60" i="59"/>
  <c r="Y60" i="59" s="1"/>
  <c r="AE60" i="59" s="1"/>
  <c r="T65" i="59"/>
  <c r="V65" i="59" s="1"/>
  <c r="AB65" i="59" s="1"/>
  <c r="AH65" i="59" s="1"/>
  <c r="V61" i="59"/>
  <c r="AB61" i="59" s="1"/>
  <c r="AH61" i="59" s="1"/>
  <c r="V57" i="59"/>
  <c r="AB57" i="59" s="1"/>
  <c r="AH57" i="59" s="1"/>
  <c r="T59" i="59"/>
  <c r="V59" i="59" s="1"/>
  <c r="AB59" i="59" s="1"/>
  <c r="AH59" i="59" s="1"/>
  <c r="T64" i="59"/>
  <c r="V64" i="59" s="1"/>
  <c r="AB64" i="59" s="1"/>
  <c r="AH64" i="59" s="1"/>
  <c r="T67" i="59"/>
  <c r="X67" i="59" s="1"/>
  <c r="AD67" i="59" s="1"/>
  <c r="T56" i="59"/>
  <c r="X56" i="59" s="1"/>
  <c r="AD56" i="59" s="1"/>
  <c r="T66" i="59"/>
  <c r="W66" i="59" s="1"/>
  <c r="AC66" i="59" s="1"/>
  <c r="T68" i="59"/>
  <c r="Y68" i="59" s="1"/>
  <c r="AE68" i="59" s="1"/>
  <c r="Y57" i="59"/>
  <c r="AE57" i="59" s="1"/>
  <c r="X57" i="59"/>
  <c r="AD57" i="59" s="1"/>
  <c r="W57" i="59"/>
  <c r="AC57" i="59" s="1"/>
  <c r="Y61" i="59"/>
  <c r="AE61" i="59" s="1"/>
  <c r="X61" i="59"/>
  <c r="AD61" i="59" s="1"/>
  <c r="W61" i="59"/>
  <c r="AC61" i="59" s="1"/>
  <c r="T62" i="59"/>
  <c r="V62" i="59" s="1"/>
  <c r="AB62" i="59" s="1"/>
  <c r="AH62" i="59" s="1"/>
  <c r="T58" i="59"/>
  <c r="AK122" i="54"/>
  <c r="AJ100" i="54"/>
  <c r="AK100" i="54"/>
  <c r="AL100" i="54"/>
  <c r="Z66" i="59" l="1"/>
  <c r="AF66" i="59" s="1"/>
  <c r="Y63" i="59"/>
  <c r="AE63" i="59" s="1"/>
  <c r="X63" i="59"/>
  <c r="AD63" i="59" s="1"/>
  <c r="W67" i="59"/>
  <c r="AC67" i="59" s="1"/>
  <c r="W63" i="59"/>
  <c r="AC63" i="59" s="1"/>
  <c r="AI63" i="59" s="1"/>
  <c r="Y67" i="59"/>
  <c r="AE67" i="59" s="1"/>
  <c r="Z63" i="59"/>
  <c r="AF63" i="59" s="1"/>
  <c r="Z59" i="59"/>
  <c r="AF59" i="59" s="1"/>
  <c r="V58" i="59"/>
  <c r="AB58" i="59" s="1"/>
  <c r="AH58" i="59" s="1"/>
  <c r="Z58" i="59"/>
  <c r="AF58" i="59" s="1"/>
  <c r="Z62" i="59"/>
  <c r="AF62" i="59" s="1"/>
  <c r="Z60" i="59"/>
  <c r="AF60" i="59" s="1"/>
  <c r="V60" i="59"/>
  <c r="AB60" i="59" s="1"/>
  <c r="AH60" i="59" s="1"/>
  <c r="Z68" i="59"/>
  <c r="AF68" i="59" s="1"/>
  <c r="Z67" i="59"/>
  <c r="AF67" i="59" s="1"/>
  <c r="Z64" i="59"/>
  <c r="AF64" i="59" s="1"/>
  <c r="Z56" i="59"/>
  <c r="AF56" i="59" s="1"/>
  <c r="Z65" i="59"/>
  <c r="AF65" i="59" s="1"/>
  <c r="AI61" i="59"/>
  <c r="AJ61" i="59" s="1"/>
  <c r="AK61" i="59" s="1"/>
  <c r="AL61" i="59" s="1"/>
  <c r="X60" i="59"/>
  <c r="AD60" i="59" s="1"/>
  <c r="W60" i="59"/>
  <c r="AC60" i="59" s="1"/>
  <c r="AI60" i="59" s="1"/>
  <c r="Y65" i="59"/>
  <c r="AE65" i="59" s="1"/>
  <c r="W65" i="59"/>
  <c r="AC65" i="59" s="1"/>
  <c r="AI65" i="59" s="1"/>
  <c r="X65" i="59"/>
  <c r="AD65" i="59" s="1"/>
  <c r="W59" i="59"/>
  <c r="AC59" i="59" s="1"/>
  <c r="AI59" i="59" s="1"/>
  <c r="Y64" i="59"/>
  <c r="AE64" i="59" s="1"/>
  <c r="V56" i="59"/>
  <c r="AB56" i="59" s="1"/>
  <c r="AH56" i="59" s="1"/>
  <c r="X64" i="59"/>
  <c r="AD64" i="59" s="1"/>
  <c r="Y59" i="59"/>
  <c r="AE59" i="59" s="1"/>
  <c r="X66" i="59"/>
  <c r="AD66" i="59" s="1"/>
  <c r="AI57" i="59"/>
  <c r="AJ57" i="59" s="1"/>
  <c r="AK57" i="59" s="1"/>
  <c r="AL57" i="59" s="1"/>
  <c r="V68" i="59"/>
  <c r="AB68" i="59" s="1"/>
  <c r="AH68" i="59" s="1"/>
  <c r="V66" i="59"/>
  <c r="AB66" i="59" s="1"/>
  <c r="AH66" i="59" s="1"/>
  <c r="AI66" i="59" s="1"/>
  <c r="W64" i="59"/>
  <c r="AC64" i="59" s="1"/>
  <c r="AI64" i="59" s="1"/>
  <c r="X59" i="59"/>
  <c r="AD59" i="59" s="1"/>
  <c r="V67" i="59"/>
  <c r="AB67" i="59" s="1"/>
  <c r="AH67" i="59" s="1"/>
  <c r="W56" i="59"/>
  <c r="AC56" i="59" s="1"/>
  <c r="Y56" i="59"/>
  <c r="AE56" i="59" s="1"/>
  <c r="Y66" i="59"/>
  <c r="AE66" i="59" s="1"/>
  <c r="X68" i="59"/>
  <c r="AD68" i="59" s="1"/>
  <c r="W68" i="59"/>
  <c r="AC68" i="59" s="1"/>
  <c r="Y58" i="59"/>
  <c r="AE58" i="59" s="1"/>
  <c r="W58" i="59"/>
  <c r="AC58" i="59" s="1"/>
  <c r="X58" i="59"/>
  <c r="AD58" i="59" s="1"/>
  <c r="Y62" i="59"/>
  <c r="AE62" i="59" s="1"/>
  <c r="W62" i="59"/>
  <c r="AC62" i="59" s="1"/>
  <c r="AI62" i="59" s="1"/>
  <c r="X62" i="59"/>
  <c r="AD62" i="59" s="1"/>
  <c r="AI67" i="59" l="1"/>
  <c r="AJ67" i="59" s="1"/>
  <c r="AK67" i="59" s="1"/>
  <c r="AJ60" i="59"/>
  <c r="AK60" i="59" s="1"/>
  <c r="AL60" i="59" s="1"/>
  <c r="AJ63" i="59"/>
  <c r="AK63" i="59" s="1"/>
  <c r="AL63" i="59" s="1"/>
  <c r="AI58" i="59"/>
  <c r="AJ58" i="59" s="1"/>
  <c r="AK58" i="59" s="1"/>
  <c r="AL58" i="59" s="1"/>
  <c r="AL67" i="59"/>
  <c r="AI56" i="59"/>
  <c r="AJ56" i="59" s="1"/>
  <c r="AK56" i="59" s="1"/>
  <c r="AL56" i="59" s="1"/>
  <c r="AJ65" i="59"/>
  <c r="AK65" i="59" s="1"/>
  <c r="AL65" i="59" s="1"/>
  <c r="AJ64" i="59"/>
  <c r="AK64" i="59" s="1"/>
  <c r="AL64" i="59" s="1"/>
  <c r="AJ59" i="59"/>
  <c r="AK59" i="59" s="1"/>
  <c r="AL59" i="59" s="1"/>
  <c r="AJ66" i="59"/>
  <c r="AK66" i="59" s="1"/>
  <c r="AL66" i="59" s="1"/>
  <c r="AJ62" i="59"/>
  <c r="AK62" i="59" s="1"/>
  <c r="AL62" i="59" s="1"/>
  <c r="AI68" i="59"/>
  <c r="AJ68" i="59" s="1"/>
  <c r="AK68" i="59" s="1"/>
  <c r="AL68" i="59" s="1"/>
  <c r="H39" i="21"/>
  <c r="L42" i="59" l="1"/>
  <c r="K41" i="59"/>
  <c r="J40" i="59"/>
  <c r="L34" i="59"/>
  <c r="K33" i="59"/>
  <c r="J32" i="59"/>
  <c r="K16" i="59"/>
  <c r="L16" i="59"/>
  <c r="J16" i="59"/>
  <c r="M52" i="59"/>
  <c r="M53" i="59"/>
  <c r="M54" i="59"/>
  <c r="M55" i="59"/>
  <c r="M51" i="59"/>
  <c r="K51" i="59"/>
  <c r="K52" i="59"/>
  <c r="K53" i="59"/>
  <c r="K54" i="59"/>
  <c r="K55" i="59"/>
  <c r="J52" i="59"/>
  <c r="J53" i="59"/>
  <c r="J54" i="59"/>
  <c r="J55" i="59"/>
  <c r="J51" i="59"/>
  <c r="L52" i="59"/>
  <c r="L53" i="59"/>
  <c r="L54" i="59"/>
  <c r="L55" i="59"/>
  <c r="L51" i="59"/>
  <c r="N52" i="59"/>
  <c r="N53" i="59"/>
  <c r="N54" i="59"/>
  <c r="N55" i="59"/>
  <c r="AP101" i="59" l="1" a="1"/>
  <c r="AP101" i="59" s="1"/>
  <c r="AP121" i="59" a="1"/>
  <c r="AP121" i="59" s="1"/>
  <c r="AP99" i="59" a="1"/>
  <c r="AP99" i="59" s="1"/>
  <c r="AP123" i="59" a="1"/>
  <c r="AP123" i="59" s="1"/>
  <c r="AP122" i="59" a="1"/>
  <c r="AP122" i="59" s="1"/>
  <c r="AP120" i="59" a="1"/>
  <c r="AP120" i="59" s="1"/>
  <c r="AP118" i="59" a="1"/>
  <c r="AP118" i="59" s="1"/>
  <c r="AP116" i="59" a="1"/>
  <c r="AP116" i="59" s="1"/>
  <c r="AP115" i="59" a="1"/>
  <c r="AP115" i="59" s="1"/>
  <c r="AP114" i="59" a="1"/>
  <c r="AP114" i="59" s="1"/>
  <c r="AP112" i="59" a="1"/>
  <c r="AP112" i="59" s="1"/>
  <c r="AP110" i="59" a="1"/>
  <c r="AP110" i="59" s="1"/>
  <c r="AP107" i="59" a="1"/>
  <c r="AP107" i="59" s="1"/>
  <c r="AP106" i="59" a="1"/>
  <c r="AP106" i="59" s="1"/>
  <c r="AP104" i="59" a="1"/>
  <c r="AP104" i="59" s="1"/>
  <c r="AP102" i="59" a="1"/>
  <c r="AP102" i="59" s="1"/>
  <c r="AP100" i="59" a="1"/>
  <c r="AP100" i="59" s="1"/>
  <c r="AP109" i="59" a="1"/>
  <c r="AP109" i="59" s="1"/>
  <c r="AP117" i="59" a="1"/>
  <c r="AP117" i="59" s="1"/>
  <c r="AP113" i="59" a="1"/>
  <c r="AP113" i="59" s="1"/>
  <c r="AP105" i="59" a="1"/>
  <c r="AP105" i="59" s="1"/>
  <c r="AP97" i="59" a="1"/>
  <c r="AP97" i="59" s="1"/>
  <c r="AP119" i="59" a="1"/>
  <c r="AP119" i="59" s="1"/>
  <c r="AP108" i="59" a="1"/>
  <c r="AP108" i="59" s="1"/>
  <c r="AP111" i="59" a="1"/>
  <c r="AP111" i="59" s="1"/>
  <c r="AP103" i="59" a="1"/>
  <c r="AP103" i="59" s="1"/>
  <c r="AP98" i="59" a="1"/>
  <c r="AP98" i="59" s="1"/>
  <c r="AP124" i="59" a="1"/>
  <c r="AP124" i="59" s="1"/>
  <c r="AN72" i="59" a="1"/>
  <c r="AN72" i="59" s="1"/>
  <c r="AN73" i="59" a="1"/>
  <c r="AN73" i="59" s="1"/>
  <c r="AN71" i="59" a="1"/>
  <c r="AN71" i="59" s="1"/>
  <c r="AN70" i="59" a="1"/>
  <c r="AN70" i="59" s="1"/>
  <c r="AN69" i="59" a="1"/>
  <c r="AN69" i="59" s="1"/>
  <c r="AN74" i="59" a="1"/>
  <c r="AN74" i="59" s="1"/>
  <c r="AN66" i="59" a="1"/>
  <c r="AN66" i="59" s="1"/>
  <c r="AN68" i="59" a="1"/>
  <c r="AN68" i="59" s="1"/>
  <c r="AN67" i="59" a="1"/>
  <c r="AN67" i="59" s="1"/>
  <c r="AN63" i="59" a="1"/>
  <c r="AN63" i="59" s="1"/>
  <c r="AN65" i="59" a="1"/>
  <c r="AN65" i="59" s="1"/>
  <c r="AN64" i="59" a="1"/>
  <c r="AN64" i="59" s="1"/>
  <c r="AO94" i="59" a="1"/>
  <c r="AO94" i="59" s="1"/>
  <c r="AO90" i="59" a="1"/>
  <c r="AO90" i="59" s="1"/>
  <c r="AO85" i="59" a="1"/>
  <c r="AO85" i="59" s="1"/>
  <c r="AO79" i="59" a="1"/>
  <c r="AO79" i="59" s="1"/>
  <c r="AO78" i="59" a="1"/>
  <c r="AO78" i="59" s="1"/>
  <c r="AO84" i="59" a="1"/>
  <c r="AO84" i="59" s="1"/>
  <c r="AO83" i="59" a="1"/>
  <c r="AO83" i="59" s="1"/>
  <c r="AO82" i="59" a="1"/>
  <c r="AO82" i="59" s="1"/>
  <c r="AO77" i="59" a="1"/>
  <c r="AO77" i="59" s="1"/>
  <c r="AO91" i="59" a="1"/>
  <c r="AO91" i="59" s="1"/>
  <c r="AO96" i="59" a="1"/>
  <c r="AO96" i="59" s="1"/>
  <c r="AO95" i="59" a="1"/>
  <c r="AO95" i="59" s="1"/>
  <c r="AO87" i="59" a="1"/>
  <c r="AO87" i="59" s="1"/>
  <c r="AO86" i="59" a="1"/>
  <c r="AO86" i="59" s="1"/>
  <c r="AO81" i="59" a="1"/>
  <c r="AO81" i="59" s="1"/>
  <c r="AO80" i="59" a="1"/>
  <c r="AO80" i="59" s="1"/>
  <c r="AO93" i="59" a="1"/>
  <c r="AO93" i="59" s="1"/>
  <c r="AO89" i="59" a="1"/>
  <c r="AO89" i="59" s="1"/>
  <c r="AO76" i="59" a="1"/>
  <c r="AO76" i="59" s="1"/>
  <c r="AO92" i="59" a="1"/>
  <c r="AO92" i="59" s="1"/>
  <c r="AO88" i="59" a="1"/>
  <c r="AO88" i="59" s="1"/>
  <c r="AO75" i="59" a="1"/>
  <c r="AO75" i="59" s="1"/>
  <c r="R52" i="59"/>
  <c r="R55" i="59"/>
  <c r="Q54" i="59"/>
  <c r="Q53" i="59"/>
  <c r="Q51" i="59"/>
  <c r="Q52" i="59"/>
  <c r="R53" i="59"/>
  <c r="R51" i="59"/>
  <c r="Q55" i="59"/>
  <c r="R54" i="59"/>
  <c r="T55" i="59" l="1"/>
  <c r="S55" i="59"/>
  <c r="T51" i="59"/>
  <c r="S51" i="59"/>
  <c r="T53" i="59"/>
  <c r="S53" i="59"/>
  <c r="T54" i="59"/>
  <c r="S54" i="59"/>
  <c r="T52" i="59"/>
  <c r="S52" i="59"/>
  <c r="Z52" i="59" l="1"/>
  <c r="AF52" i="59" s="1"/>
  <c r="Z53" i="59"/>
  <c r="AF53" i="59" s="1"/>
  <c r="Z55" i="59"/>
  <c r="AF55" i="59" s="1"/>
  <c r="V54" i="59"/>
  <c r="AB54" i="59" s="1"/>
  <c r="AH54" i="59" s="1"/>
  <c r="Z54" i="59"/>
  <c r="AF54" i="59" s="1"/>
  <c r="V51" i="59"/>
  <c r="AB51" i="59" s="1"/>
  <c r="AH51" i="59" s="1"/>
  <c r="Z51" i="59"/>
  <c r="AF51" i="59" s="1"/>
  <c r="V52" i="59"/>
  <c r="AB52" i="59" s="1"/>
  <c r="AH52" i="59" s="1"/>
  <c r="V53" i="59"/>
  <c r="AB53" i="59" s="1"/>
  <c r="AH53" i="59" s="1"/>
  <c r="V55" i="59"/>
  <c r="AB55" i="59" s="1"/>
  <c r="AH55" i="59" s="1"/>
  <c r="W53" i="59"/>
  <c r="AC53" i="59" s="1"/>
  <c r="X55" i="59"/>
  <c r="AD55" i="59" s="1"/>
  <c r="W54" i="59"/>
  <c r="AC54" i="59" s="1"/>
  <c r="Y52" i="59"/>
  <c r="AE52" i="59" s="1"/>
  <c r="Y51" i="59"/>
  <c r="AE51" i="59" s="1"/>
  <c r="W52" i="59"/>
  <c r="AC52" i="59" s="1"/>
  <c r="AI52" i="59" s="1"/>
  <c r="W55" i="59"/>
  <c r="AC55" i="59" s="1"/>
  <c r="Y55" i="59"/>
  <c r="AE55" i="59" s="1"/>
  <c r="X52" i="59"/>
  <c r="AD52" i="59" s="1"/>
  <c r="X51" i="59"/>
  <c r="AD51" i="59" s="1"/>
  <c r="W51" i="59"/>
  <c r="AC51" i="59" s="1"/>
  <c r="X54" i="59"/>
  <c r="AD54" i="59" s="1"/>
  <c r="X53" i="59"/>
  <c r="AD53" i="59" s="1"/>
  <c r="Y53" i="59"/>
  <c r="AE53" i="59" s="1"/>
  <c r="Y54" i="59"/>
  <c r="AE54" i="59" s="1"/>
  <c r="AH108" i="54"/>
  <c r="AI108" i="54"/>
  <c r="AJ108" i="54"/>
  <c r="AK108" i="54"/>
  <c r="AJ118" i="54"/>
  <c r="AK118" i="54"/>
  <c r="AL118" i="54"/>
  <c r="AI54" i="59" l="1"/>
  <c r="AI51" i="59"/>
  <c r="AJ51" i="59" s="1"/>
  <c r="AK51" i="59" s="1"/>
  <c r="AL51" i="59" s="1"/>
  <c r="AI53" i="59"/>
  <c r="AJ53" i="59" s="1"/>
  <c r="AK53" i="59" s="1"/>
  <c r="AL53" i="59" s="1"/>
  <c r="AJ52" i="59"/>
  <c r="AK52" i="59" s="1"/>
  <c r="AL52" i="59" s="1"/>
  <c r="AJ54" i="59"/>
  <c r="AK54" i="59" s="1"/>
  <c r="AL54" i="59" s="1"/>
  <c r="AI55" i="59"/>
  <c r="AJ55" i="59" s="1"/>
  <c r="AK55" i="59" s="1"/>
  <c r="AL55" i="59" s="1"/>
  <c r="J432" i="44"/>
  <c r="K432" i="44"/>
  <c r="L432" i="44"/>
  <c r="M432" i="44"/>
  <c r="N432" i="44"/>
  <c r="Q432" i="44"/>
  <c r="R432" i="44"/>
  <c r="S432" i="44"/>
  <c r="J433" i="44"/>
  <c r="K433" i="44"/>
  <c r="L433" i="44"/>
  <c r="M433" i="44"/>
  <c r="N433" i="44"/>
  <c r="Q433" i="44"/>
  <c r="R433" i="44"/>
  <c r="S433" i="44"/>
  <c r="J434" i="44"/>
  <c r="K434" i="44"/>
  <c r="L434" i="44"/>
  <c r="M434" i="44"/>
  <c r="N434" i="44"/>
  <c r="Q434" i="44"/>
  <c r="R434" i="44"/>
  <c r="S434" i="44"/>
  <c r="J435" i="44"/>
  <c r="K435" i="44"/>
  <c r="L435" i="44"/>
  <c r="M435" i="44"/>
  <c r="N435" i="44"/>
  <c r="Q435" i="44"/>
  <c r="R435" i="44"/>
  <c r="S435" i="44"/>
  <c r="B432" i="44"/>
  <c r="B433" i="44"/>
  <c r="B434" i="44"/>
  <c r="B435" i="44"/>
  <c r="B341" i="44"/>
  <c r="J341" i="44"/>
  <c r="K341" i="44"/>
  <c r="L341" i="44"/>
  <c r="M341" i="44"/>
  <c r="N341" i="44"/>
  <c r="Q341" i="44"/>
  <c r="R341" i="44"/>
  <c r="S341" i="44"/>
  <c r="B342" i="44"/>
  <c r="J342" i="44"/>
  <c r="K342" i="44"/>
  <c r="L342" i="44"/>
  <c r="M342" i="44"/>
  <c r="N342" i="44"/>
  <c r="Q342" i="44"/>
  <c r="R342" i="44"/>
  <c r="S342" i="44"/>
  <c r="B343" i="44"/>
  <c r="J343" i="44"/>
  <c r="K343" i="44"/>
  <c r="L343" i="44"/>
  <c r="M343" i="44"/>
  <c r="N343" i="44"/>
  <c r="Q343" i="44"/>
  <c r="R343" i="44"/>
  <c r="S343" i="44"/>
  <c r="B344" i="44"/>
  <c r="J344" i="44"/>
  <c r="K344" i="44"/>
  <c r="L344" i="44"/>
  <c r="M344" i="44"/>
  <c r="N344" i="44"/>
  <c r="Q344" i="44"/>
  <c r="R344" i="44"/>
  <c r="S344" i="44"/>
  <c r="B345" i="44"/>
  <c r="J345" i="44"/>
  <c r="K345" i="44"/>
  <c r="L345" i="44"/>
  <c r="M345" i="44"/>
  <c r="N345" i="44"/>
  <c r="Q345" i="44"/>
  <c r="R345" i="44"/>
  <c r="S345" i="44"/>
  <c r="B346" i="44"/>
  <c r="J346" i="44"/>
  <c r="K346" i="44"/>
  <c r="L346" i="44"/>
  <c r="M346" i="44"/>
  <c r="N346" i="44"/>
  <c r="Q346" i="44"/>
  <c r="R346" i="44"/>
  <c r="S346" i="44"/>
  <c r="B347" i="44"/>
  <c r="J347" i="44"/>
  <c r="K347" i="44"/>
  <c r="L347" i="44"/>
  <c r="M347" i="44"/>
  <c r="N347" i="44"/>
  <c r="Q347" i="44"/>
  <c r="R347" i="44"/>
  <c r="S347" i="44"/>
  <c r="B348" i="44"/>
  <c r="J348" i="44"/>
  <c r="K348" i="44"/>
  <c r="L348" i="44"/>
  <c r="M348" i="44"/>
  <c r="N348" i="44"/>
  <c r="Q348" i="44"/>
  <c r="R348" i="44"/>
  <c r="S348" i="44"/>
  <c r="B349" i="44"/>
  <c r="J349" i="44"/>
  <c r="K349" i="44"/>
  <c r="L349" i="44"/>
  <c r="M349" i="44"/>
  <c r="N349" i="44"/>
  <c r="Q349" i="44"/>
  <c r="R349" i="44"/>
  <c r="S349" i="44"/>
  <c r="B350" i="44"/>
  <c r="J350" i="44"/>
  <c r="K350" i="44"/>
  <c r="L350" i="44"/>
  <c r="M350" i="44"/>
  <c r="N350" i="44"/>
  <c r="Q350" i="44"/>
  <c r="R350" i="44"/>
  <c r="S350" i="44"/>
  <c r="B351" i="44"/>
  <c r="J351" i="44"/>
  <c r="K351" i="44"/>
  <c r="L351" i="44"/>
  <c r="M351" i="44"/>
  <c r="N351" i="44"/>
  <c r="Q351" i="44"/>
  <c r="R351" i="44"/>
  <c r="S351" i="44"/>
  <c r="B352" i="44"/>
  <c r="J352" i="44"/>
  <c r="K352" i="44"/>
  <c r="L352" i="44"/>
  <c r="M352" i="44"/>
  <c r="N352" i="44"/>
  <c r="Q352" i="44"/>
  <c r="R352" i="44"/>
  <c r="S352" i="44"/>
  <c r="B353" i="44"/>
  <c r="J353" i="44"/>
  <c r="K353" i="44"/>
  <c r="L353" i="44"/>
  <c r="M353" i="44"/>
  <c r="N353" i="44"/>
  <c r="Q353" i="44"/>
  <c r="R353" i="44"/>
  <c r="S353" i="44"/>
  <c r="B354" i="44"/>
  <c r="J354" i="44"/>
  <c r="K354" i="44"/>
  <c r="L354" i="44"/>
  <c r="M354" i="44"/>
  <c r="N354" i="44"/>
  <c r="Q354" i="44"/>
  <c r="R354" i="44"/>
  <c r="S354" i="44"/>
  <c r="B355" i="44"/>
  <c r="J355" i="44"/>
  <c r="K355" i="44"/>
  <c r="L355" i="44"/>
  <c r="M355" i="44"/>
  <c r="N355" i="44"/>
  <c r="Q355" i="44"/>
  <c r="R355" i="44"/>
  <c r="S355" i="44"/>
  <c r="B356" i="44"/>
  <c r="J356" i="44"/>
  <c r="K356" i="44"/>
  <c r="L356" i="44"/>
  <c r="M356" i="44"/>
  <c r="N356" i="44"/>
  <c r="Q356" i="44"/>
  <c r="R356" i="44"/>
  <c r="S356" i="44"/>
  <c r="B357" i="44"/>
  <c r="J357" i="44"/>
  <c r="K357" i="44"/>
  <c r="L357" i="44"/>
  <c r="M357" i="44"/>
  <c r="N357" i="44"/>
  <c r="Q357" i="44"/>
  <c r="R357" i="44"/>
  <c r="S357" i="44"/>
  <c r="B358" i="44"/>
  <c r="J358" i="44"/>
  <c r="K358" i="44"/>
  <c r="L358" i="44"/>
  <c r="M358" i="44"/>
  <c r="N358" i="44"/>
  <c r="Q358" i="44"/>
  <c r="R358" i="44"/>
  <c r="S358" i="44"/>
  <c r="B359" i="44"/>
  <c r="J359" i="44"/>
  <c r="K359" i="44"/>
  <c r="L359" i="44"/>
  <c r="M359" i="44"/>
  <c r="N359" i="44"/>
  <c r="Q359" i="44"/>
  <c r="R359" i="44"/>
  <c r="S359" i="44"/>
  <c r="B360" i="44"/>
  <c r="J360" i="44"/>
  <c r="K360" i="44"/>
  <c r="L360" i="44"/>
  <c r="M360" i="44"/>
  <c r="N360" i="44"/>
  <c r="Q360" i="44"/>
  <c r="R360" i="44"/>
  <c r="S360" i="44"/>
  <c r="B361" i="44"/>
  <c r="J361" i="44"/>
  <c r="K361" i="44"/>
  <c r="L361" i="44"/>
  <c r="M361" i="44"/>
  <c r="N361" i="44"/>
  <c r="Q361" i="44"/>
  <c r="R361" i="44"/>
  <c r="S361" i="44"/>
  <c r="B362" i="44"/>
  <c r="J362" i="44"/>
  <c r="K362" i="44"/>
  <c r="L362" i="44"/>
  <c r="M362" i="44"/>
  <c r="N362" i="44"/>
  <c r="Q362" i="44"/>
  <c r="R362" i="44"/>
  <c r="S362" i="44"/>
  <c r="B363" i="44"/>
  <c r="J363" i="44"/>
  <c r="K363" i="44"/>
  <c r="L363" i="44"/>
  <c r="M363" i="44"/>
  <c r="N363" i="44"/>
  <c r="Q363" i="44"/>
  <c r="R363" i="44"/>
  <c r="S363" i="44"/>
  <c r="B364" i="44"/>
  <c r="J364" i="44"/>
  <c r="K364" i="44"/>
  <c r="L364" i="44"/>
  <c r="M364" i="44"/>
  <c r="N364" i="44"/>
  <c r="Q364" i="44"/>
  <c r="R364" i="44"/>
  <c r="S364" i="44"/>
  <c r="B365" i="44"/>
  <c r="J365" i="44"/>
  <c r="K365" i="44"/>
  <c r="L365" i="44"/>
  <c r="M365" i="44"/>
  <c r="N365" i="44"/>
  <c r="Q365" i="44"/>
  <c r="R365" i="44"/>
  <c r="S365" i="44"/>
  <c r="B366" i="44"/>
  <c r="J366" i="44"/>
  <c r="K366" i="44"/>
  <c r="L366" i="44"/>
  <c r="M366" i="44"/>
  <c r="N366" i="44"/>
  <c r="Q366" i="44"/>
  <c r="R366" i="44"/>
  <c r="S366" i="44"/>
  <c r="B367" i="44"/>
  <c r="J367" i="44"/>
  <c r="K367" i="44"/>
  <c r="L367" i="44"/>
  <c r="M367" i="44"/>
  <c r="N367" i="44"/>
  <c r="Q367" i="44"/>
  <c r="R367" i="44"/>
  <c r="S367" i="44"/>
  <c r="B368" i="44"/>
  <c r="J368" i="44"/>
  <c r="K368" i="44"/>
  <c r="L368" i="44"/>
  <c r="M368" i="44"/>
  <c r="N368" i="44"/>
  <c r="Q368" i="44"/>
  <c r="R368" i="44"/>
  <c r="S368" i="44"/>
  <c r="B369" i="44"/>
  <c r="J369" i="44"/>
  <c r="K369" i="44"/>
  <c r="L369" i="44"/>
  <c r="M369" i="44"/>
  <c r="N369" i="44"/>
  <c r="Q369" i="44"/>
  <c r="R369" i="44"/>
  <c r="S369" i="44"/>
  <c r="B370" i="44"/>
  <c r="J370" i="44"/>
  <c r="K370" i="44"/>
  <c r="L370" i="44"/>
  <c r="M370" i="44"/>
  <c r="N370" i="44"/>
  <c r="Q370" i="44"/>
  <c r="R370" i="44"/>
  <c r="S370" i="44"/>
  <c r="B371" i="44"/>
  <c r="J371" i="44"/>
  <c r="K371" i="44"/>
  <c r="L371" i="44"/>
  <c r="M371" i="44"/>
  <c r="N371" i="44"/>
  <c r="Q371" i="44"/>
  <c r="R371" i="44"/>
  <c r="S371" i="44"/>
  <c r="B372" i="44"/>
  <c r="J372" i="44"/>
  <c r="K372" i="44"/>
  <c r="L372" i="44"/>
  <c r="M372" i="44"/>
  <c r="N372" i="44"/>
  <c r="Q372" i="44"/>
  <c r="R372" i="44"/>
  <c r="S372" i="44"/>
  <c r="B373" i="44"/>
  <c r="J373" i="44"/>
  <c r="K373" i="44"/>
  <c r="L373" i="44"/>
  <c r="M373" i="44"/>
  <c r="N373" i="44"/>
  <c r="Q373" i="44"/>
  <c r="R373" i="44"/>
  <c r="S373" i="44"/>
  <c r="B374" i="44"/>
  <c r="J374" i="44"/>
  <c r="K374" i="44"/>
  <c r="L374" i="44"/>
  <c r="M374" i="44"/>
  <c r="N374" i="44"/>
  <c r="Q374" i="44"/>
  <c r="R374" i="44"/>
  <c r="S374" i="44"/>
  <c r="B375" i="44"/>
  <c r="J375" i="44"/>
  <c r="K375" i="44"/>
  <c r="L375" i="44"/>
  <c r="M375" i="44"/>
  <c r="N375" i="44"/>
  <c r="Q375" i="44"/>
  <c r="R375" i="44"/>
  <c r="S375" i="44"/>
  <c r="B376" i="44"/>
  <c r="J376" i="44"/>
  <c r="K376" i="44"/>
  <c r="L376" i="44"/>
  <c r="M376" i="44"/>
  <c r="N376" i="44"/>
  <c r="Q376" i="44"/>
  <c r="R376" i="44"/>
  <c r="S376" i="44"/>
  <c r="B377" i="44"/>
  <c r="J377" i="44"/>
  <c r="K377" i="44"/>
  <c r="L377" i="44"/>
  <c r="M377" i="44"/>
  <c r="N377" i="44"/>
  <c r="Q377" i="44"/>
  <c r="R377" i="44"/>
  <c r="S377" i="44"/>
  <c r="B378" i="44"/>
  <c r="J378" i="44"/>
  <c r="K378" i="44"/>
  <c r="L378" i="44"/>
  <c r="M378" i="44"/>
  <c r="N378" i="44"/>
  <c r="Q378" i="44"/>
  <c r="R378" i="44"/>
  <c r="S378" i="44"/>
  <c r="B379" i="44"/>
  <c r="J379" i="44"/>
  <c r="K379" i="44"/>
  <c r="L379" i="44"/>
  <c r="M379" i="44"/>
  <c r="N379" i="44"/>
  <c r="Q379" i="44"/>
  <c r="R379" i="44"/>
  <c r="S379" i="44"/>
  <c r="B380" i="44"/>
  <c r="J380" i="44"/>
  <c r="K380" i="44"/>
  <c r="L380" i="44"/>
  <c r="M380" i="44"/>
  <c r="N380" i="44"/>
  <c r="Q380" i="44"/>
  <c r="R380" i="44"/>
  <c r="S380" i="44"/>
  <c r="B381" i="44"/>
  <c r="J381" i="44"/>
  <c r="K381" i="44"/>
  <c r="L381" i="44"/>
  <c r="M381" i="44"/>
  <c r="N381" i="44"/>
  <c r="Q381" i="44"/>
  <c r="R381" i="44"/>
  <c r="S381" i="44"/>
  <c r="B382" i="44"/>
  <c r="J382" i="44"/>
  <c r="K382" i="44"/>
  <c r="L382" i="44"/>
  <c r="M382" i="44"/>
  <c r="N382" i="44"/>
  <c r="Q382" i="44"/>
  <c r="R382" i="44"/>
  <c r="S382" i="44"/>
  <c r="B383" i="44"/>
  <c r="J383" i="44"/>
  <c r="K383" i="44"/>
  <c r="L383" i="44"/>
  <c r="M383" i="44"/>
  <c r="N383" i="44"/>
  <c r="Q383" i="44"/>
  <c r="R383" i="44"/>
  <c r="S383" i="44"/>
  <c r="B384" i="44"/>
  <c r="J384" i="44"/>
  <c r="K384" i="44"/>
  <c r="L384" i="44"/>
  <c r="M384" i="44"/>
  <c r="N384" i="44"/>
  <c r="Q384" i="44"/>
  <c r="R384" i="44"/>
  <c r="S384" i="44"/>
  <c r="B385" i="44"/>
  <c r="J385" i="44"/>
  <c r="K385" i="44"/>
  <c r="L385" i="44"/>
  <c r="M385" i="44"/>
  <c r="N385" i="44"/>
  <c r="Q385" i="44"/>
  <c r="R385" i="44"/>
  <c r="S385" i="44"/>
  <c r="B386" i="44"/>
  <c r="J386" i="44"/>
  <c r="K386" i="44"/>
  <c r="L386" i="44"/>
  <c r="M386" i="44"/>
  <c r="N386" i="44"/>
  <c r="Q386" i="44"/>
  <c r="R386" i="44"/>
  <c r="S386" i="44"/>
  <c r="B387" i="44"/>
  <c r="J387" i="44"/>
  <c r="K387" i="44"/>
  <c r="L387" i="44"/>
  <c r="M387" i="44"/>
  <c r="N387" i="44"/>
  <c r="Q387" i="44"/>
  <c r="R387" i="44"/>
  <c r="S387" i="44"/>
  <c r="B388" i="44"/>
  <c r="J388" i="44"/>
  <c r="K388" i="44"/>
  <c r="L388" i="44"/>
  <c r="M388" i="44"/>
  <c r="N388" i="44"/>
  <c r="Q388" i="44"/>
  <c r="R388" i="44"/>
  <c r="S388" i="44"/>
  <c r="B389" i="44"/>
  <c r="J389" i="44"/>
  <c r="K389" i="44"/>
  <c r="L389" i="44"/>
  <c r="M389" i="44"/>
  <c r="N389" i="44"/>
  <c r="Q389" i="44"/>
  <c r="R389" i="44"/>
  <c r="S389" i="44"/>
  <c r="B390" i="44"/>
  <c r="J390" i="44"/>
  <c r="K390" i="44"/>
  <c r="L390" i="44"/>
  <c r="M390" i="44"/>
  <c r="N390" i="44"/>
  <c r="Q390" i="44"/>
  <c r="R390" i="44"/>
  <c r="S390" i="44"/>
  <c r="B391" i="44"/>
  <c r="J391" i="44"/>
  <c r="K391" i="44"/>
  <c r="L391" i="44"/>
  <c r="M391" i="44"/>
  <c r="N391" i="44"/>
  <c r="Q391" i="44"/>
  <c r="R391" i="44"/>
  <c r="S391" i="44"/>
  <c r="B392" i="44"/>
  <c r="J392" i="44"/>
  <c r="K392" i="44"/>
  <c r="L392" i="44"/>
  <c r="M392" i="44"/>
  <c r="N392" i="44"/>
  <c r="Q392" i="44"/>
  <c r="R392" i="44"/>
  <c r="S392" i="44"/>
  <c r="B393" i="44"/>
  <c r="J393" i="44"/>
  <c r="K393" i="44"/>
  <c r="L393" i="44"/>
  <c r="M393" i="44"/>
  <c r="N393" i="44"/>
  <c r="Q393" i="44"/>
  <c r="R393" i="44"/>
  <c r="S393" i="44"/>
  <c r="B394" i="44"/>
  <c r="J394" i="44"/>
  <c r="K394" i="44"/>
  <c r="L394" i="44"/>
  <c r="M394" i="44"/>
  <c r="N394" i="44"/>
  <c r="Q394" i="44"/>
  <c r="R394" i="44"/>
  <c r="S394" i="44"/>
  <c r="B395" i="44"/>
  <c r="J395" i="44"/>
  <c r="K395" i="44"/>
  <c r="L395" i="44"/>
  <c r="M395" i="44"/>
  <c r="N395" i="44"/>
  <c r="Q395" i="44"/>
  <c r="R395" i="44"/>
  <c r="S395" i="44"/>
  <c r="B396" i="44"/>
  <c r="J396" i="44"/>
  <c r="K396" i="44"/>
  <c r="L396" i="44"/>
  <c r="M396" i="44"/>
  <c r="N396" i="44"/>
  <c r="Q396" i="44"/>
  <c r="R396" i="44"/>
  <c r="S396" i="44"/>
  <c r="B397" i="44"/>
  <c r="J397" i="44"/>
  <c r="K397" i="44"/>
  <c r="L397" i="44"/>
  <c r="M397" i="44"/>
  <c r="N397" i="44"/>
  <c r="Q397" i="44"/>
  <c r="R397" i="44"/>
  <c r="S397" i="44"/>
  <c r="B398" i="44"/>
  <c r="J398" i="44"/>
  <c r="K398" i="44"/>
  <c r="L398" i="44"/>
  <c r="M398" i="44"/>
  <c r="N398" i="44"/>
  <c r="Q398" i="44"/>
  <c r="R398" i="44"/>
  <c r="S398" i="44"/>
  <c r="B399" i="44"/>
  <c r="J399" i="44"/>
  <c r="K399" i="44"/>
  <c r="L399" i="44"/>
  <c r="M399" i="44"/>
  <c r="N399" i="44"/>
  <c r="Q399" i="44"/>
  <c r="R399" i="44"/>
  <c r="S399" i="44"/>
  <c r="B400" i="44"/>
  <c r="J400" i="44"/>
  <c r="K400" i="44"/>
  <c r="L400" i="44"/>
  <c r="M400" i="44"/>
  <c r="N400" i="44"/>
  <c r="Q400" i="44"/>
  <c r="R400" i="44"/>
  <c r="S400" i="44"/>
  <c r="B401" i="44"/>
  <c r="J401" i="44"/>
  <c r="K401" i="44"/>
  <c r="L401" i="44"/>
  <c r="M401" i="44"/>
  <c r="N401" i="44"/>
  <c r="Q401" i="44"/>
  <c r="R401" i="44"/>
  <c r="S401" i="44"/>
  <c r="B402" i="44"/>
  <c r="J402" i="44"/>
  <c r="K402" i="44"/>
  <c r="L402" i="44"/>
  <c r="M402" i="44"/>
  <c r="N402" i="44"/>
  <c r="Q402" i="44"/>
  <c r="R402" i="44"/>
  <c r="S402" i="44"/>
  <c r="B403" i="44"/>
  <c r="J403" i="44"/>
  <c r="K403" i="44"/>
  <c r="L403" i="44"/>
  <c r="M403" i="44"/>
  <c r="N403" i="44"/>
  <c r="Q403" i="44"/>
  <c r="R403" i="44"/>
  <c r="S403" i="44"/>
  <c r="B404" i="44"/>
  <c r="J404" i="44"/>
  <c r="K404" i="44"/>
  <c r="L404" i="44"/>
  <c r="M404" i="44"/>
  <c r="N404" i="44"/>
  <c r="Q404" i="44"/>
  <c r="R404" i="44"/>
  <c r="S404" i="44"/>
  <c r="B405" i="44"/>
  <c r="J405" i="44"/>
  <c r="K405" i="44"/>
  <c r="L405" i="44"/>
  <c r="M405" i="44"/>
  <c r="N405" i="44"/>
  <c r="Q405" i="44"/>
  <c r="R405" i="44"/>
  <c r="S405" i="44"/>
  <c r="B406" i="44"/>
  <c r="J406" i="44"/>
  <c r="K406" i="44"/>
  <c r="L406" i="44"/>
  <c r="M406" i="44"/>
  <c r="N406" i="44"/>
  <c r="Q406" i="44"/>
  <c r="R406" i="44"/>
  <c r="S406" i="44"/>
  <c r="B407" i="44"/>
  <c r="J407" i="44"/>
  <c r="K407" i="44"/>
  <c r="L407" i="44"/>
  <c r="M407" i="44"/>
  <c r="N407" i="44"/>
  <c r="Q407" i="44"/>
  <c r="R407" i="44"/>
  <c r="S407" i="44"/>
  <c r="B408" i="44"/>
  <c r="J408" i="44"/>
  <c r="K408" i="44"/>
  <c r="L408" i="44"/>
  <c r="M408" i="44"/>
  <c r="N408" i="44"/>
  <c r="Q408" i="44"/>
  <c r="R408" i="44"/>
  <c r="S408" i="44"/>
  <c r="B409" i="44"/>
  <c r="J409" i="44"/>
  <c r="K409" i="44"/>
  <c r="L409" i="44"/>
  <c r="M409" i="44"/>
  <c r="N409" i="44"/>
  <c r="Q409" i="44"/>
  <c r="R409" i="44"/>
  <c r="S409" i="44"/>
  <c r="B410" i="44"/>
  <c r="J410" i="44"/>
  <c r="K410" i="44"/>
  <c r="L410" i="44"/>
  <c r="M410" i="44"/>
  <c r="N410" i="44"/>
  <c r="Q410" i="44"/>
  <c r="R410" i="44"/>
  <c r="S410" i="44"/>
  <c r="B411" i="44"/>
  <c r="J411" i="44"/>
  <c r="K411" i="44"/>
  <c r="L411" i="44"/>
  <c r="M411" i="44"/>
  <c r="N411" i="44"/>
  <c r="Q411" i="44"/>
  <c r="R411" i="44"/>
  <c r="S411" i="44"/>
  <c r="B412" i="44"/>
  <c r="J412" i="44"/>
  <c r="K412" i="44"/>
  <c r="L412" i="44"/>
  <c r="M412" i="44"/>
  <c r="N412" i="44"/>
  <c r="Q412" i="44"/>
  <c r="R412" i="44"/>
  <c r="S412" i="44"/>
  <c r="B413" i="44"/>
  <c r="J413" i="44"/>
  <c r="K413" i="44"/>
  <c r="L413" i="44"/>
  <c r="M413" i="44"/>
  <c r="N413" i="44"/>
  <c r="Q413" i="44"/>
  <c r="R413" i="44"/>
  <c r="S413" i="44"/>
  <c r="B414" i="44"/>
  <c r="J414" i="44"/>
  <c r="K414" i="44"/>
  <c r="L414" i="44"/>
  <c r="M414" i="44"/>
  <c r="N414" i="44"/>
  <c r="Q414" i="44"/>
  <c r="R414" i="44"/>
  <c r="S414" i="44"/>
  <c r="B415" i="44"/>
  <c r="J415" i="44"/>
  <c r="K415" i="44"/>
  <c r="L415" i="44"/>
  <c r="M415" i="44"/>
  <c r="N415" i="44"/>
  <c r="Q415" i="44"/>
  <c r="R415" i="44"/>
  <c r="S415" i="44"/>
  <c r="B416" i="44"/>
  <c r="J416" i="44"/>
  <c r="K416" i="44"/>
  <c r="L416" i="44"/>
  <c r="M416" i="44"/>
  <c r="N416" i="44"/>
  <c r="Q416" i="44"/>
  <c r="R416" i="44"/>
  <c r="S416" i="44"/>
  <c r="B417" i="44"/>
  <c r="J417" i="44"/>
  <c r="K417" i="44"/>
  <c r="L417" i="44"/>
  <c r="M417" i="44"/>
  <c r="N417" i="44"/>
  <c r="Q417" i="44"/>
  <c r="R417" i="44"/>
  <c r="S417" i="44"/>
  <c r="B418" i="44"/>
  <c r="J418" i="44"/>
  <c r="K418" i="44"/>
  <c r="L418" i="44"/>
  <c r="M418" i="44"/>
  <c r="N418" i="44"/>
  <c r="Q418" i="44"/>
  <c r="R418" i="44"/>
  <c r="S418" i="44"/>
  <c r="B419" i="44"/>
  <c r="J419" i="44"/>
  <c r="K419" i="44"/>
  <c r="L419" i="44"/>
  <c r="M419" i="44"/>
  <c r="N419" i="44"/>
  <c r="Q419" i="44"/>
  <c r="R419" i="44"/>
  <c r="S419" i="44"/>
  <c r="B420" i="44"/>
  <c r="J420" i="44"/>
  <c r="K420" i="44"/>
  <c r="L420" i="44"/>
  <c r="M420" i="44"/>
  <c r="N420" i="44"/>
  <c r="Q420" i="44"/>
  <c r="R420" i="44"/>
  <c r="S420" i="44"/>
  <c r="B421" i="44"/>
  <c r="J421" i="44"/>
  <c r="K421" i="44"/>
  <c r="L421" i="44"/>
  <c r="M421" i="44"/>
  <c r="N421" i="44"/>
  <c r="Q421" i="44"/>
  <c r="R421" i="44"/>
  <c r="S421" i="44"/>
  <c r="B422" i="44"/>
  <c r="J422" i="44"/>
  <c r="K422" i="44"/>
  <c r="L422" i="44"/>
  <c r="M422" i="44"/>
  <c r="N422" i="44"/>
  <c r="Q422" i="44"/>
  <c r="R422" i="44"/>
  <c r="S422" i="44"/>
  <c r="B423" i="44"/>
  <c r="J423" i="44"/>
  <c r="K423" i="44"/>
  <c r="L423" i="44"/>
  <c r="M423" i="44"/>
  <c r="N423" i="44"/>
  <c r="Q423" i="44"/>
  <c r="R423" i="44"/>
  <c r="S423" i="44"/>
  <c r="B424" i="44"/>
  <c r="J424" i="44"/>
  <c r="K424" i="44"/>
  <c r="L424" i="44"/>
  <c r="M424" i="44"/>
  <c r="N424" i="44"/>
  <c r="Q424" i="44"/>
  <c r="R424" i="44"/>
  <c r="S424" i="44"/>
  <c r="B425" i="44"/>
  <c r="J425" i="44"/>
  <c r="K425" i="44"/>
  <c r="L425" i="44"/>
  <c r="M425" i="44"/>
  <c r="N425" i="44"/>
  <c r="Q425" i="44"/>
  <c r="R425" i="44"/>
  <c r="S425" i="44"/>
  <c r="B426" i="44"/>
  <c r="J426" i="44"/>
  <c r="K426" i="44"/>
  <c r="L426" i="44"/>
  <c r="M426" i="44"/>
  <c r="N426" i="44"/>
  <c r="Q426" i="44"/>
  <c r="R426" i="44"/>
  <c r="S426" i="44"/>
  <c r="B427" i="44"/>
  <c r="J427" i="44"/>
  <c r="K427" i="44"/>
  <c r="L427" i="44"/>
  <c r="M427" i="44"/>
  <c r="N427" i="44"/>
  <c r="Q427" i="44"/>
  <c r="R427" i="44"/>
  <c r="S427" i="44"/>
  <c r="B428" i="44"/>
  <c r="J428" i="44"/>
  <c r="K428" i="44"/>
  <c r="L428" i="44"/>
  <c r="M428" i="44"/>
  <c r="N428" i="44"/>
  <c r="Q428" i="44"/>
  <c r="R428" i="44"/>
  <c r="S428" i="44"/>
  <c r="B429" i="44"/>
  <c r="J429" i="44"/>
  <c r="K429" i="44"/>
  <c r="L429" i="44"/>
  <c r="M429" i="44"/>
  <c r="N429" i="44"/>
  <c r="Q429" i="44"/>
  <c r="R429" i="44"/>
  <c r="S429" i="44"/>
  <c r="B430" i="44"/>
  <c r="J430" i="44"/>
  <c r="K430" i="44"/>
  <c r="L430" i="44"/>
  <c r="M430" i="44"/>
  <c r="N430" i="44"/>
  <c r="Q430" i="44"/>
  <c r="R430" i="44"/>
  <c r="S430" i="44"/>
  <c r="B431" i="44"/>
  <c r="J431" i="44"/>
  <c r="K431" i="44"/>
  <c r="L431" i="44"/>
  <c r="M431" i="44"/>
  <c r="N431" i="44"/>
  <c r="Q431" i="44"/>
  <c r="R431" i="44"/>
  <c r="S431" i="44"/>
  <c r="AJ92" i="54" l="1"/>
  <c r="AK92" i="54"/>
  <c r="AL92" i="54"/>
  <c r="AJ38" i="39" l="1"/>
  <c r="AJ40" i="39"/>
  <c r="AJ45" i="39"/>
  <c r="AJ47" i="39"/>
  <c r="AJ57" i="39"/>
  <c r="AI56" i="47" l="1"/>
  <c r="AJ56" i="47"/>
  <c r="AK56" i="47"/>
  <c r="AI54" i="47"/>
  <c r="AJ54" i="47"/>
  <c r="AK54" i="47"/>
  <c r="AH54" i="47"/>
  <c r="AL22" i="47" l="1"/>
  <c r="AL23" i="47"/>
  <c r="AL25" i="47"/>
  <c r="AL26" i="47"/>
  <c r="AL27" i="47"/>
  <c r="AL28" i="47"/>
  <c r="AL31" i="47"/>
  <c r="AL32" i="47"/>
  <c r="AL34" i="47"/>
  <c r="AL35" i="47"/>
  <c r="AL38" i="47"/>
  <c r="AL39" i="47"/>
  <c r="AL41" i="47"/>
  <c r="AL42" i="47"/>
  <c r="AL43" i="47"/>
  <c r="AL44" i="47"/>
  <c r="AL47" i="47"/>
  <c r="AL48" i="47"/>
  <c r="AL50" i="47"/>
  <c r="AL51" i="47"/>
  <c r="AL16" i="47"/>
  <c r="AJ62" i="54"/>
  <c r="AK62" i="54"/>
  <c r="AL62" i="54"/>
  <c r="AK104" i="54"/>
  <c r="AK105" i="54"/>
  <c r="AK109" i="54"/>
  <c r="AK112" i="54"/>
  <c r="AK116" i="54"/>
  <c r="AL116" i="54"/>
  <c r="AK117" i="54"/>
  <c r="AL117" i="54"/>
  <c r="AJ115" i="54"/>
  <c r="AL85" i="47" l="1"/>
  <c r="AL63" i="47"/>
  <c r="AL84" i="47"/>
  <c r="AL82" i="47"/>
  <c r="AL81" i="47"/>
  <c r="AL68" i="47"/>
  <c r="AL67" i="47"/>
  <c r="AL62" i="47"/>
  <c r="AL66" i="47"/>
  <c r="AL65" i="47"/>
  <c r="AJ85" i="54"/>
  <c r="AK85" i="54"/>
  <c r="AL85" i="54"/>
  <c r="AJ77" i="54"/>
  <c r="AK77" i="54"/>
  <c r="AL77" i="54"/>
  <c r="AJ70" i="54"/>
  <c r="AK70" i="54"/>
  <c r="AL70" i="54"/>
  <c r="AJ47" i="54"/>
  <c r="AK47" i="54"/>
  <c r="AL47" i="54"/>
  <c r="AJ39" i="54"/>
  <c r="AK39" i="54"/>
  <c r="AL39" i="54"/>
  <c r="AJ32" i="54"/>
  <c r="AK32" i="54"/>
  <c r="AL32" i="54"/>
  <c r="AL28" i="54"/>
  <c r="AL29" i="54"/>
  <c r="AL30" i="54"/>
  <c r="AL31" i="54"/>
  <c r="AL35" i="54"/>
  <c r="AL36" i="54"/>
  <c r="AL37" i="54"/>
  <c r="AL38" i="54"/>
  <c r="AL43" i="54"/>
  <c r="AL44" i="54"/>
  <c r="AL45" i="54"/>
  <c r="AL46" i="54"/>
  <c r="AL50" i="54"/>
  <c r="AL51" i="54"/>
  <c r="AL52" i="54"/>
  <c r="AL53" i="54"/>
  <c r="AL54" i="54"/>
  <c r="AL58" i="54"/>
  <c r="AL59" i="54"/>
  <c r="AL60" i="54"/>
  <c r="AL61" i="54"/>
  <c r="AL66" i="54"/>
  <c r="AL67" i="54"/>
  <c r="AL68" i="54"/>
  <c r="AL69" i="54"/>
  <c r="AL73" i="54"/>
  <c r="AL74" i="54"/>
  <c r="AL75" i="54"/>
  <c r="AL76" i="54"/>
  <c r="AL81" i="54"/>
  <c r="AL82" i="54"/>
  <c r="AL83" i="54"/>
  <c r="AL84" i="54"/>
  <c r="AL88" i="54"/>
  <c r="AL89" i="54"/>
  <c r="AL90" i="54"/>
  <c r="AL91" i="54"/>
  <c r="AL96" i="54"/>
  <c r="AL97" i="54"/>
  <c r="AL98" i="54"/>
  <c r="AL99" i="54"/>
  <c r="AJ54" i="54"/>
  <c r="AK54" i="54"/>
  <c r="AL19" i="54"/>
  <c r="AL16" i="54"/>
  <c r="O61" i="44"/>
  <c r="O54" i="44"/>
  <c r="O47" i="44"/>
  <c r="O39" i="44"/>
  <c r="AL87" i="47" l="1" a="1"/>
  <c r="AL87" i="47" s="1"/>
  <c r="AL90" i="47" s="1"/>
  <c r="AL70" i="47" a="1"/>
  <c r="AL70" i="47" s="1"/>
  <c r="AL73" i="47" s="1"/>
  <c r="AL186" i="54"/>
  <c r="AL194" i="54" s="1"/>
  <c r="AL170" i="54"/>
  <c r="AL163" i="54"/>
  <c r="AL134" i="54"/>
  <c r="AL127" i="54"/>
  <c r="AL142" i="54" l="1"/>
  <c r="AL178" i="54"/>
  <c r="AL19" i="33"/>
  <c r="AL16" i="33" l="1"/>
  <c r="AL61" i="33" s="1"/>
  <c r="AL20" i="33"/>
  <c r="H94" i="33" s="1"/>
  <c r="AK21" i="33"/>
  <c r="AK22" i="33"/>
  <c r="AL13" i="33"/>
  <c r="AL27" i="33" s="1"/>
  <c r="AL55" i="33" l="1"/>
  <c r="N28" i="59"/>
  <c r="AL80" i="33"/>
  <c r="AL90" i="33" s="1"/>
  <c r="AM90" i="33" s="1"/>
  <c r="AL73" i="33"/>
  <c r="H19" i="51" l="1"/>
  <c r="AK19" i="47"/>
  <c r="F22" i="59"/>
  <c r="H26" i="39"/>
  <c r="AM85" i="39" s="1"/>
  <c r="AK25" i="54"/>
  <c r="P53" i="44"/>
  <c r="H16" i="38"/>
  <c r="H26" i="36"/>
  <c r="O46" i="44"/>
  <c r="O38" i="44"/>
  <c r="O53" i="44"/>
  <c r="K47" i="61" l="1"/>
  <c r="K58" i="21"/>
  <c r="K87" i="61"/>
  <c r="AM78" i="39"/>
  <c r="AM80" i="39"/>
  <c r="AM106" i="51"/>
  <c r="AM107" i="51"/>
  <c r="M22" i="38"/>
  <c r="K34" i="61" l="1"/>
  <c r="K45" i="21"/>
  <c r="K20" i="61"/>
  <c r="K30" i="21"/>
  <c r="H58" i="21"/>
  <c r="K74" i="61"/>
  <c r="K60" i="61"/>
  <c r="J24" i="61"/>
  <c r="K23" i="61"/>
  <c r="AJ59" i="39"/>
  <c r="J64" i="61" l="1"/>
  <c r="K63" i="61"/>
  <c r="AH60" i="39"/>
  <c r="AI60" i="39"/>
  <c r="AJ60" i="39"/>
  <c r="AI59" i="39"/>
  <c r="AH59" i="39"/>
  <c r="AM88" i="39" s="1"/>
  <c r="J59" i="21" s="1"/>
  <c r="H25" i="21"/>
  <c r="B302" i="44" l="1"/>
  <c r="J302" i="44"/>
  <c r="K302" i="44"/>
  <c r="L302" i="44"/>
  <c r="M302" i="44"/>
  <c r="N302" i="44"/>
  <c r="Q302" i="44"/>
  <c r="R302" i="44"/>
  <c r="S302" i="44"/>
  <c r="B303" i="44"/>
  <c r="J303" i="44"/>
  <c r="K303" i="44"/>
  <c r="L303" i="44"/>
  <c r="M303" i="44"/>
  <c r="N303" i="44"/>
  <c r="Q303" i="44"/>
  <c r="R303" i="44"/>
  <c r="S303" i="44"/>
  <c r="B304" i="44"/>
  <c r="J304" i="44"/>
  <c r="K304" i="44"/>
  <c r="L304" i="44"/>
  <c r="M304" i="44"/>
  <c r="N304" i="44"/>
  <c r="Q304" i="44"/>
  <c r="R304" i="44"/>
  <c r="S304" i="44"/>
  <c r="B305" i="44"/>
  <c r="J305" i="44"/>
  <c r="K305" i="44"/>
  <c r="L305" i="44"/>
  <c r="M305" i="44"/>
  <c r="N305" i="44"/>
  <c r="Q305" i="44"/>
  <c r="R305" i="44"/>
  <c r="S305" i="44"/>
  <c r="B306" i="44"/>
  <c r="J306" i="44"/>
  <c r="K306" i="44"/>
  <c r="L306" i="44"/>
  <c r="M306" i="44"/>
  <c r="N306" i="44"/>
  <c r="Q306" i="44"/>
  <c r="R306" i="44"/>
  <c r="S306" i="44"/>
  <c r="B307" i="44"/>
  <c r="J307" i="44"/>
  <c r="K307" i="44"/>
  <c r="L307" i="44"/>
  <c r="M307" i="44"/>
  <c r="N307" i="44"/>
  <c r="Q307" i="44"/>
  <c r="R307" i="44"/>
  <c r="S307" i="44"/>
  <c r="B308" i="44"/>
  <c r="J308" i="44"/>
  <c r="K308" i="44"/>
  <c r="L308" i="44"/>
  <c r="M308" i="44"/>
  <c r="N308" i="44"/>
  <c r="Q308" i="44"/>
  <c r="R308" i="44"/>
  <c r="S308" i="44"/>
  <c r="B309" i="44"/>
  <c r="J309" i="44"/>
  <c r="K309" i="44"/>
  <c r="L309" i="44"/>
  <c r="M309" i="44"/>
  <c r="N309" i="44"/>
  <c r="Q309" i="44"/>
  <c r="R309" i="44"/>
  <c r="S309" i="44"/>
  <c r="B310" i="44"/>
  <c r="J310" i="44"/>
  <c r="K310" i="44"/>
  <c r="L310" i="44"/>
  <c r="M310" i="44"/>
  <c r="N310" i="44"/>
  <c r="Q310" i="44"/>
  <c r="R310" i="44"/>
  <c r="S310" i="44"/>
  <c r="B311" i="44"/>
  <c r="J311" i="44"/>
  <c r="K311" i="44"/>
  <c r="L311" i="44"/>
  <c r="M311" i="44"/>
  <c r="N311" i="44"/>
  <c r="Q311" i="44"/>
  <c r="R311" i="44"/>
  <c r="S311" i="44"/>
  <c r="B312" i="44"/>
  <c r="J312" i="44"/>
  <c r="K312" i="44"/>
  <c r="L312" i="44"/>
  <c r="M312" i="44"/>
  <c r="N312" i="44"/>
  <c r="Q312" i="44"/>
  <c r="R312" i="44"/>
  <c r="S312" i="44"/>
  <c r="B313" i="44"/>
  <c r="J313" i="44"/>
  <c r="K313" i="44"/>
  <c r="L313" i="44"/>
  <c r="M313" i="44"/>
  <c r="N313" i="44"/>
  <c r="Q313" i="44"/>
  <c r="R313" i="44"/>
  <c r="S313" i="44"/>
  <c r="B314" i="44"/>
  <c r="J314" i="44"/>
  <c r="K314" i="44"/>
  <c r="L314" i="44"/>
  <c r="M314" i="44"/>
  <c r="N314" i="44"/>
  <c r="Q314" i="44"/>
  <c r="R314" i="44"/>
  <c r="S314" i="44"/>
  <c r="B315" i="44"/>
  <c r="J315" i="44"/>
  <c r="K315" i="44"/>
  <c r="L315" i="44"/>
  <c r="M315" i="44"/>
  <c r="N315" i="44"/>
  <c r="Q315" i="44"/>
  <c r="R315" i="44"/>
  <c r="S315" i="44"/>
  <c r="B316" i="44"/>
  <c r="J316" i="44"/>
  <c r="K316" i="44"/>
  <c r="L316" i="44"/>
  <c r="M316" i="44"/>
  <c r="N316" i="44"/>
  <c r="Q316" i="44"/>
  <c r="R316" i="44"/>
  <c r="S316" i="44"/>
  <c r="B317" i="44"/>
  <c r="J317" i="44"/>
  <c r="K317" i="44"/>
  <c r="L317" i="44"/>
  <c r="M317" i="44"/>
  <c r="N317" i="44"/>
  <c r="Q317" i="44"/>
  <c r="R317" i="44"/>
  <c r="S317" i="44"/>
  <c r="B318" i="44"/>
  <c r="J318" i="44"/>
  <c r="K318" i="44"/>
  <c r="L318" i="44"/>
  <c r="M318" i="44"/>
  <c r="N318" i="44"/>
  <c r="Q318" i="44"/>
  <c r="R318" i="44"/>
  <c r="S318" i="44"/>
  <c r="B319" i="44"/>
  <c r="J319" i="44"/>
  <c r="K319" i="44"/>
  <c r="L319" i="44"/>
  <c r="M319" i="44"/>
  <c r="N319" i="44"/>
  <c r="Q319" i="44"/>
  <c r="R319" i="44"/>
  <c r="S319" i="44"/>
  <c r="B320" i="44"/>
  <c r="J320" i="44"/>
  <c r="K320" i="44"/>
  <c r="L320" i="44"/>
  <c r="M320" i="44"/>
  <c r="N320" i="44"/>
  <c r="Q320" i="44"/>
  <c r="R320" i="44"/>
  <c r="S320" i="44"/>
  <c r="B321" i="44"/>
  <c r="J321" i="44"/>
  <c r="K321" i="44"/>
  <c r="L321" i="44"/>
  <c r="M321" i="44"/>
  <c r="N321" i="44"/>
  <c r="Q321" i="44"/>
  <c r="R321" i="44"/>
  <c r="S321" i="44"/>
  <c r="B322" i="44"/>
  <c r="J322" i="44"/>
  <c r="K322" i="44"/>
  <c r="L322" i="44"/>
  <c r="M322" i="44"/>
  <c r="N322" i="44"/>
  <c r="Q322" i="44"/>
  <c r="R322" i="44"/>
  <c r="S322" i="44"/>
  <c r="B323" i="44"/>
  <c r="J323" i="44"/>
  <c r="K323" i="44"/>
  <c r="L323" i="44"/>
  <c r="M323" i="44"/>
  <c r="N323" i="44"/>
  <c r="Q323" i="44"/>
  <c r="R323" i="44"/>
  <c r="S323" i="44"/>
  <c r="B324" i="44"/>
  <c r="J324" i="44"/>
  <c r="K324" i="44"/>
  <c r="L324" i="44"/>
  <c r="M324" i="44"/>
  <c r="N324" i="44"/>
  <c r="Q324" i="44"/>
  <c r="R324" i="44"/>
  <c r="S324" i="44"/>
  <c r="B325" i="44"/>
  <c r="J325" i="44"/>
  <c r="K325" i="44"/>
  <c r="L325" i="44"/>
  <c r="M325" i="44"/>
  <c r="N325" i="44"/>
  <c r="Q325" i="44"/>
  <c r="R325" i="44"/>
  <c r="S325" i="44"/>
  <c r="B326" i="44"/>
  <c r="J326" i="44"/>
  <c r="K326" i="44"/>
  <c r="L326" i="44"/>
  <c r="M326" i="44"/>
  <c r="N326" i="44"/>
  <c r="Q326" i="44"/>
  <c r="R326" i="44"/>
  <c r="S326" i="44"/>
  <c r="B327" i="44"/>
  <c r="J327" i="44"/>
  <c r="K327" i="44"/>
  <c r="L327" i="44"/>
  <c r="M327" i="44"/>
  <c r="N327" i="44"/>
  <c r="Q327" i="44"/>
  <c r="R327" i="44"/>
  <c r="S327" i="44"/>
  <c r="B328" i="44"/>
  <c r="J328" i="44"/>
  <c r="K328" i="44"/>
  <c r="L328" i="44"/>
  <c r="M328" i="44"/>
  <c r="N328" i="44"/>
  <c r="Q328" i="44"/>
  <c r="R328" i="44"/>
  <c r="S328" i="44"/>
  <c r="B329" i="44"/>
  <c r="J329" i="44"/>
  <c r="K329" i="44"/>
  <c r="L329" i="44"/>
  <c r="M329" i="44"/>
  <c r="N329" i="44"/>
  <c r="Q329" i="44"/>
  <c r="R329" i="44"/>
  <c r="S329" i="44"/>
  <c r="B330" i="44"/>
  <c r="J330" i="44"/>
  <c r="K330" i="44"/>
  <c r="L330" i="44"/>
  <c r="M330" i="44"/>
  <c r="N330" i="44"/>
  <c r="Q330" i="44"/>
  <c r="R330" i="44"/>
  <c r="S330" i="44"/>
  <c r="B331" i="44"/>
  <c r="J331" i="44"/>
  <c r="K331" i="44"/>
  <c r="L331" i="44"/>
  <c r="M331" i="44"/>
  <c r="N331" i="44"/>
  <c r="Q331" i="44"/>
  <c r="R331" i="44"/>
  <c r="S331" i="44"/>
  <c r="B332" i="44"/>
  <c r="J332" i="44"/>
  <c r="K332" i="44"/>
  <c r="L332" i="44"/>
  <c r="M332" i="44"/>
  <c r="N332" i="44"/>
  <c r="Q332" i="44"/>
  <c r="R332" i="44"/>
  <c r="S332" i="44"/>
  <c r="B333" i="44"/>
  <c r="J333" i="44"/>
  <c r="K333" i="44"/>
  <c r="L333" i="44"/>
  <c r="M333" i="44"/>
  <c r="N333" i="44"/>
  <c r="Q333" i="44"/>
  <c r="R333" i="44"/>
  <c r="S333" i="44"/>
  <c r="B334" i="44"/>
  <c r="J334" i="44"/>
  <c r="K334" i="44"/>
  <c r="L334" i="44"/>
  <c r="M334" i="44"/>
  <c r="N334" i="44"/>
  <c r="Q334" i="44"/>
  <c r="R334" i="44"/>
  <c r="S334" i="44"/>
  <c r="B335" i="44"/>
  <c r="J335" i="44"/>
  <c r="K335" i="44"/>
  <c r="L335" i="44"/>
  <c r="M335" i="44"/>
  <c r="N335" i="44"/>
  <c r="Q335" i="44"/>
  <c r="R335" i="44"/>
  <c r="S335" i="44"/>
  <c r="B336" i="44"/>
  <c r="J336" i="44"/>
  <c r="K336" i="44"/>
  <c r="L336" i="44"/>
  <c r="M336" i="44"/>
  <c r="N336" i="44"/>
  <c r="Q336" i="44"/>
  <c r="R336" i="44"/>
  <c r="S336" i="44"/>
  <c r="B337" i="44"/>
  <c r="J337" i="44"/>
  <c r="K337" i="44"/>
  <c r="L337" i="44"/>
  <c r="M337" i="44"/>
  <c r="N337" i="44"/>
  <c r="Q337" i="44"/>
  <c r="R337" i="44"/>
  <c r="S337" i="44"/>
  <c r="B338" i="44"/>
  <c r="J338" i="44"/>
  <c r="K338" i="44"/>
  <c r="L338" i="44"/>
  <c r="M338" i="44"/>
  <c r="N338" i="44"/>
  <c r="Q338" i="44"/>
  <c r="R338" i="44"/>
  <c r="S338" i="44"/>
  <c r="B339" i="44"/>
  <c r="J339" i="44"/>
  <c r="K339" i="44"/>
  <c r="L339" i="44"/>
  <c r="M339" i="44"/>
  <c r="N339" i="44"/>
  <c r="Q339" i="44"/>
  <c r="R339" i="44"/>
  <c r="S339" i="44"/>
  <c r="B340" i="44"/>
  <c r="J340" i="44"/>
  <c r="K340" i="44"/>
  <c r="L340" i="44"/>
  <c r="M340" i="44"/>
  <c r="N340" i="44"/>
  <c r="Q340" i="44"/>
  <c r="R340" i="44"/>
  <c r="S340" i="44"/>
  <c r="B236" i="44"/>
  <c r="J236" i="44"/>
  <c r="K236" i="44"/>
  <c r="L236" i="44"/>
  <c r="M236" i="44"/>
  <c r="N236" i="44"/>
  <c r="Q236" i="44"/>
  <c r="R236" i="44"/>
  <c r="S236" i="44"/>
  <c r="B237" i="44"/>
  <c r="J237" i="44"/>
  <c r="K237" i="44"/>
  <c r="L237" i="44"/>
  <c r="M237" i="44"/>
  <c r="N237" i="44"/>
  <c r="Q237" i="44"/>
  <c r="R237" i="44"/>
  <c r="S237" i="44"/>
  <c r="B238" i="44"/>
  <c r="J238" i="44"/>
  <c r="K238" i="44"/>
  <c r="L238" i="44"/>
  <c r="M238" i="44"/>
  <c r="N238" i="44"/>
  <c r="Q238" i="44"/>
  <c r="R238" i="44"/>
  <c r="S238" i="44"/>
  <c r="B239" i="44"/>
  <c r="J239" i="44"/>
  <c r="K239" i="44"/>
  <c r="L239" i="44"/>
  <c r="M239" i="44"/>
  <c r="N239" i="44"/>
  <c r="Q239" i="44"/>
  <c r="R239" i="44"/>
  <c r="S239" i="44"/>
  <c r="B240" i="44"/>
  <c r="J240" i="44"/>
  <c r="K240" i="44"/>
  <c r="L240" i="44"/>
  <c r="M240" i="44"/>
  <c r="N240" i="44"/>
  <c r="Q240" i="44"/>
  <c r="R240" i="44"/>
  <c r="S240" i="44"/>
  <c r="B241" i="44"/>
  <c r="J241" i="44"/>
  <c r="K241" i="44"/>
  <c r="L241" i="44"/>
  <c r="M241" i="44"/>
  <c r="N241" i="44"/>
  <c r="Q241" i="44"/>
  <c r="R241" i="44"/>
  <c r="S241" i="44"/>
  <c r="B242" i="44"/>
  <c r="J242" i="44"/>
  <c r="K242" i="44"/>
  <c r="L242" i="44"/>
  <c r="M242" i="44"/>
  <c r="N242" i="44"/>
  <c r="Q242" i="44"/>
  <c r="R242" i="44"/>
  <c r="S242" i="44"/>
  <c r="B243" i="44"/>
  <c r="J243" i="44"/>
  <c r="K243" i="44"/>
  <c r="L243" i="44"/>
  <c r="M243" i="44"/>
  <c r="N243" i="44"/>
  <c r="Q243" i="44"/>
  <c r="R243" i="44"/>
  <c r="S243" i="44"/>
  <c r="B244" i="44"/>
  <c r="J244" i="44"/>
  <c r="K244" i="44"/>
  <c r="L244" i="44"/>
  <c r="M244" i="44"/>
  <c r="N244" i="44"/>
  <c r="Q244" i="44"/>
  <c r="R244" i="44"/>
  <c r="S244" i="44"/>
  <c r="B245" i="44"/>
  <c r="J245" i="44"/>
  <c r="K245" i="44"/>
  <c r="L245" i="44"/>
  <c r="M245" i="44"/>
  <c r="N245" i="44"/>
  <c r="Q245" i="44"/>
  <c r="R245" i="44"/>
  <c r="S245" i="44"/>
  <c r="B246" i="44"/>
  <c r="J246" i="44"/>
  <c r="K246" i="44"/>
  <c r="L246" i="44"/>
  <c r="M246" i="44"/>
  <c r="N246" i="44"/>
  <c r="Q246" i="44"/>
  <c r="R246" i="44"/>
  <c r="S246" i="44"/>
  <c r="B247" i="44"/>
  <c r="J247" i="44"/>
  <c r="K247" i="44"/>
  <c r="L247" i="44"/>
  <c r="M247" i="44"/>
  <c r="N247" i="44"/>
  <c r="Q247" i="44"/>
  <c r="R247" i="44"/>
  <c r="S247" i="44"/>
  <c r="B248" i="44"/>
  <c r="J248" i="44"/>
  <c r="K248" i="44"/>
  <c r="L248" i="44"/>
  <c r="M248" i="44"/>
  <c r="N248" i="44"/>
  <c r="Q248" i="44"/>
  <c r="R248" i="44"/>
  <c r="S248" i="44"/>
  <c r="B249" i="44"/>
  <c r="J249" i="44"/>
  <c r="K249" i="44"/>
  <c r="L249" i="44"/>
  <c r="M249" i="44"/>
  <c r="N249" i="44"/>
  <c r="Q249" i="44"/>
  <c r="R249" i="44"/>
  <c r="S249" i="44"/>
  <c r="B250" i="44"/>
  <c r="J250" i="44"/>
  <c r="K250" i="44"/>
  <c r="L250" i="44"/>
  <c r="M250" i="44"/>
  <c r="N250" i="44"/>
  <c r="Q250" i="44"/>
  <c r="R250" i="44"/>
  <c r="S250" i="44"/>
  <c r="B251" i="44"/>
  <c r="J251" i="44"/>
  <c r="K251" i="44"/>
  <c r="L251" i="44"/>
  <c r="M251" i="44"/>
  <c r="N251" i="44"/>
  <c r="Q251" i="44"/>
  <c r="R251" i="44"/>
  <c r="S251" i="44"/>
  <c r="B252" i="44"/>
  <c r="J252" i="44"/>
  <c r="K252" i="44"/>
  <c r="L252" i="44"/>
  <c r="M252" i="44"/>
  <c r="N252" i="44"/>
  <c r="Q252" i="44"/>
  <c r="R252" i="44"/>
  <c r="S252" i="44"/>
  <c r="B253" i="44"/>
  <c r="J253" i="44"/>
  <c r="K253" i="44"/>
  <c r="L253" i="44"/>
  <c r="M253" i="44"/>
  <c r="N253" i="44"/>
  <c r="Q253" i="44"/>
  <c r="R253" i="44"/>
  <c r="S253" i="44"/>
  <c r="B254" i="44"/>
  <c r="J254" i="44"/>
  <c r="K254" i="44"/>
  <c r="L254" i="44"/>
  <c r="M254" i="44"/>
  <c r="N254" i="44"/>
  <c r="Q254" i="44"/>
  <c r="R254" i="44"/>
  <c r="S254" i="44"/>
  <c r="B255" i="44"/>
  <c r="J255" i="44"/>
  <c r="K255" i="44"/>
  <c r="L255" i="44"/>
  <c r="M255" i="44"/>
  <c r="N255" i="44"/>
  <c r="Q255" i="44"/>
  <c r="R255" i="44"/>
  <c r="S255" i="44"/>
  <c r="B256" i="44"/>
  <c r="J256" i="44"/>
  <c r="K256" i="44"/>
  <c r="L256" i="44"/>
  <c r="M256" i="44"/>
  <c r="N256" i="44"/>
  <c r="Q256" i="44"/>
  <c r="R256" i="44"/>
  <c r="S256" i="44"/>
  <c r="B257" i="44"/>
  <c r="J257" i="44"/>
  <c r="K257" i="44"/>
  <c r="L257" i="44"/>
  <c r="M257" i="44"/>
  <c r="N257" i="44"/>
  <c r="Q257" i="44"/>
  <c r="R257" i="44"/>
  <c r="S257" i="44"/>
  <c r="B258" i="44"/>
  <c r="J258" i="44"/>
  <c r="K258" i="44"/>
  <c r="L258" i="44"/>
  <c r="M258" i="44"/>
  <c r="N258" i="44"/>
  <c r="Q258" i="44"/>
  <c r="R258" i="44"/>
  <c r="S258" i="44"/>
  <c r="B259" i="44"/>
  <c r="J259" i="44"/>
  <c r="K259" i="44"/>
  <c r="L259" i="44"/>
  <c r="M259" i="44"/>
  <c r="N259" i="44"/>
  <c r="Q259" i="44"/>
  <c r="R259" i="44"/>
  <c r="S259" i="44"/>
  <c r="B260" i="44"/>
  <c r="J260" i="44"/>
  <c r="K260" i="44"/>
  <c r="L260" i="44"/>
  <c r="M260" i="44"/>
  <c r="N260" i="44"/>
  <c r="Q260" i="44"/>
  <c r="R260" i="44"/>
  <c r="S260" i="44"/>
  <c r="B261" i="44"/>
  <c r="J261" i="44"/>
  <c r="K261" i="44"/>
  <c r="L261" i="44"/>
  <c r="M261" i="44"/>
  <c r="N261" i="44"/>
  <c r="Q261" i="44"/>
  <c r="R261" i="44"/>
  <c r="S261" i="44"/>
  <c r="B262" i="44"/>
  <c r="J262" i="44"/>
  <c r="K262" i="44"/>
  <c r="L262" i="44"/>
  <c r="M262" i="44"/>
  <c r="N262" i="44"/>
  <c r="Q262" i="44"/>
  <c r="R262" i="44"/>
  <c r="S262" i="44"/>
  <c r="B263" i="44"/>
  <c r="J263" i="44"/>
  <c r="K263" i="44"/>
  <c r="L263" i="44"/>
  <c r="M263" i="44"/>
  <c r="N263" i="44"/>
  <c r="Q263" i="44"/>
  <c r="R263" i="44"/>
  <c r="S263" i="44"/>
  <c r="B264" i="44"/>
  <c r="J264" i="44"/>
  <c r="K264" i="44"/>
  <c r="L264" i="44"/>
  <c r="M264" i="44"/>
  <c r="N264" i="44"/>
  <c r="Q264" i="44"/>
  <c r="R264" i="44"/>
  <c r="S264" i="44"/>
  <c r="B265" i="44"/>
  <c r="J265" i="44"/>
  <c r="K265" i="44"/>
  <c r="L265" i="44"/>
  <c r="M265" i="44"/>
  <c r="N265" i="44"/>
  <c r="Q265" i="44"/>
  <c r="R265" i="44"/>
  <c r="S265" i="44"/>
  <c r="B266" i="44"/>
  <c r="J266" i="44"/>
  <c r="K266" i="44"/>
  <c r="L266" i="44"/>
  <c r="M266" i="44"/>
  <c r="N266" i="44"/>
  <c r="Q266" i="44"/>
  <c r="R266" i="44"/>
  <c r="S266" i="44"/>
  <c r="B267" i="44"/>
  <c r="J267" i="44"/>
  <c r="K267" i="44"/>
  <c r="L267" i="44"/>
  <c r="M267" i="44"/>
  <c r="N267" i="44"/>
  <c r="Q267" i="44"/>
  <c r="R267" i="44"/>
  <c r="S267" i="44"/>
  <c r="B268" i="44"/>
  <c r="J268" i="44"/>
  <c r="K268" i="44"/>
  <c r="L268" i="44"/>
  <c r="M268" i="44"/>
  <c r="N268" i="44"/>
  <c r="Q268" i="44"/>
  <c r="R268" i="44"/>
  <c r="S268" i="44"/>
  <c r="B269" i="44"/>
  <c r="J269" i="44"/>
  <c r="K269" i="44"/>
  <c r="L269" i="44"/>
  <c r="M269" i="44"/>
  <c r="N269" i="44"/>
  <c r="Q269" i="44"/>
  <c r="R269" i="44"/>
  <c r="S269" i="44"/>
  <c r="B270" i="44"/>
  <c r="J270" i="44"/>
  <c r="K270" i="44"/>
  <c r="L270" i="44"/>
  <c r="M270" i="44"/>
  <c r="N270" i="44"/>
  <c r="Q270" i="44"/>
  <c r="R270" i="44"/>
  <c r="S270" i="44"/>
  <c r="B271" i="44"/>
  <c r="J271" i="44"/>
  <c r="K271" i="44"/>
  <c r="L271" i="44"/>
  <c r="M271" i="44"/>
  <c r="N271" i="44"/>
  <c r="Q271" i="44"/>
  <c r="R271" i="44"/>
  <c r="S271" i="44"/>
  <c r="B272" i="44"/>
  <c r="J272" i="44"/>
  <c r="K272" i="44"/>
  <c r="L272" i="44"/>
  <c r="M272" i="44"/>
  <c r="N272" i="44"/>
  <c r="Q272" i="44"/>
  <c r="R272" i="44"/>
  <c r="S272" i="44"/>
  <c r="B273" i="44"/>
  <c r="J273" i="44"/>
  <c r="K273" i="44"/>
  <c r="L273" i="44"/>
  <c r="M273" i="44"/>
  <c r="N273" i="44"/>
  <c r="Q273" i="44"/>
  <c r="R273" i="44"/>
  <c r="S273" i="44"/>
  <c r="B274" i="44"/>
  <c r="J274" i="44"/>
  <c r="K274" i="44"/>
  <c r="L274" i="44"/>
  <c r="M274" i="44"/>
  <c r="N274" i="44"/>
  <c r="Q274" i="44"/>
  <c r="R274" i="44"/>
  <c r="S274" i="44"/>
  <c r="B275" i="44"/>
  <c r="J275" i="44"/>
  <c r="K275" i="44"/>
  <c r="L275" i="44"/>
  <c r="M275" i="44"/>
  <c r="N275" i="44"/>
  <c r="Q275" i="44"/>
  <c r="R275" i="44"/>
  <c r="S275" i="44"/>
  <c r="B276" i="44"/>
  <c r="J276" i="44"/>
  <c r="K276" i="44"/>
  <c r="L276" i="44"/>
  <c r="M276" i="44"/>
  <c r="N276" i="44"/>
  <c r="Q276" i="44"/>
  <c r="R276" i="44"/>
  <c r="S276" i="44"/>
  <c r="B277" i="44"/>
  <c r="J277" i="44"/>
  <c r="K277" i="44"/>
  <c r="L277" i="44"/>
  <c r="M277" i="44"/>
  <c r="N277" i="44"/>
  <c r="Q277" i="44"/>
  <c r="R277" i="44"/>
  <c r="S277" i="44"/>
  <c r="B278" i="44"/>
  <c r="J278" i="44"/>
  <c r="K278" i="44"/>
  <c r="L278" i="44"/>
  <c r="M278" i="44"/>
  <c r="N278" i="44"/>
  <c r="Q278" i="44"/>
  <c r="R278" i="44"/>
  <c r="S278" i="44"/>
  <c r="B279" i="44"/>
  <c r="J279" i="44"/>
  <c r="K279" i="44"/>
  <c r="L279" i="44"/>
  <c r="M279" i="44"/>
  <c r="N279" i="44"/>
  <c r="Q279" i="44"/>
  <c r="R279" i="44"/>
  <c r="S279" i="44"/>
  <c r="B280" i="44"/>
  <c r="J280" i="44"/>
  <c r="K280" i="44"/>
  <c r="L280" i="44"/>
  <c r="M280" i="44"/>
  <c r="N280" i="44"/>
  <c r="Q280" i="44"/>
  <c r="R280" i="44"/>
  <c r="S280" i="44"/>
  <c r="B281" i="44"/>
  <c r="J281" i="44"/>
  <c r="K281" i="44"/>
  <c r="L281" i="44"/>
  <c r="M281" i="44"/>
  <c r="N281" i="44"/>
  <c r="Q281" i="44"/>
  <c r="R281" i="44"/>
  <c r="S281" i="44"/>
  <c r="B282" i="44"/>
  <c r="J282" i="44"/>
  <c r="K282" i="44"/>
  <c r="L282" i="44"/>
  <c r="M282" i="44"/>
  <c r="N282" i="44"/>
  <c r="Q282" i="44"/>
  <c r="R282" i="44"/>
  <c r="S282" i="44"/>
  <c r="B283" i="44"/>
  <c r="J283" i="44"/>
  <c r="K283" i="44"/>
  <c r="L283" i="44"/>
  <c r="M283" i="44"/>
  <c r="N283" i="44"/>
  <c r="Q283" i="44"/>
  <c r="R283" i="44"/>
  <c r="S283" i="44"/>
  <c r="B284" i="44"/>
  <c r="J284" i="44"/>
  <c r="K284" i="44"/>
  <c r="L284" i="44"/>
  <c r="M284" i="44"/>
  <c r="N284" i="44"/>
  <c r="Q284" i="44"/>
  <c r="R284" i="44"/>
  <c r="S284" i="44"/>
  <c r="B285" i="44"/>
  <c r="J285" i="44"/>
  <c r="K285" i="44"/>
  <c r="L285" i="44"/>
  <c r="M285" i="44"/>
  <c r="N285" i="44"/>
  <c r="Q285" i="44"/>
  <c r="R285" i="44"/>
  <c r="S285" i="44"/>
  <c r="B286" i="44"/>
  <c r="J286" i="44"/>
  <c r="K286" i="44"/>
  <c r="L286" i="44"/>
  <c r="M286" i="44"/>
  <c r="N286" i="44"/>
  <c r="Q286" i="44"/>
  <c r="R286" i="44"/>
  <c r="S286" i="44"/>
  <c r="B287" i="44"/>
  <c r="J287" i="44"/>
  <c r="K287" i="44"/>
  <c r="L287" i="44"/>
  <c r="M287" i="44"/>
  <c r="N287" i="44"/>
  <c r="Q287" i="44"/>
  <c r="R287" i="44"/>
  <c r="S287" i="44"/>
  <c r="B288" i="44"/>
  <c r="J288" i="44"/>
  <c r="K288" i="44"/>
  <c r="L288" i="44"/>
  <c r="M288" i="44"/>
  <c r="N288" i="44"/>
  <c r="Q288" i="44"/>
  <c r="R288" i="44"/>
  <c r="S288" i="44"/>
  <c r="B289" i="44"/>
  <c r="J289" i="44"/>
  <c r="K289" i="44"/>
  <c r="L289" i="44"/>
  <c r="M289" i="44"/>
  <c r="N289" i="44"/>
  <c r="Q289" i="44"/>
  <c r="R289" i="44"/>
  <c r="S289" i="44"/>
  <c r="B290" i="44"/>
  <c r="J290" i="44"/>
  <c r="K290" i="44"/>
  <c r="L290" i="44"/>
  <c r="M290" i="44"/>
  <c r="N290" i="44"/>
  <c r="Q290" i="44"/>
  <c r="R290" i="44"/>
  <c r="S290" i="44"/>
  <c r="B291" i="44"/>
  <c r="J291" i="44"/>
  <c r="K291" i="44"/>
  <c r="L291" i="44"/>
  <c r="M291" i="44"/>
  <c r="N291" i="44"/>
  <c r="Q291" i="44"/>
  <c r="R291" i="44"/>
  <c r="S291" i="44"/>
  <c r="B292" i="44"/>
  <c r="J292" i="44"/>
  <c r="K292" i="44"/>
  <c r="L292" i="44"/>
  <c r="M292" i="44"/>
  <c r="N292" i="44"/>
  <c r="Q292" i="44"/>
  <c r="R292" i="44"/>
  <c r="S292" i="44"/>
  <c r="B293" i="44"/>
  <c r="J293" i="44"/>
  <c r="K293" i="44"/>
  <c r="L293" i="44"/>
  <c r="M293" i="44"/>
  <c r="N293" i="44"/>
  <c r="Q293" i="44"/>
  <c r="R293" i="44"/>
  <c r="S293" i="44"/>
  <c r="B294" i="44"/>
  <c r="J294" i="44"/>
  <c r="K294" i="44"/>
  <c r="L294" i="44"/>
  <c r="M294" i="44"/>
  <c r="N294" i="44"/>
  <c r="Q294" i="44"/>
  <c r="R294" i="44"/>
  <c r="S294" i="44"/>
  <c r="B295" i="44"/>
  <c r="J295" i="44"/>
  <c r="K295" i="44"/>
  <c r="L295" i="44"/>
  <c r="M295" i="44"/>
  <c r="N295" i="44"/>
  <c r="Q295" i="44"/>
  <c r="R295" i="44"/>
  <c r="S295" i="44"/>
  <c r="B296" i="44"/>
  <c r="J296" i="44"/>
  <c r="K296" i="44"/>
  <c r="L296" i="44"/>
  <c r="M296" i="44"/>
  <c r="N296" i="44"/>
  <c r="Q296" i="44"/>
  <c r="R296" i="44"/>
  <c r="S296" i="44"/>
  <c r="B297" i="44"/>
  <c r="J297" i="44"/>
  <c r="K297" i="44"/>
  <c r="L297" i="44"/>
  <c r="M297" i="44"/>
  <c r="N297" i="44"/>
  <c r="Q297" i="44"/>
  <c r="R297" i="44"/>
  <c r="S297" i="44"/>
  <c r="B298" i="44"/>
  <c r="J298" i="44"/>
  <c r="K298" i="44"/>
  <c r="L298" i="44"/>
  <c r="M298" i="44"/>
  <c r="N298" i="44"/>
  <c r="Q298" i="44"/>
  <c r="R298" i="44"/>
  <c r="S298" i="44"/>
  <c r="B299" i="44"/>
  <c r="J299" i="44"/>
  <c r="K299" i="44"/>
  <c r="L299" i="44"/>
  <c r="M299" i="44"/>
  <c r="N299" i="44"/>
  <c r="Q299" i="44"/>
  <c r="R299" i="44"/>
  <c r="S299" i="44"/>
  <c r="B300" i="44"/>
  <c r="J300" i="44"/>
  <c r="K300" i="44"/>
  <c r="L300" i="44"/>
  <c r="M300" i="44"/>
  <c r="N300" i="44"/>
  <c r="Q300" i="44"/>
  <c r="R300" i="44"/>
  <c r="S300" i="44"/>
  <c r="B301" i="44"/>
  <c r="J301" i="44"/>
  <c r="K301" i="44"/>
  <c r="L301" i="44"/>
  <c r="M301" i="44"/>
  <c r="N301" i="44"/>
  <c r="Q301" i="44"/>
  <c r="R301" i="44"/>
  <c r="S301" i="44"/>
  <c r="P17" i="42" l="1"/>
  <c r="N17" i="42"/>
  <c r="P13" i="42"/>
  <c r="N13" i="42"/>
  <c r="M13" i="42"/>
  <c r="M17" i="42"/>
  <c r="H24" i="21" l="1"/>
  <c r="AK98" i="54" l="1"/>
  <c r="AJ98" i="54"/>
  <c r="AI98" i="54"/>
  <c r="AH98" i="54"/>
  <c r="AK97" i="54"/>
  <c r="AJ97" i="54"/>
  <c r="AI97" i="54"/>
  <c r="AH97" i="54"/>
  <c r="AK96" i="54"/>
  <c r="AJ96" i="54"/>
  <c r="AI96" i="54"/>
  <c r="AH96" i="54"/>
  <c r="AK90" i="54"/>
  <c r="AJ90" i="54"/>
  <c r="AI90" i="54"/>
  <c r="AH90" i="54"/>
  <c r="AK89" i="54"/>
  <c r="AJ89" i="54"/>
  <c r="AI89" i="54"/>
  <c r="AH89" i="54"/>
  <c r="AK88" i="54"/>
  <c r="AJ88" i="54"/>
  <c r="AI88" i="54"/>
  <c r="AH88" i="54"/>
  <c r="AK83" i="54"/>
  <c r="AJ83" i="54"/>
  <c r="AI83" i="54"/>
  <c r="AH83" i="54"/>
  <c r="AK82" i="54"/>
  <c r="AJ82" i="54"/>
  <c r="AI82" i="54"/>
  <c r="AH82" i="54"/>
  <c r="AK81" i="54"/>
  <c r="AJ81" i="54"/>
  <c r="AI81" i="54"/>
  <c r="AH81" i="54"/>
  <c r="AK75" i="54"/>
  <c r="AJ75" i="54"/>
  <c r="AI75" i="54"/>
  <c r="AH75" i="54"/>
  <c r="AK74" i="54"/>
  <c r="AJ74" i="54"/>
  <c r="AI74" i="54"/>
  <c r="AH74" i="54"/>
  <c r="AK73" i="54"/>
  <c r="AJ73" i="54"/>
  <c r="AI73" i="54"/>
  <c r="AH73" i="54"/>
  <c r="AH67" i="54"/>
  <c r="AI67" i="54"/>
  <c r="AJ67" i="54"/>
  <c r="AK67" i="54"/>
  <c r="AH68" i="54"/>
  <c r="AI68" i="54"/>
  <c r="AJ68" i="54"/>
  <c r="AK68" i="54"/>
  <c r="AI44" i="47" l="1"/>
  <c r="AH56" i="47"/>
  <c r="AJ122" i="54" l="1"/>
  <c r="AI122" i="54"/>
  <c r="AH122" i="54"/>
  <c r="AH115" i="54"/>
  <c r="AI115" i="54"/>
  <c r="AJ117" i="54"/>
  <c r="AI117" i="54"/>
  <c r="AJ112" i="54" l="1"/>
  <c r="AI112" i="54"/>
  <c r="AH112" i="54"/>
  <c r="AJ109" i="54"/>
  <c r="AI109" i="54"/>
  <c r="AH109" i="54"/>
  <c r="AK99" i="54"/>
  <c r="AJ99" i="54"/>
  <c r="AI99" i="54"/>
  <c r="AK91" i="54"/>
  <c r="AJ91" i="54"/>
  <c r="AI91" i="54"/>
  <c r="AK84" i="54"/>
  <c r="AJ84" i="54"/>
  <c r="AI84" i="54"/>
  <c r="AH29" i="54"/>
  <c r="AI29" i="54"/>
  <c r="AJ29" i="54"/>
  <c r="AK29" i="54"/>
  <c r="AH30" i="54"/>
  <c r="AI30" i="54"/>
  <c r="AJ30" i="54"/>
  <c r="AK30" i="54"/>
  <c r="AI31" i="54"/>
  <c r="AJ31" i="54"/>
  <c r="AK31" i="54"/>
  <c r="AH35" i="54"/>
  <c r="AI35" i="54"/>
  <c r="AJ35" i="54"/>
  <c r="AK35" i="54"/>
  <c r="AH36" i="54"/>
  <c r="AI36" i="54"/>
  <c r="AJ36" i="54"/>
  <c r="AK36" i="54"/>
  <c r="AH37" i="54"/>
  <c r="AI37" i="54"/>
  <c r="AJ37" i="54"/>
  <c r="AK37" i="54"/>
  <c r="AI38" i="54"/>
  <c r="AJ38" i="54"/>
  <c r="AK38" i="54"/>
  <c r="AH43" i="54"/>
  <c r="AI43" i="54"/>
  <c r="AJ43" i="54"/>
  <c r="AK43" i="54"/>
  <c r="AH44" i="54"/>
  <c r="AI44" i="54"/>
  <c r="AJ44" i="54"/>
  <c r="AK44" i="54"/>
  <c r="AH45" i="54"/>
  <c r="AI45" i="54"/>
  <c r="AJ45" i="54"/>
  <c r="AK45" i="54"/>
  <c r="AI46" i="54"/>
  <c r="AJ46" i="54"/>
  <c r="AK46" i="54"/>
  <c r="AH50" i="54"/>
  <c r="AI50" i="54"/>
  <c r="AI170" i="54" s="1"/>
  <c r="AJ50" i="54"/>
  <c r="AK50" i="54"/>
  <c r="AH51" i="54"/>
  <c r="AI51" i="54"/>
  <c r="AJ51" i="54"/>
  <c r="AK51" i="54"/>
  <c r="AH52" i="54"/>
  <c r="AI52" i="54"/>
  <c r="AJ52" i="54"/>
  <c r="AK52" i="54"/>
  <c r="AI53" i="54"/>
  <c r="AJ53" i="54"/>
  <c r="AK53" i="54"/>
  <c r="AH58" i="54"/>
  <c r="AI58" i="54"/>
  <c r="AJ58" i="54"/>
  <c r="AK58" i="54"/>
  <c r="AK186" i="54" s="1"/>
  <c r="AK194" i="54" s="1"/>
  <c r="AH59" i="54"/>
  <c r="AI59" i="54"/>
  <c r="AJ59" i="54"/>
  <c r="AK59" i="54"/>
  <c r="AH60" i="54"/>
  <c r="AI60" i="54"/>
  <c r="AJ60" i="54"/>
  <c r="AK60" i="54"/>
  <c r="AI61" i="54"/>
  <c r="AJ61" i="54"/>
  <c r="AK61" i="54"/>
  <c r="AH66" i="54"/>
  <c r="AI66" i="54"/>
  <c r="AJ66" i="54"/>
  <c r="AK66" i="54"/>
  <c r="AI69" i="54"/>
  <c r="AJ69" i="54"/>
  <c r="AK69" i="54"/>
  <c r="AI76" i="54"/>
  <c r="AJ76" i="54"/>
  <c r="AK76" i="54"/>
  <c r="AH104" i="54"/>
  <c r="AI104" i="54"/>
  <c r="AJ104" i="54"/>
  <c r="AH105" i="54"/>
  <c r="AI105" i="54"/>
  <c r="AJ105" i="54"/>
  <c r="AI28" i="54"/>
  <c r="AJ28" i="54"/>
  <c r="AK28" i="54"/>
  <c r="AH28" i="54"/>
  <c r="AH127" i="54" l="1"/>
  <c r="AJ127" i="54"/>
  <c r="AI186" i="54"/>
  <c r="AI194" i="54" s="1"/>
  <c r="AJ186" i="54"/>
  <c r="AJ194" i="54" s="1"/>
  <c r="AH186" i="54"/>
  <c r="AH194" i="54" s="1"/>
  <c r="AK163" i="54"/>
  <c r="AJ170" i="54"/>
  <c r="AH163" i="54"/>
  <c r="AK170" i="54"/>
  <c r="AI163" i="54"/>
  <c r="AH170" i="54"/>
  <c r="AJ163" i="54"/>
  <c r="AK134" i="54"/>
  <c r="AK127" i="54"/>
  <c r="AI134" i="54"/>
  <c r="AJ134" i="54"/>
  <c r="AH134" i="54"/>
  <c r="AI127" i="54"/>
  <c r="H45" i="36" l="1"/>
  <c r="AK50" i="47" l="1"/>
  <c r="AK51" i="47"/>
  <c r="AK47" i="47"/>
  <c r="AK48" i="47"/>
  <c r="AK41" i="47"/>
  <c r="AK42" i="47"/>
  <c r="AK43" i="47"/>
  <c r="AK44" i="47"/>
  <c r="AK38" i="47"/>
  <c r="AK39" i="47"/>
  <c r="AK34" i="47"/>
  <c r="AK35" i="47"/>
  <c r="AK31" i="47"/>
  <c r="AK32" i="47"/>
  <c r="AK25" i="47"/>
  <c r="AK26" i="47"/>
  <c r="AK27" i="47"/>
  <c r="AK28" i="47"/>
  <c r="AK23" i="47"/>
  <c r="AK22" i="47"/>
  <c r="AK82" i="47" l="1"/>
  <c r="AK68" i="47"/>
  <c r="AK81" i="47"/>
  <c r="AK85" i="47"/>
  <c r="AK84" i="47"/>
  <c r="AK67" i="47"/>
  <c r="AK63" i="47"/>
  <c r="AK66" i="47"/>
  <c r="AK62" i="47"/>
  <c r="AK65" i="47"/>
  <c r="AI57" i="39" l="1"/>
  <c r="AI47" i="39"/>
  <c r="AI45" i="39"/>
  <c r="AI40" i="39"/>
  <c r="AI38" i="39"/>
  <c r="AK16" i="47"/>
  <c r="AK87" i="47" s="1" a="1"/>
  <c r="AK87" i="47" s="1"/>
  <c r="AK90" i="47" s="1"/>
  <c r="AK19" i="54"/>
  <c r="AK16" i="54"/>
  <c r="AK142" i="54" s="1"/>
  <c r="N61" i="44"/>
  <c r="N53" i="44"/>
  <c r="N46" i="44"/>
  <c r="N38" i="44"/>
  <c r="L26" i="38"/>
  <c r="AJ22" i="33"/>
  <c r="AJ21" i="33"/>
  <c r="AK20" i="33"/>
  <c r="AK19" i="33"/>
  <c r="AK16" i="33"/>
  <c r="AK61" i="33" s="1"/>
  <c r="AK72" i="33" s="1"/>
  <c r="M42" i="59" s="1"/>
  <c r="AK13" i="33"/>
  <c r="AK27" i="33" s="1"/>
  <c r="AK70" i="47" l="1" a="1"/>
  <c r="AK70" i="47" s="1"/>
  <c r="AK73" i="47" s="1"/>
  <c r="AK54" i="33"/>
  <c r="M34" i="59" s="1"/>
  <c r="M28" i="59"/>
  <c r="AK178" i="54"/>
  <c r="N45" i="44"/>
  <c r="AL72" i="33"/>
  <c r="L39" i="38"/>
  <c r="M35" i="38"/>
  <c r="AK80" i="33"/>
  <c r="AK89" i="33" s="1"/>
  <c r="AH19" i="54"/>
  <c r="AQ119" i="59" l="1" a="1"/>
  <c r="AQ119" i="59" s="1"/>
  <c r="AQ123" i="59" a="1"/>
  <c r="AQ123" i="59" s="1"/>
  <c r="AQ118" i="59" a="1"/>
  <c r="AQ118" i="59" s="1"/>
  <c r="AQ116" i="59" a="1"/>
  <c r="AQ116" i="59" s="1"/>
  <c r="AQ114" i="59" a="1"/>
  <c r="AQ114" i="59" s="1"/>
  <c r="AQ112" i="59" a="1"/>
  <c r="AQ112" i="59" s="1"/>
  <c r="AQ110" i="59" a="1"/>
  <c r="AQ110" i="59" s="1"/>
  <c r="AV110" i="59" s="1"/>
  <c r="AQ106" i="59" a="1"/>
  <c r="AQ106" i="59" s="1"/>
  <c r="AV106" i="59" s="1"/>
  <c r="AQ104" i="59" a="1"/>
  <c r="AQ104" i="59" s="1"/>
  <c r="AQ102" i="59" a="1"/>
  <c r="AQ102" i="59" s="1"/>
  <c r="AQ98" i="59" a="1"/>
  <c r="AQ98" i="59" s="1"/>
  <c r="AQ109" i="59" a="1"/>
  <c r="AQ109" i="59" s="1"/>
  <c r="AV109" i="59" s="1"/>
  <c r="AQ121" i="59" a="1"/>
  <c r="AQ121" i="59" s="1"/>
  <c r="AQ117" i="59" a="1"/>
  <c r="AQ117" i="59" s="1"/>
  <c r="AQ113" i="59" a="1"/>
  <c r="AQ113" i="59" s="1"/>
  <c r="AV113" i="59" s="1"/>
  <c r="AQ105" i="59" a="1"/>
  <c r="AQ105" i="59" s="1"/>
  <c r="AV105" i="59" s="1"/>
  <c r="AQ97" i="59" a="1"/>
  <c r="AQ97" i="59" s="1"/>
  <c r="AQ108" i="59" a="1"/>
  <c r="AQ108" i="59" s="1"/>
  <c r="AQ99" i="59" a="1"/>
  <c r="AQ99" i="59" s="1"/>
  <c r="AV99" i="59" s="1"/>
  <c r="AQ122" i="59" a="1"/>
  <c r="AQ122" i="59" s="1"/>
  <c r="AV122" i="59" s="1"/>
  <c r="AQ120" i="59" a="1"/>
  <c r="AQ120" i="59" s="1"/>
  <c r="AQ115" i="59" a="1"/>
  <c r="AQ115" i="59" s="1"/>
  <c r="AQ111" i="59" a="1"/>
  <c r="AQ111" i="59" s="1"/>
  <c r="AV111" i="59" s="1"/>
  <c r="AQ107" i="59" a="1"/>
  <c r="AQ107" i="59" s="1"/>
  <c r="AV107" i="59" s="1"/>
  <c r="AQ103" i="59" a="1"/>
  <c r="AQ103" i="59" s="1"/>
  <c r="AQ100" i="59" a="1"/>
  <c r="AQ100" i="59" s="1"/>
  <c r="AQ124" i="59" a="1"/>
  <c r="AQ124" i="59" s="1"/>
  <c r="AV124" i="59" s="1"/>
  <c r="AQ101" i="59" a="1"/>
  <c r="AQ101" i="59" s="1"/>
  <c r="AV101" i="59" s="1"/>
  <c r="AV102" i="59"/>
  <c r="AV119" i="59"/>
  <c r="AV98" i="59"/>
  <c r="AV97" i="59"/>
  <c r="AV120" i="59"/>
  <c r="M150" i="59" s="1"/>
  <c r="AV108" i="59"/>
  <c r="AV123" i="59"/>
  <c r="AV118" i="59"/>
  <c r="AV112" i="59"/>
  <c r="AV104" i="59"/>
  <c r="AV117" i="59"/>
  <c r="AV100" i="59"/>
  <c r="AV121" i="59"/>
  <c r="AV116" i="59"/>
  <c r="AV103" i="59"/>
  <c r="AV115" i="59"/>
  <c r="AV114" i="59"/>
  <c r="AL54" i="33"/>
  <c r="N37" i="44"/>
  <c r="O37" i="44"/>
  <c r="N34" i="59"/>
  <c r="AL89" i="33"/>
  <c r="AM89" i="33" s="1"/>
  <c r="O45" i="44"/>
  <c r="N42" i="59"/>
  <c r="N52" i="44"/>
  <c r="H22" i="54"/>
  <c r="AJ19" i="47" l="1"/>
  <c r="H25" i="39"/>
  <c r="P52" i="44"/>
  <c r="AJ25" i="54"/>
  <c r="O52" i="44"/>
  <c r="AI19" i="54"/>
  <c r="AJ19" i="54"/>
  <c r="AI116" i="54"/>
  <c r="AJ116" i="54"/>
  <c r="AH116" i="54"/>
  <c r="AH148" i="54" l="1"/>
  <c r="AI148" i="54" s="1"/>
  <c r="AJ148" i="54" s="1"/>
  <c r="AK148" i="54" s="1"/>
  <c r="AL148" i="54" l="1"/>
  <c r="AK38" i="51"/>
  <c r="AK73" i="51" s="1"/>
  <c r="AK76" i="51" s="1"/>
  <c r="AM105" i="51" s="1"/>
  <c r="J23" i="61" s="1"/>
  <c r="AH149" i="54"/>
  <c r="AH150" i="54" s="1"/>
  <c r="AH152" i="54" s="1"/>
  <c r="AE38" i="39"/>
  <c r="AF38" i="39"/>
  <c r="AG38" i="39"/>
  <c r="AH38" i="39"/>
  <c r="AD38" i="39"/>
  <c r="AM67" i="39" s="1"/>
  <c r="J50" i="21" s="1"/>
  <c r="AI149" i="54" l="1"/>
  <c r="AI150" i="54" s="1"/>
  <c r="AI152" i="54" s="1"/>
  <c r="H37" i="21"/>
  <c r="J63" i="61" l="1"/>
  <c r="AJ149" i="54"/>
  <c r="AJ150" i="54" s="1"/>
  <c r="AJ152" i="54" s="1"/>
  <c r="H34" i="21" l="1"/>
  <c r="AK149" i="54"/>
  <c r="AK150" i="54" s="1"/>
  <c r="AK152" i="54" s="1"/>
  <c r="AL149" i="54"/>
  <c r="AL150" i="54" s="1"/>
  <c r="AL152" i="54" s="1"/>
  <c r="N104" i="44" l="1"/>
  <c r="N105" i="44"/>
  <c r="N106" i="44"/>
  <c r="N107" i="44"/>
  <c r="N108" i="44"/>
  <c r="N109" i="44"/>
  <c r="N110" i="44"/>
  <c r="N111" i="44"/>
  <c r="N112" i="44"/>
  <c r="N113" i="44"/>
  <c r="N114" i="44"/>
  <c r="N115" i="44"/>
  <c r="N116" i="44"/>
  <c r="N117" i="44"/>
  <c r="N118" i="44"/>
  <c r="N119" i="44"/>
  <c r="N120" i="44"/>
  <c r="N121" i="44"/>
  <c r="N122" i="44"/>
  <c r="N123" i="44"/>
  <c r="N124" i="44"/>
  <c r="N125" i="44"/>
  <c r="N126" i="44"/>
  <c r="N127" i="44"/>
  <c r="N128" i="44"/>
  <c r="N129" i="44"/>
  <c r="N130" i="44"/>
  <c r="N131" i="44"/>
  <c r="N132" i="44"/>
  <c r="N133" i="44"/>
  <c r="N134" i="44"/>
  <c r="N135" i="44"/>
  <c r="N136" i="44"/>
  <c r="N137" i="44"/>
  <c r="N138" i="44"/>
  <c r="N139" i="44"/>
  <c r="N140" i="44"/>
  <c r="N141" i="44"/>
  <c r="N142" i="44"/>
  <c r="N143" i="44"/>
  <c r="N144" i="44"/>
  <c r="N145" i="44"/>
  <c r="N146" i="44"/>
  <c r="N147" i="44"/>
  <c r="N148" i="44"/>
  <c r="N149" i="44"/>
  <c r="N150" i="44"/>
  <c r="N151" i="44"/>
  <c r="N152" i="44"/>
  <c r="N153" i="44"/>
  <c r="N154" i="44"/>
  <c r="N155" i="44"/>
  <c r="N156" i="44"/>
  <c r="N157" i="44"/>
  <c r="N158" i="44"/>
  <c r="N159" i="44"/>
  <c r="N160" i="44"/>
  <c r="N161" i="44"/>
  <c r="N162" i="44"/>
  <c r="N163" i="44"/>
  <c r="N164" i="44"/>
  <c r="N165" i="44"/>
  <c r="N166" i="44"/>
  <c r="N167" i="44"/>
  <c r="N168" i="44"/>
  <c r="N169" i="44"/>
  <c r="N170" i="44"/>
  <c r="N171" i="44"/>
  <c r="N172" i="44"/>
  <c r="N173" i="44"/>
  <c r="N174" i="44"/>
  <c r="N175" i="44"/>
  <c r="N176" i="44"/>
  <c r="N177" i="44"/>
  <c r="N178" i="44"/>
  <c r="N179" i="44"/>
  <c r="N180" i="44"/>
  <c r="N181" i="44"/>
  <c r="N182" i="44"/>
  <c r="N183" i="44"/>
  <c r="N184" i="44"/>
  <c r="N185" i="44"/>
  <c r="N186" i="44"/>
  <c r="N187" i="44"/>
  <c r="N188" i="44"/>
  <c r="N189" i="44"/>
  <c r="N190" i="44"/>
  <c r="N191" i="44"/>
  <c r="N192" i="44"/>
  <c r="N193" i="44"/>
  <c r="N194" i="44"/>
  <c r="N195" i="44"/>
  <c r="N196" i="44"/>
  <c r="N197" i="44"/>
  <c r="N198" i="44"/>
  <c r="N199" i="44"/>
  <c r="N200" i="44"/>
  <c r="N201" i="44"/>
  <c r="N202" i="44"/>
  <c r="N203" i="44"/>
  <c r="N204" i="44"/>
  <c r="N205" i="44"/>
  <c r="N206" i="44"/>
  <c r="N207" i="44"/>
  <c r="N208" i="44"/>
  <c r="N209" i="44"/>
  <c r="N210" i="44"/>
  <c r="N211" i="44"/>
  <c r="N212" i="44"/>
  <c r="N213" i="44"/>
  <c r="N214" i="44"/>
  <c r="N215" i="44"/>
  <c r="N216" i="44"/>
  <c r="N217" i="44"/>
  <c r="N218" i="44"/>
  <c r="N219" i="44"/>
  <c r="N220" i="44"/>
  <c r="N221" i="44"/>
  <c r="N222" i="44"/>
  <c r="N223" i="44"/>
  <c r="N224" i="44"/>
  <c r="N225" i="44"/>
  <c r="N226" i="44"/>
  <c r="N227" i="44"/>
  <c r="N228" i="44"/>
  <c r="N229" i="44"/>
  <c r="N230" i="44"/>
  <c r="N231" i="44"/>
  <c r="N232" i="44"/>
  <c r="N233" i="44"/>
  <c r="N234" i="44"/>
  <c r="N235" i="44"/>
  <c r="B229" i="44"/>
  <c r="J229" i="44"/>
  <c r="K229" i="44"/>
  <c r="L229" i="44"/>
  <c r="M229" i="44"/>
  <c r="Q229" i="44"/>
  <c r="R229" i="44"/>
  <c r="S229" i="44"/>
  <c r="B230" i="44"/>
  <c r="J230" i="44"/>
  <c r="K230" i="44"/>
  <c r="L230" i="44"/>
  <c r="M230" i="44"/>
  <c r="Q230" i="44"/>
  <c r="R230" i="44"/>
  <c r="S230" i="44"/>
  <c r="B231" i="44"/>
  <c r="J231" i="44"/>
  <c r="K231" i="44"/>
  <c r="L231" i="44"/>
  <c r="M231" i="44"/>
  <c r="Q231" i="44"/>
  <c r="R231" i="44"/>
  <c r="S231" i="44"/>
  <c r="B232" i="44"/>
  <c r="J232" i="44"/>
  <c r="K232" i="44"/>
  <c r="L232" i="44"/>
  <c r="M232" i="44"/>
  <c r="Q232" i="44"/>
  <c r="R232" i="44"/>
  <c r="S232" i="44"/>
  <c r="B233" i="44"/>
  <c r="J233" i="44"/>
  <c r="K233" i="44"/>
  <c r="L233" i="44"/>
  <c r="M233" i="44"/>
  <c r="Q233" i="44"/>
  <c r="R233" i="44"/>
  <c r="S233" i="44"/>
  <c r="B234" i="44"/>
  <c r="J234" i="44"/>
  <c r="K234" i="44"/>
  <c r="L234" i="44"/>
  <c r="M234" i="44"/>
  <c r="Q234" i="44"/>
  <c r="R234" i="44"/>
  <c r="S234" i="44"/>
  <c r="B235" i="44"/>
  <c r="J235" i="44"/>
  <c r="K235" i="44"/>
  <c r="L235" i="44"/>
  <c r="M235" i="44"/>
  <c r="Q235" i="44"/>
  <c r="R235" i="44"/>
  <c r="S235" i="44"/>
  <c r="B104" i="44"/>
  <c r="J104" i="44"/>
  <c r="K104" i="44"/>
  <c r="L104" i="44"/>
  <c r="M104" i="44"/>
  <c r="Q104" i="44"/>
  <c r="R104" i="44"/>
  <c r="S104" i="44"/>
  <c r="B105" i="44"/>
  <c r="J105" i="44"/>
  <c r="K105" i="44"/>
  <c r="L105" i="44"/>
  <c r="M105" i="44"/>
  <c r="Q105" i="44"/>
  <c r="R105" i="44"/>
  <c r="S105" i="44"/>
  <c r="B106" i="44"/>
  <c r="J106" i="44"/>
  <c r="K106" i="44"/>
  <c r="L106" i="44"/>
  <c r="M106" i="44"/>
  <c r="Q106" i="44"/>
  <c r="R106" i="44"/>
  <c r="S106" i="44"/>
  <c r="B107" i="44"/>
  <c r="J107" i="44"/>
  <c r="K107" i="44"/>
  <c r="L107" i="44"/>
  <c r="M107" i="44"/>
  <c r="Q107" i="44"/>
  <c r="R107" i="44"/>
  <c r="S107" i="44"/>
  <c r="B108" i="44"/>
  <c r="J108" i="44"/>
  <c r="K108" i="44"/>
  <c r="L108" i="44"/>
  <c r="M108" i="44"/>
  <c r="Q108" i="44"/>
  <c r="R108" i="44"/>
  <c r="S108" i="44"/>
  <c r="B109" i="44"/>
  <c r="J109" i="44"/>
  <c r="K109" i="44"/>
  <c r="L109" i="44"/>
  <c r="M109" i="44"/>
  <c r="Q109" i="44"/>
  <c r="R109" i="44"/>
  <c r="S109" i="44"/>
  <c r="B110" i="44"/>
  <c r="J110" i="44"/>
  <c r="K110" i="44"/>
  <c r="L110" i="44"/>
  <c r="M110" i="44"/>
  <c r="Q110" i="44"/>
  <c r="R110" i="44"/>
  <c r="S110" i="44"/>
  <c r="B111" i="44"/>
  <c r="J111" i="44"/>
  <c r="K111" i="44"/>
  <c r="L111" i="44"/>
  <c r="M111" i="44"/>
  <c r="Q111" i="44"/>
  <c r="R111" i="44"/>
  <c r="S111" i="44"/>
  <c r="B112" i="44"/>
  <c r="J112" i="44"/>
  <c r="K112" i="44"/>
  <c r="L112" i="44"/>
  <c r="M112" i="44"/>
  <c r="Q112" i="44"/>
  <c r="R112" i="44"/>
  <c r="S112" i="44"/>
  <c r="B113" i="44"/>
  <c r="J113" i="44"/>
  <c r="K113" i="44"/>
  <c r="L113" i="44"/>
  <c r="M113" i="44"/>
  <c r="Q113" i="44"/>
  <c r="R113" i="44"/>
  <c r="S113" i="44"/>
  <c r="B114" i="44"/>
  <c r="J114" i="44"/>
  <c r="K114" i="44"/>
  <c r="L114" i="44"/>
  <c r="M114" i="44"/>
  <c r="Q114" i="44"/>
  <c r="R114" i="44"/>
  <c r="S114" i="44"/>
  <c r="B115" i="44"/>
  <c r="J115" i="44"/>
  <c r="K115" i="44"/>
  <c r="L115" i="44"/>
  <c r="M115" i="44"/>
  <c r="Q115" i="44"/>
  <c r="R115" i="44"/>
  <c r="S115" i="44"/>
  <c r="B116" i="44"/>
  <c r="J116" i="44"/>
  <c r="K116" i="44"/>
  <c r="L116" i="44"/>
  <c r="M116" i="44"/>
  <c r="Q116" i="44"/>
  <c r="R116" i="44"/>
  <c r="S116" i="44"/>
  <c r="B117" i="44"/>
  <c r="J117" i="44"/>
  <c r="K117" i="44"/>
  <c r="L117" i="44"/>
  <c r="M117" i="44"/>
  <c r="Q117" i="44"/>
  <c r="R117" i="44"/>
  <c r="S117" i="44"/>
  <c r="B118" i="44"/>
  <c r="J118" i="44"/>
  <c r="K118" i="44"/>
  <c r="L118" i="44"/>
  <c r="M118" i="44"/>
  <c r="Q118" i="44"/>
  <c r="R118" i="44"/>
  <c r="S118" i="44"/>
  <c r="B119" i="44"/>
  <c r="J119" i="44"/>
  <c r="K119" i="44"/>
  <c r="L119" i="44"/>
  <c r="M119" i="44"/>
  <c r="Q119" i="44"/>
  <c r="R119" i="44"/>
  <c r="S119" i="44"/>
  <c r="B120" i="44"/>
  <c r="J120" i="44"/>
  <c r="K120" i="44"/>
  <c r="L120" i="44"/>
  <c r="M120" i="44"/>
  <c r="Q120" i="44"/>
  <c r="R120" i="44"/>
  <c r="S120" i="44"/>
  <c r="B121" i="44"/>
  <c r="J121" i="44"/>
  <c r="K121" i="44"/>
  <c r="L121" i="44"/>
  <c r="M121" i="44"/>
  <c r="Q121" i="44"/>
  <c r="R121" i="44"/>
  <c r="S121" i="44"/>
  <c r="B122" i="44"/>
  <c r="J122" i="44"/>
  <c r="K122" i="44"/>
  <c r="L122" i="44"/>
  <c r="M122" i="44"/>
  <c r="Q122" i="44"/>
  <c r="R122" i="44"/>
  <c r="S122" i="44"/>
  <c r="B123" i="44"/>
  <c r="J123" i="44"/>
  <c r="K123" i="44"/>
  <c r="L123" i="44"/>
  <c r="M123" i="44"/>
  <c r="Q123" i="44"/>
  <c r="R123" i="44"/>
  <c r="S123" i="44"/>
  <c r="B124" i="44"/>
  <c r="J124" i="44"/>
  <c r="K124" i="44"/>
  <c r="L124" i="44"/>
  <c r="M124" i="44"/>
  <c r="Q124" i="44"/>
  <c r="R124" i="44"/>
  <c r="S124" i="44"/>
  <c r="B125" i="44"/>
  <c r="J125" i="44"/>
  <c r="K125" i="44"/>
  <c r="L125" i="44"/>
  <c r="M125" i="44"/>
  <c r="Q125" i="44"/>
  <c r="R125" i="44"/>
  <c r="S125" i="44"/>
  <c r="B126" i="44"/>
  <c r="J126" i="44"/>
  <c r="K126" i="44"/>
  <c r="L126" i="44"/>
  <c r="M126" i="44"/>
  <c r="Q126" i="44"/>
  <c r="R126" i="44"/>
  <c r="S126" i="44"/>
  <c r="B127" i="44"/>
  <c r="J127" i="44"/>
  <c r="K127" i="44"/>
  <c r="L127" i="44"/>
  <c r="M127" i="44"/>
  <c r="Q127" i="44"/>
  <c r="R127" i="44"/>
  <c r="S127" i="44"/>
  <c r="B128" i="44"/>
  <c r="J128" i="44"/>
  <c r="K128" i="44"/>
  <c r="L128" i="44"/>
  <c r="M128" i="44"/>
  <c r="Q128" i="44"/>
  <c r="R128" i="44"/>
  <c r="S128" i="44"/>
  <c r="B129" i="44"/>
  <c r="J129" i="44"/>
  <c r="K129" i="44"/>
  <c r="L129" i="44"/>
  <c r="M129" i="44"/>
  <c r="Q129" i="44"/>
  <c r="R129" i="44"/>
  <c r="S129" i="44"/>
  <c r="B130" i="44"/>
  <c r="J130" i="44"/>
  <c r="K130" i="44"/>
  <c r="L130" i="44"/>
  <c r="M130" i="44"/>
  <c r="Q130" i="44"/>
  <c r="R130" i="44"/>
  <c r="S130" i="44"/>
  <c r="B131" i="44"/>
  <c r="J131" i="44"/>
  <c r="K131" i="44"/>
  <c r="L131" i="44"/>
  <c r="M131" i="44"/>
  <c r="Q131" i="44"/>
  <c r="R131" i="44"/>
  <c r="S131" i="44"/>
  <c r="B132" i="44"/>
  <c r="J132" i="44"/>
  <c r="K132" i="44"/>
  <c r="L132" i="44"/>
  <c r="M132" i="44"/>
  <c r="Q132" i="44"/>
  <c r="R132" i="44"/>
  <c r="S132" i="44"/>
  <c r="B133" i="44"/>
  <c r="J133" i="44"/>
  <c r="K133" i="44"/>
  <c r="L133" i="44"/>
  <c r="M133" i="44"/>
  <c r="Q133" i="44"/>
  <c r="R133" i="44"/>
  <c r="S133" i="44"/>
  <c r="B134" i="44"/>
  <c r="J134" i="44"/>
  <c r="K134" i="44"/>
  <c r="L134" i="44"/>
  <c r="M134" i="44"/>
  <c r="Q134" i="44"/>
  <c r="R134" i="44"/>
  <c r="S134" i="44"/>
  <c r="B135" i="44"/>
  <c r="J135" i="44"/>
  <c r="K135" i="44"/>
  <c r="L135" i="44"/>
  <c r="M135" i="44"/>
  <c r="Q135" i="44"/>
  <c r="R135" i="44"/>
  <c r="S135" i="44"/>
  <c r="B136" i="44"/>
  <c r="J136" i="44"/>
  <c r="K136" i="44"/>
  <c r="L136" i="44"/>
  <c r="M136" i="44"/>
  <c r="Q136" i="44"/>
  <c r="R136" i="44"/>
  <c r="S136" i="44"/>
  <c r="B137" i="44"/>
  <c r="J137" i="44"/>
  <c r="K137" i="44"/>
  <c r="L137" i="44"/>
  <c r="M137" i="44"/>
  <c r="Q137" i="44"/>
  <c r="R137" i="44"/>
  <c r="S137" i="44"/>
  <c r="B138" i="44"/>
  <c r="J138" i="44"/>
  <c r="K138" i="44"/>
  <c r="L138" i="44"/>
  <c r="M138" i="44"/>
  <c r="Q138" i="44"/>
  <c r="R138" i="44"/>
  <c r="S138" i="44"/>
  <c r="B139" i="44"/>
  <c r="J139" i="44"/>
  <c r="K139" i="44"/>
  <c r="L139" i="44"/>
  <c r="M139" i="44"/>
  <c r="Q139" i="44"/>
  <c r="R139" i="44"/>
  <c r="S139" i="44"/>
  <c r="B140" i="44"/>
  <c r="J140" i="44"/>
  <c r="K140" i="44"/>
  <c r="L140" i="44"/>
  <c r="M140" i="44"/>
  <c r="Q140" i="44"/>
  <c r="R140" i="44"/>
  <c r="S140" i="44"/>
  <c r="B141" i="44"/>
  <c r="J141" i="44"/>
  <c r="K141" i="44"/>
  <c r="L141" i="44"/>
  <c r="M141" i="44"/>
  <c r="Q141" i="44"/>
  <c r="R141" i="44"/>
  <c r="S141" i="44"/>
  <c r="B142" i="44"/>
  <c r="J142" i="44"/>
  <c r="K142" i="44"/>
  <c r="L142" i="44"/>
  <c r="M142" i="44"/>
  <c r="Q142" i="44"/>
  <c r="R142" i="44"/>
  <c r="S142" i="44"/>
  <c r="B143" i="44"/>
  <c r="J143" i="44"/>
  <c r="K143" i="44"/>
  <c r="L143" i="44"/>
  <c r="M143" i="44"/>
  <c r="Q143" i="44"/>
  <c r="R143" i="44"/>
  <c r="S143" i="44"/>
  <c r="B144" i="44"/>
  <c r="J144" i="44"/>
  <c r="K144" i="44"/>
  <c r="L144" i="44"/>
  <c r="M144" i="44"/>
  <c r="Q144" i="44"/>
  <c r="R144" i="44"/>
  <c r="S144" i="44"/>
  <c r="B145" i="44"/>
  <c r="J145" i="44"/>
  <c r="K145" i="44"/>
  <c r="L145" i="44"/>
  <c r="M145" i="44"/>
  <c r="Q145" i="44"/>
  <c r="R145" i="44"/>
  <c r="S145" i="44"/>
  <c r="B146" i="44"/>
  <c r="J146" i="44"/>
  <c r="K146" i="44"/>
  <c r="L146" i="44"/>
  <c r="M146" i="44"/>
  <c r="Q146" i="44"/>
  <c r="R146" i="44"/>
  <c r="S146" i="44"/>
  <c r="B147" i="44"/>
  <c r="J147" i="44"/>
  <c r="K147" i="44"/>
  <c r="L147" i="44"/>
  <c r="M147" i="44"/>
  <c r="Q147" i="44"/>
  <c r="R147" i="44"/>
  <c r="S147" i="44"/>
  <c r="B148" i="44"/>
  <c r="J148" i="44"/>
  <c r="K148" i="44"/>
  <c r="L148" i="44"/>
  <c r="M148" i="44"/>
  <c r="Q148" i="44"/>
  <c r="R148" i="44"/>
  <c r="S148" i="44"/>
  <c r="B149" i="44"/>
  <c r="J149" i="44"/>
  <c r="K149" i="44"/>
  <c r="L149" i="44"/>
  <c r="M149" i="44"/>
  <c r="Q149" i="44"/>
  <c r="R149" i="44"/>
  <c r="S149" i="44"/>
  <c r="B150" i="44"/>
  <c r="J150" i="44"/>
  <c r="K150" i="44"/>
  <c r="L150" i="44"/>
  <c r="M150" i="44"/>
  <c r="Q150" i="44"/>
  <c r="R150" i="44"/>
  <c r="S150" i="44"/>
  <c r="B151" i="44"/>
  <c r="J151" i="44"/>
  <c r="K151" i="44"/>
  <c r="L151" i="44"/>
  <c r="M151" i="44"/>
  <c r="Q151" i="44"/>
  <c r="R151" i="44"/>
  <c r="S151" i="44"/>
  <c r="B152" i="44"/>
  <c r="J152" i="44"/>
  <c r="K152" i="44"/>
  <c r="L152" i="44"/>
  <c r="M152" i="44"/>
  <c r="Q152" i="44"/>
  <c r="R152" i="44"/>
  <c r="S152" i="44"/>
  <c r="B153" i="44"/>
  <c r="J153" i="44"/>
  <c r="K153" i="44"/>
  <c r="L153" i="44"/>
  <c r="M153" i="44"/>
  <c r="Q153" i="44"/>
  <c r="R153" i="44"/>
  <c r="S153" i="44"/>
  <c r="B154" i="44"/>
  <c r="J154" i="44"/>
  <c r="K154" i="44"/>
  <c r="L154" i="44"/>
  <c r="M154" i="44"/>
  <c r="Q154" i="44"/>
  <c r="R154" i="44"/>
  <c r="S154" i="44"/>
  <c r="B155" i="44"/>
  <c r="J155" i="44"/>
  <c r="K155" i="44"/>
  <c r="L155" i="44"/>
  <c r="M155" i="44"/>
  <c r="Q155" i="44"/>
  <c r="R155" i="44"/>
  <c r="S155" i="44"/>
  <c r="B156" i="44"/>
  <c r="J156" i="44"/>
  <c r="K156" i="44"/>
  <c r="L156" i="44"/>
  <c r="M156" i="44"/>
  <c r="Q156" i="44"/>
  <c r="R156" i="44"/>
  <c r="S156" i="44"/>
  <c r="B157" i="44"/>
  <c r="J157" i="44"/>
  <c r="K157" i="44"/>
  <c r="L157" i="44"/>
  <c r="M157" i="44"/>
  <c r="Q157" i="44"/>
  <c r="R157" i="44"/>
  <c r="S157" i="44"/>
  <c r="B158" i="44"/>
  <c r="J158" i="44"/>
  <c r="K158" i="44"/>
  <c r="L158" i="44"/>
  <c r="M158" i="44"/>
  <c r="Q158" i="44"/>
  <c r="R158" i="44"/>
  <c r="S158" i="44"/>
  <c r="B159" i="44"/>
  <c r="J159" i="44"/>
  <c r="K159" i="44"/>
  <c r="L159" i="44"/>
  <c r="M159" i="44"/>
  <c r="Q159" i="44"/>
  <c r="R159" i="44"/>
  <c r="S159" i="44"/>
  <c r="B160" i="44"/>
  <c r="J160" i="44"/>
  <c r="K160" i="44"/>
  <c r="L160" i="44"/>
  <c r="M160" i="44"/>
  <c r="Q160" i="44"/>
  <c r="R160" i="44"/>
  <c r="S160" i="44"/>
  <c r="B161" i="44"/>
  <c r="J161" i="44"/>
  <c r="K161" i="44"/>
  <c r="L161" i="44"/>
  <c r="M161" i="44"/>
  <c r="Q161" i="44"/>
  <c r="R161" i="44"/>
  <c r="S161" i="44"/>
  <c r="B162" i="44"/>
  <c r="J162" i="44"/>
  <c r="K162" i="44"/>
  <c r="L162" i="44"/>
  <c r="M162" i="44"/>
  <c r="Q162" i="44"/>
  <c r="R162" i="44"/>
  <c r="S162" i="44"/>
  <c r="B163" i="44"/>
  <c r="J163" i="44"/>
  <c r="K163" i="44"/>
  <c r="L163" i="44"/>
  <c r="M163" i="44"/>
  <c r="Q163" i="44"/>
  <c r="R163" i="44"/>
  <c r="S163" i="44"/>
  <c r="B164" i="44"/>
  <c r="J164" i="44"/>
  <c r="K164" i="44"/>
  <c r="L164" i="44"/>
  <c r="M164" i="44"/>
  <c r="Q164" i="44"/>
  <c r="R164" i="44"/>
  <c r="S164" i="44"/>
  <c r="B165" i="44"/>
  <c r="J165" i="44"/>
  <c r="K165" i="44"/>
  <c r="L165" i="44"/>
  <c r="M165" i="44"/>
  <c r="Q165" i="44"/>
  <c r="R165" i="44"/>
  <c r="S165" i="44"/>
  <c r="B166" i="44"/>
  <c r="J166" i="44"/>
  <c r="K166" i="44"/>
  <c r="L166" i="44"/>
  <c r="M166" i="44"/>
  <c r="Q166" i="44"/>
  <c r="R166" i="44"/>
  <c r="S166" i="44"/>
  <c r="B167" i="44"/>
  <c r="J167" i="44"/>
  <c r="K167" i="44"/>
  <c r="L167" i="44"/>
  <c r="M167" i="44"/>
  <c r="Q167" i="44"/>
  <c r="R167" i="44"/>
  <c r="S167" i="44"/>
  <c r="B168" i="44"/>
  <c r="J168" i="44"/>
  <c r="K168" i="44"/>
  <c r="L168" i="44"/>
  <c r="M168" i="44"/>
  <c r="Q168" i="44"/>
  <c r="R168" i="44"/>
  <c r="S168" i="44"/>
  <c r="B169" i="44"/>
  <c r="J169" i="44"/>
  <c r="K169" i="44"/>
  <c r="L169" i="44"/>
  <c r="M169" i="44"/>
  <c r="Q169" i="44"/>
  <c r="R169" i="44"/>
  <c r="S169" i="44"/>
  <c r="B170" i="44"/>
  <c r="J170" i="44"/>
  <c r="K170" i="44"/>
  <c r="L170" i="44"/>
  <c r="M170" i="44"/>
  <c r="Q170" i="44"/>
  <c r="R170" i="44"/>
  <c r="S170" i="44"/>
  <c r="B171" i="44"/>
  <c r="J171" i="44"/>
  <c r="K171" i="44"/>
  <c r="L171" i="44"/>
  <c r="M171" i="44"/>
  <c r="Q171" i="44"/>
  <c r="R171" i="44"/>
  <c r="S171" i="44"/>
  <c r="B172" i="44"/>
  <c r="J172" i="44"/>
  <c r="K172" i="44"/>
  <c r="L172" i="44"/>
  <c r="M172" i="44"/>
  <c r="Q172" i="44"/>
  <c r="R172" i="44"/>
  <c r="S172" i="44"/>
  <c r="B173" i="44"/>
  <c r="J173" i="44"/>
  <c r="K173" i="44"/>
  <c r="L173" i="44"/>
  <c r="M173" i="44"/>
  <c r="Q173" i="44"/>
  <c r="R173" i="44"/>
  <c r="S173" i="44"/>
  <c r="B174" i="44"/>
  <c r="J174" i="44"/>
  <c r="K174" i="44"/>
  <c r="L174" i="44"/>
  <c r="M174" i="44"/>
  <c r="Q174" i="44"/>
  <c r="R174" i="44"/>
  <c r="S174" i="44"/>
  <c r="B175" i="44"/>
  <c r="J175" i="44"/>
  <c r="K175" i="44"/>
  <c r="L175" i="44"/>
  <c r="M175" i="44"/>
  <c r="Q175" i="44"/>
  <c r="R175" i="44"/>
  <c r="S175" i="44"/>
  <c r="B176" i="44"/>
  <c r="J176" i="44"/>
  <c r="K176" i="44"/>
  <c r="L176" i="44"/>
  <c r="M176" i="44"/>
  <c r="Q176" i="44"/>
  <c r="R176" i="44"/>
  <c r="S176" i="44"/>
  <c r="B177" i="44"/>
  <c r="J177" i="44"/>
  <c r="K177" i="44"/>
  <c r="L177" i="44"/>
  <c r="M177" i="44"/>
  <c r="Q177" i="44"/>
  <c r="R177" i="44"/>
  <c r="S177" i="44"/>
  <c r="B178" i="44"/>
  <c r="J178" i="44"/>
  <c r="K178" i="44"/>
  <c r="L178" i="44"/>
  <c r="M178" i="44"/>
  <c r="Q178" i="44"/>
  <c r="R178" i="44"/>
  <c r="S178" i="44"/>
  <c r="B179" i="44"/>
  <c r="J179" i="44"/>
  <c r="K179" i="44"/>
  <c r="L179" i="44"/>
  <c r="M179" i="44"/>
  <c r="Q179" i="44"/>
  <c r="R179" i="44"/>
  <c r="S179" i="44"/>
  <c r="B180" i="44"/>
  <c r="J180" i="44"/>
  <c r="K180" i="44"/>
  <c r="L180" i="44"/>
  <c r="M180" i="44"/>
  <c r="Q180" i="44"/>
  <c r="R180" i="44"/>
  <c r="S180" i="44"/>
  <c r="B181" i="44"/>
  <c r="J181" i="44"/>
  <c r="K181" i="44"/>
  <c r="L181" i="44"/>
  <c r="M181" i="44"/>
  <c r="Q181" i="44"/>
  <c r="R181" i="44"/>
  <c r="S181" i="44"/>
  <c r="B182" i="44"/>
  <c r="J182" i="44"/>
  <c r="K182" i="44"/>
  <c r="L182" i="44"/>
  <c r="M182" i="44"/>
  <c r="Q182" i="44"/>
  <c r="R182" i="44"/>
  <c r="S182" i="44"/>
  <c r="B183" i="44"/>
  <c r="J183" i="44"/>
  <c r="K183" i="44"/>
  <c r="L183" i="44"/>
  <c r="M183" i="44"/>
  <c r="Q183" i="44"/>
  <c r="R183" i="44"/>
  <c r="S183" i="44"/>
  <c r="B184" i="44"/>
  <c r="J184" i="44"/>
  <c r="K184" i="44"/>
  <c r="L184" i="44"/>
  <c r="M184" i="44"/>
  <c r="Q184" i="44"/>
  <c r="R184" i="44"/>
  <c r="S184" i="44"/>
  <c r="B185" i="44"/>
  <c r="J185" i="44"/>
  <c r="K185" i="44"/>
  <c r="L185" i="44"/>
  <c r="M185" i="44"/>
  <c r="Q185" i="44"/>
  <c r="R185" i="44"/>
  <c r="S185" i="44"/>
  <c r="B186" i="44"/>
  <c r="J186" i="44"/>
  <c r="K186" i="44"/>
  <c r="L186" i="44"/>
  <c r="M186" i="44"/>
  <c r="Q186" i="44"/>
  <c r="R186" i="44"/>
  <c r="S186" i="44"/>
  <c r="B187" i="44"/>
  <c r="J187" i="44"/>
  <c r="K187" i="44"/>
  <c r="L187" i="44"/>
  <c r="M187" i="44"/>
  <c r="Q187" i="44"/>
  <c r="R187" i="44"/>
  <c r="S187" i="44"/>
  <c r="B188" i="44"/>
  <c r="J188" i="44"/>
  <c r="K188" i="44"/>
  <c r="L188" i="44"/>
  <c r="M188" i="44"/>
  <c r="Q188" i="44"/>
  <c r="R188" i="44"/>
  <c r="S188" i="44"/>
  <c r="B189" i="44"/>
  <c r="J189" i="44"/>
  <c r="K189" i="44"/>
  <c r="L189" i="44"/>
  <c r="M189" i="44"/>
  <c r="Q189" i="44"/>
  <c r="R189" i="44"/>
  <c r="S189" i="44"/>
  <c r="B190" i="44"/>
  <c r="J190" i="44"/>
  <c r="K190" i="44"/>
  <c r="L190" i="44"/>
  <c r="M190" i="44"/>
  <c r="Q190" i="44"/>
  <c r="R190" i="44"/>
  <c r="S190" i="44"/>
  <c r="B191" i="44"/>
  <c r="J191" i="44"/>
  <c r="K191" i="44"/>
  <c r="L191" i="44"/>
  <c r="M191" i="44"/>
  <c r="Q191" i="44"/>
  <c r="R191" i="44"/>
  <c r="S191" i="44"/>
  <c r="B192" i="44"/>
  <c r="J192" i="44"/>
  <c r="K192" i="44"/>
  <c r="L192" i="44"/>
  <c r="M192" i="44"/>
  <c r="Q192" i="44"/>
  <c r="R192" i="44"/>
  <c r="S192" i="44"/>
  <c r="B193" i="44"/>
  <c r="J193" i="44"/>
  <c r="K193" i="44"/>
  <c r="L193" i="44"/>
  <c r="M193" i="44"/>
  <c r="Q193" i="44"/>
  <c r="R193" i="44"/>
  <c r="S193" i="44"/>
  <c r="B194" i="44"/>
  <c r="J194" i="44"/>
  <c r="K194" i="44"/>
  <c r="L194" i="44"/>
  <c r="M194" i="44"/>
  <c r="Q194" i="44"/>
  <c r="R194" i="44"/>
  <c r="S194" i="44"/>
  <c r="B195" i="44"/>
  <c r="J195" i="44"/>
  <c r="K195" i="44"/>
  <c r="L195" i="44"/>
  <c r="M195" i="44"/>
  <c r="Q195" i="44"/>
  <c r="R195" i="44"/>
  <c r="S195" i="44"/>
  <c r="B196" i="44"/>
  <c r="J196" i="44"/>
  <c r="K196" i="44"/>
  <c r="L196" i="44"/>
  <c r="M196" i="44"/>
  <c r="Q196" i="44"/>
  <c r="R196" i="44"/>
  <c r="S196" i="44"/>
  <c r="B197" i="44"/>
  <c r="J197" i="44"/>
  <c r="K197" i="44"/>
  <c r="L197" i="44"/>
  <c r="M197" i="44"/>
  <c r="Q197" i="44"/>
  <c r="R197" i="44"/>
  <c r="S197" i="44"/>
  <c r="B198" i="44"/>
  <c r="J198" i="44"/>
  <c r="K198" i="44"/>
  <c r="L198" i="44"/>
  <c r="M198" i="44"/>
  <c r="Q198" i="44"/>
  <c r="R198" i="44"/>
  <c r="S198" i="44"/>
  <c r="B199" i="44"/>
  <c r="J199" i="44"/>
  <c r="K199" i="44"/>
  <c r="L199" i="44"/>
  <c r="M199" i="44"/>
  <c r="Q199" i="44"/>
  <c r="R199" i="44"/>
  <c r="S199" i="44"/>
  <c r="B200" i="44"/>
  <c r="J200" i="44"/>
  <c r="K200" i="44"/>
  <c r="L200" i="44"/>
  <c r="M200" i="44"/>
  <c r="Q200" i="44"/>
  <c r="R200" i="44"/>
  <c r="S200" i="44"/>
  <c r="B201" i="44"/>
  <c r="J201" i="44"/>
  <c r="K201" i="44"/>
  <c r="L201" i="44"/>
  <c r="M201" i="44"/>
  <c r="Q201" i="44"/>
  <c r="R201" i="44"/>
  <c r="S201" i="44"/>
  <c r="B202" i="44"/>
  <c r="J202" i="44"/>
  <c r="K202" i="44"/>
  <c r="L202" i="44"/>
  <c r="M202" i="44"/>
  <c r="Q202" i="44"/>
  <c r="R202" i="44"/>
  <c r="S202" i="44"/>
  <c r="B203" i="44"/>
  <c r="J203" i="44"/>
  <c r="K203" i="44"/>
  <c r="L203" i="44"/>
  <c r="M203" i="44"/>
  <c r="Q203" i="44"/>
  <c r="R203" i="44"/>
  <c r="S203" i="44"/>
  <c r="B204" i="44"/>
  <c r="J204" i="44"/>
  <c r="K204" i="44"/>
  <c r="L204" i="44"/>
  <c r="M204" i="44"/>
  <c r="Q204" i="44"/>
  <c r="R204" i="44"/>
  <c r="S204" i="44"/>
  <c r="B205" i="44"/>
  <c r="J205" i="44"/>
  <c r="K205" i="44"/>
  <c r="L205" i="44"/>
  <c r="M205" i="44"/>
  <c r="Q205" i="44"/>
  <c r="R205" i="44"/>
  <c r="S205" i="44"/>
  <c r="B206" i="44"/>
  <c r="J206" i="44"/>
  <c r="K206" i="44"/>
  <c r="L206" i="44"/>
  <c r="M206" i="44"/>
  <c r="Q206" i="44"/>
  <c r="R206" i="44"/>
  <c r="S206" i="44"/>
  <c r="B207" i="44"/>
  <c r="J207" i="44"/>
  <c r="K207" i="44"/>
  <c r="L207" i="44"/>
  <c r="M207" i="44"/>
  <c r="Q207" i="44"/>
  <c r="R207" i="44"/>
  <c r="S207" i="44"/>
  <c r="B208" i="44"/>
  <c r="J208" i="44"/>
  <c r="K208" i="44"/>
  <c r="L208" i="44"/>
  <c r="M208" i="44"/>
  <c r="Q208" i="44"/>
  <c r="R208" i="44"/>
  <c r="S208" i="44"/>
  <c r="B209" i="44"/>
  <c r="J209" i="44"/>
  <c r="K209" i="44"/>
  <c r="L209" i="44"/>
  <c r="M209" i="44"/>
  <c r="Q209" i="44"/>
  <c r="R209" i="44"/>
  <c r="S209" i="44"/>
  <c r="B210" i="44"/>
  <c r="J210" i="44"/>
  <c r="K210" i="44"/>
  <c r="L210" i="44"/>
  <c r="M210" i="44"/>
  <c r="Q210" i="44"/>
  <c r="R210" i="44"/>
  <c r="S210" i="44"/>
  <c r="B211" i="44"/>
  <c r="J211" i="44"/>
  <c r="K211" i="44"/>
  <c r="L211" i="44"/>
  <c r="M211" i="44"/>
  <c r="Q211" i="44"/>
  <c r="R211" i="44"/>
  <c r="S211" i="44"/>
  <c r="B212" i="44"/>
  <c r="J212" i="44"/>
  <c r="K212" i="44"/>
  <c r="L212" i="44"/>
  <c r="M212" i="44"/>
  <c r="Q212" i="44"/>
  <c r="R212" i="44"/>
  <c r="S212" i="44"/>
  <c r="B213" i="44"/>
  <c r="J213" i="44"/>
  <c r="K213" i="44"/>
  <c r="L213" i="44"/>
  <c r="M213" i="44"/>
  <c r="Q213" i="44"/>
  <c r="R213" i="44"/>
  <c r="S213" i="44"/>
  <c r="B214" i="44"/>
  <c r="J214" i="44"/>
  <c r="K214" i="44"/>
  <c r="L214" i="44"/>
  <c r="M214" i="44"/>
  <c r="Q214" i="44"/>
  <c r="R214" i="44"/>
  <c r="S214" i="44"/>
  <c r="B215" i="44"/>
  <c r="J215" i="44"/>
  <c r="K215" i="44"/>
  <c r="L215" i="44"/>
  <c r="M215" i="44"/>
  <c r="Q215" i="44"/>
  <c r="R215" i="44"/>
  <c r="S215" i="44"/>
  <c r="B216" i="44"/>
  <c r="J216" i="44"/>
  <c r="K216" i="44"/>
  <c r="L216" i="44"/>
  <c r="M216" i="44"/>
  <c r="Q216" i="44"/>
  <c r="R216" i="44"/>
  <c r="S216" i="44"/>
  <c r="B217" i="44"/>
  <c r="J217" i="44"/>
  <c r="K217" i="44"/>
  <c r="L217" i="44"/>
  <c r="M217" i="44"/>
  <c r="Q217" i="44"/>
  <c r="R217" i="44"/>
  <c r="S217" i="44"/>
  <c r="B218" i="44"/>
  <c r="J218" i="44"/>
  <c r="K218" i="44"/>
  <c r="L218" i="44"/>
  <c r="M218" i="44"/>
  <c r="Q218" i="44"/>
  <c r="R218" i="44"/>
  <c r="S218" i="44"/>
  <c r="B219" i="44"/>
  <c r="J219" i="44"/>
  <c r="K219" i="44"/>
  <c r="L219" i="44"/>
  <c r="M219" i="44"/>
  <c r="Q219" i="44"/>
  <c r="R219" i="44"/>
  <c r="S219" i="44"/>
  <c r="B220" i="44"/>
  <c r="J220" i="44"/>
  <c r="K220" i="44"/>
  <c r="L220" i="44"/>
  <c r="M220" i="44"/>
  <c r="Q220" i="44"/>
  <c r="R220" i="44"/>
  <c r="S220" i="44"/>
  <c r="B221" i="44"/>
  <c r="J221" i="44"/>
  <c r="K221" i="44"/>
  <c r="L221" i="44"/>
  <c r="M221" i="44"/>
  <c r="Q221" i="44"/>
  <c r="R221" i="44"/>
  <c r="S221" i="44"/>
  <c r="B222" i="44"/>
  <c r="J222" i="44"/>
  <c r="K222" i="44"/>
  <c r="L222" i="44"/>
  <c r="M222" i="44"/>
  <c r="Q222" i="44"/>
  <c r="R222" i="44"/>
  <c r="S222" i="44"/>
  <c r="B223" i="44"/>
  <c r="J223" i="44"/>
  <c r="K223" i="44"/>
  <c r="L223" i="44"/>
  <c r="M223" i="44"/>
  <c r="Q223" i="44"/>
  <c r="R223" i="44"/>
  <c r="S223" i="44"/>
  <c r="B224" i="44"/>
  <c r="J224" i="44"/>
  <c r="K224" i="44"/>
  <c r="L224" i="44"/>
  <c r="M224" i="44"/>
  <c r="Q224" i="44"/>
  <c r="R224" i="44"/>
  <c r="S224" i="44"/>
  <c r="B225" i="44"/>
  <c r="J225" i="44"/>
  <c r="K225" i="44"/>
  <c r="L225" i="44"/>
  <c r="M225" i="44"/>
  <c r="Q225" i="44"/>
  <c r="R225" i="44"/>
  <c r="S225" i="44"/>
  <c r="B226" i="44"/>
  <c r="J226" i="44"/>
  <c r="K226" i="44"/>
  <c r="L226" i="44"/>
  <c r="M226" i="44"/>
  <c r="Q226" i="44"/>
  <c r="R226" i="44"/>
  <c r="S226" i="44"/>
  <c r="B227" i="44"/>
  <c r="J227" i="44"/>
  <c r="K227" i="44"/>
  <c r="L227" i="44"/>
  <c r="M227" i="44"/>
  <c r="Q227" i="44"/>
  <c r="R227" i="44"/>
  <c r="S227" i="44"/>
  <c r="B228" i="44"/>
  <c r="J228" i="44"/>
  <c r="K228" i="44"/>
  <c r="L228" i="44"/>
  <c r="M228" i="44"/>
  <c r="Q228" i="44"/>
  <c r="R228" i="44"/>
  <c r="S228" i="44"/>
  <c r="AJ44" i="47" l="1"/>
  <c r="AH44" i="47"/>
  <c r="AI28" i="47"/>
  <c r="AJ28" i="47"/>
  <c r="AH28" i="47"/>
  <c r="AI68" i="47" l="1"/>
  <c r="AJ68" i="47"/>
  <c r="AH68" i="47"/>
  <c r="AH42" i="47" l="1"/>
  <c r="AI42" i="47"/>
  <c r="AJ16" i="54" l="1"/>
  <c r="AJ142" i="54" s="1"/>
  <c r="AI16" i="54"/>
  <c r="AI142" i="54" s="1"/>
  <c r="AH16" i="54"/>
  <c r="AH142" i="54" s="1"/>
  <c r="AH178" i="54" l="1"/>
  <c r="AI178" i="54"/>
  <c r="AJ178" i="54"/>
  <c r="AH38" i="47" l="1"/>
  <c r="AH16" i="47"/>
  <c r="AJ16" i="47" l="1"/>
  <c r="AI38" i="47"/>
  <c r="AJ38" i="47"/>
  <c r="AH39" i="47"/>
  <c r="AI39" i="47"/>
  <c r="AJ39" i="47"/>
  <c r="AH41" i="47"/>
  <c r="AI41" i="47"/>
  <c r="AJ41" i="47"/>
  <c r="AJ42" i="47"/>
  <c r="AH43" i="47"/>
  <c r="AI43" i="47"/>
  <c r="AJ43" i="47"/>
  <c r="AH47" i="47"/>
  <c r="AI47" i="47"/>
  <c r="AJ47" i="47"/>
  <c r="AH48" i="47"/>
  <c r="AI48" i="47"/>
  <c r="AJ48" i="47"/>
  <c r="AH50" i="47"/>
  <c r="AI50" i="47"/>
  <c r="AJ50" i="47"/>
  <c r="AH51" i="47"/>
  <c r="AI51" i="47"/>
  <c r="AJ51" i="47"/>
  <c r="AJ31" i="47" l="1"/>
  <c r="AJ32" i="47"/>
  <c r="AJ34" i="47"/>
  <c r="AJ35" i="47"/>
  <c r="AJ25" i="47"/>
  <c r="AJ65" i="47" s="1"/>
  <c r="AJ26" i="47"/>
  <c r="AJ66" i="47" s="1"/>
  <c r="AJ27" i="47"/>
  <c r="AJ67" i="47" s="1"/>
  <c r="AJ22" i="47"/>
  <c r="AJ62" i="47" s="1"/>
  <c r="AJ23" i="47"/>
  <c r="AJ63" i="47" s="1"/>
  <c r="AJ70" i="47" l="1" a="1"/>
  <c r="AJ70" i="47" s="1"/>
  <c r="AJ73" i="47" s="1"/>
  <c r="AJ85" i="47"/>
  <c r="AJ81" i="47"/>
  <c r="AJ84" i="47"/>
  <c r="AJ82" i="47"/>
  <c r="AJ87" i="47" l="1" a="1"/>
  <c r="AJ87" i="47" s="1"/>
  <c r="AJ90" i="47" s="1"/>
  <c r="M61" i="44" l="1"/>
  <c r="M52" i="44"/>
  <c r="M45" i="44"/>
  <c r="M37" i="44"/>
  <c r="H65" i="44"/>
  <c r="U484" i="44" s="1"/>
  <c r="V484" i="44" s="1"/>
  <c r="H66" i="44"/>
  <c r="H67" i="44"/>
  <c r="H68" i="44"/>
  <c r="H69" i="44"/>
  <c r="U374" i="44" s="1"/>
  <c r="V374" i="44" s="1"/>
  <c r="H70" i="44"/>
  <c r="H71" i="44"/>
  <c r="H72" i="44"/>
  <c r="H73" i="44"/>
  <c r="H74" i="44"/>
  <c r="H75" i="44"/>
  <c r="H76" i="44"/>
  <c r="H77" i="44"/>
  <c r="H78" i="44"/>
  <c r="H79" i="44"/>
  <c r="H80" i="44"/>
  <c r="H81" i="44"/>
  <c r="H82" i="44"/>
  <c r="H83" i="44"/>
  <c r="H84" i="44"/>
  <c r="H85" i="44"/>
  <c r="H86" i="44"/>
  <c r="H87" i="44"/>
  <c r="H88" i="44"/>
  <c r="U323" i="44" s="1"/>
  <c r="V323" i="44" s="1"/>
  <c r="H89" i="44"/>
  <c r="H90" i="44"/>
  <c r="H91" i="44"/>
  <c r="H92" i="44"/>
  <c r="H93" i="44"/>
  <c r="U474" i="44" s="1"/>
  <c r="V474" i="44" s="1"/>
  <c r="H94" i="44"/>
  <c r="U514" i="44" s="1"/>
  <c r="V514" i="44" s="1"/>
  <c r="H95" i="44"/>
  <c r="H96" i="44"/>
  <c r="H97" i="44"/>
  <c r="H64" i="44"/>
  <c r="U511" i="44" l="1"/>
  <c r="V511" i="44" s="1"/>
  <c r="U510" i="44"/>
  <c r="V510" i="44" s="1"/>
  <c r="U473" i="44"/>
  <c r="V473" i="44" s="1"/>
  <c r="U480" i="44"/>
  <c r="V480" i="44" s="1"/>
  <c r="U482" i="44"/>
  <c r="V482" i="44" s="1"/>
  <c r="U479" i="44"/>
  <c r="V479" i="44" s="1"/>
  <c r="U481" i="44"/>
  <c r="V481" i="44" s="1"/>
  <c r="U466" i="44"/>
  <c r="V466" i="44" s="1"/>
  <c r="U489" i="44"/>
  <c r="V489" i="44" s="1"/>
  <c r="U490" i="44"/>
  <c r="V490" i="44" s="1"/>
  <c r="U467" i="44"/>
  <c r="V467" i="44" s="1"/>
  <c r="U497" i="44"/>
  <c r="V497" i="44" s="1"/>
  <c r="U491" i="44"/>
  <c r="V491" i="44" s="1"/>
  <c r="U461" i="44"/>
  <c r="V461" i="44" s="1"/>
  <c r="U463" i="44"/>
  <c r="V463" i="44" s="1"/>
  <c r="U458" i="44"/>
  <c r="V458" i="44" s="1"/>
  <c r="U459" i="44"/>
  <c r="V459" i="44" s="1"/>
  <c r="U457" i="44"/>
  <c r="V457" i="44" s="1"/>
  <c r="U460" i="44"/>
  <c r="V460" i="44" s="1"/>
  <c r="U462" i="44"/>
  <c r="V462" i="44" s="1"/>
  <c r="U456" i="44"/>
  <c r="V456" i="44" s="1"/>
  <c r="U509" i="44"/>
  <c r="V509" i="44" s="1"/>
  <c r="U508" i="44"/>
  <c r="V508" i="44" s="1"/>
  <c r="U494" i="44"/>
  <c r="V494" i="44" s="1"/>
  <c r="U505" i="44"/>
  <c r="V505" i="44" s="1"/>
  <c r="U507" i="44"/>
  <c r="V507" i="44" s="1"/>
  <c r="U495" i="44"/>
  <c r="V495" i="44" s="1"/>
  <c r="U506" i="44"/>
  <c r="V506" i="44" s="1"/>
  <c r="U469" i="44"/>
  <c r="V469" i="44" s="1"/>
  <c r="U468" i="44"/>
  <c r="V468" i="44" s="1"/>
  <c r="U498" i="44"/>
  <c r="V498" i="44" s="1"/>
  <c r="U475" i="44"/>
  <c r="V475" i="44" s="1"/>
  <c r="U476" i="44"/>
  <c r="V476" i="44" s="1"/>
  <c r="U499" i="44"/>
  <c r="V499" i="44" s="1"/>
  <c r="U470" i="44"/>
  <c r="V470" i="44" s="1"/>
  <c r="U477" i="44"/>
  <c r="V477" i="44" s="1"/>
  <c r="U438" i="44"/>
  <c r="V438" i="44" s="1"/>
  <c r="U443" i="44"/>
  <c r="V443" i="44" s="1"/>
  <c r="U447" i="44"/>
  <c r="V447" i="44" s="1"/>
  <c r="U442" i="44"/>
  <c r="V442" i="44" s="1"/>
  <c r="U444" i="44"/>
  <c r="V444" i="44" s="1"/>
  <c r="U440" i="44"/>
  <c r="V440" i="44" s="1"/>
  <c r="U439" i="44"/>
  <c r="V439" i="44" s="1"/>
  <c r="U485" i="44"/>
  <c r="V485" i="44" s="1"/>
  <c r="U486" i="44"/>
  <c r="V486" i="44" s="1"/>
  <c r="U448" i="44"/>
  <c r="V448" i="44" s="1"/>
  <c r="U437" i="44"/>
  <c r="V437" i="44" s="1"/>
  <c r="U445" i="44"/>
  <c r="V445" i="44" s="1"/>
  <c r="U449" i="44"/>
  <c r="V449" i="44" s="1"/>
  <c r="U441" i="44"/>
  <c r="V441" i="44" s="1"/>
  <c r="U446" i="44"/>
  <c r="V446" i="44" s="1"/>
  <c r="U513" i="44"/>
  <c r="V513" i="44" s="1"/>
  <c r="U472" i="44"/>
  <c r="V472" i="44" s="1"/>
  <c r="U504" i="44"/>
  <c r="V504" i="44" s="1"/>
  <c r="U492" i="44"/>
  <c r="V492" i="44" s="1"/>
  <c r="U464" i="44"/>
  <c r="V464" i="44" s="1"/>
  <c r="U471" i="44"/>
  <c r="V471" i="44" s="1"/>
  <c r="U501" i="44"/>
  <c r="V501" i="44" s="1"/>
  <c r="U502" i="44"/>
  <c r="V502" i="44" s="1"/>
  <c r="U465" i="44"/>
  <c r="V465" i="44" s="1"/>
  <c r="U493" i="44"/>
  <c r="V493" i="44" s="1"/>
  <c r="U503" i="44"/>
  <c r="V503" i="44" s="1"/>
  <c r="U500" i="44"/>
  <c r="V500" i="44" s="1"/>
  <c r="U436" i="44"/>
  <c r="V436" i="44" s="1"/>
  <c r="U496" i="44"/>
  <c r="V496" i="44" s="1"/>
  <c r="U512" i="44"/>
  <c r="V512" i="44" s="1"/>
  <c r="U483" i="44"/>
  <c r="V483" i="44" s="1"/>
  <c r="U488" i="44"/>
  <c r="V488" i="44" s="1"/>
  <c r="U454" i="44"/>
  <c r="V454" i="44" s="1"/>
  <c r="U487" i="44"/>
  <c r="V487" i="44" s="1"/>
  <c r="U455" i="44"/>
  <c r="V455" i="44" s="1"/>
  <c r="U450" i="44"/>
  <c r="V450" i="44" s="1"/>
  <c r="U452" i="44"/>
  <c r="V452" i="44" s="1"/>
  <c r="U451" i="44"/>
  <c r="V451" i="44" s="1"/>
  <c r="U478" i="44"/>
  <c r="V478" i="44" s="1"/>
  <c r="U453" i="44"/>
  <c r="V453" i="44" s="1"/>
  <c r="U432" i="44"/>
  <c r="V432" i="44" s="1"/>
  <c r="U434" i="44"/>
  <c r="V434" i="44" s="1"/>
  <c r="U433" i="44"/>
  <c r="V433" i="44" s="1"/>
  <c r="U435" i="44"/>
  <c r="V435" i="44" s="1"/>
  <c r="U377" i="44"/>
  <c r="V377" i="44" s="1"/>
  <c r="U376" i="44"/>
  <c r="V376" i="44" s="1"/>
  <c r="U375" i="44"/>
  <c r="V375" i="44" s="1"/>
  <c r="U334" i="44"/>
  <c r="V334" i="44" s="1"/>
  <c r="U385" i="44"/>
  <c r="V385" i="44" s="1"/>
  <c r="U389" i="44"/>
  <c r="V389" i="44" s="1"/>
  <c r="U409" i="44"/>
  <c r="V409" i="44" s="1"/>
  <c r="U388" i="44"/>
  <c r="V388" i="44" s="1"/>
  <c r="U394" i="44"/>
  <c r="V394" i="44" s="1"/>
  <c r="U386" i="44"/>
  <c r="V386" i="44" s="1"/>
  <c r="U393" i="44"/>
  <c r="V393" i="44" s="1"/>
  <c r="U387" i="44"/>
  <c r="V387" i="44" s="1"/>
  <c r="U401" i="44"/>
  <c r="V401" i="44" s="1"/>
  <c r="U395" i="44"/>
  <c r="V395" i="44" s="1"/>
  <c r="U402" i="44"/>
  <c r="V402" i="44" s="1"/>
  <c r="U410" i="44"/>
  <c r="V410" i="44" s="1"/>
  <c r="U411" i="44"/>
  <c r="V411" i="44" s="1"/>
  <c r="U398" i="44"/>
  <c r="V398" i="44" s="1"/>
  <c r="U399" i="44"/>
  <c r="V399" i="44" s="1"/>
  <c r="U428" i="44"/>
  <c r="V428" i="44" s="1"/>
  <c r="U431" i="44"/>
  <c r="V431" i="44" s="1"/>
  <c r="U424" i="44"/>
  <c r="V424" i="44" s="1"/>
  <c r="U429" i="44"/>
  <c r="V429" i="44" s="1"/>
  <c r="U392" i="44"/>
  <c r="V392" i="44" s="1"/>
  <c r="U391" i="44"/>
  <c r="V391" i="44" s="1"/>
  <c r="U427" i="44"/>
  <c r="V427" i="44" s="1"/>
  <c r="U341" i="44"/>
  <c r="V341" i="44" s="1"/>
  <c r="U425" i="44"/>
  <c r="V425" i="44" s="1"/>
  <c r="U396" i="44"/>
  <c r="V396" i="44" s="1"/>
  <c r="U397" i="44"/>
  <c r="V397" i="44" s="1"/>
  <c r="U430" i="44"/>
  <c r="V430" i="44" s="1"/>
  <c r="U400" i="44"/>
  <c r="V400" i="44" s="1"/>
  <c r="U426" i="44"/>
  <c r="V426" i="44" s="1"/>
  <c r="U413" i="44"/>
  <c r="V413" i="44" s="1"/>
  <c r="U403" i="44"/>
  <c r="V403" i="44" s="1"/>
  <c r="U415" i="44"/>
  <c r="V415" i="44" s="1"/>
  <c r="U414" i="44"/>
  <c r="V414" i="44" s="1"/>
  <c r="U417" i="44"/>
  <c r="V417" i="44" s="1"/>
  <c r="U412" i="44"/>
  <c r="V412" i="44" s="1"/>
  <c r="U416" i="44"/>
  <c r="V416" i="44" s="1"/>
  <c r="U360" i="44"/>
  <c r="V360" i="44" s="1"/>
  <c r="U356" i="44"/>
  <c r="V356" i="44" s="1"/>
  <c r="U364" i="44"/>
  <c r="V364" i="44" s="1"/>
  <c r="U361" i="44"/>
  <c r="V361" i="44" s="1"/>
  <c r="U363" i="44"/>
  <c r="V363" i="44" s="1"/>
  <c r="U365" i="44"/>
  <c r="V365" i="44" s="1"/>
  <c r="U359" i="44"/>
  <c r="V359" i="44" s="1"/>
  <c r="U355" i="44"/>
  <c r="V355" i="44" s="1"/>
  <c r="U383" i="44"/>
  <c r="V383" i="44" s="1"/>
  <c r="U362" i="44"/>
  <c r="V362" i="44" s="1"/>
  <c r="U357" i="44"/>
  <c r="V357" i="44" s="1"/>
  <c r="U358" i="44"/>
  <c r="V358" i="44" s="1"/>
  <c r="U382" i="44"/>
  <c r="V382" i="44" s="1"/>
  <c r="U344" i="44"/>
  <c r="V344" i="44" s="1"/>
  <c r="U352" i="44"/>
  <c r="V352" i="44" s="1"/>
  <c r="U379" i="44"/>
  <c r="V379" i="44" s="1"/>
  <c r="U348" i="44"/>
  <c r="V348" i="44" s="1"/>
  <c r="U351" i="44"/>
  <c r="V351" i="44" s="1"/>
  <c r="U349" i="44"/>
  <c r="V349" i="44" s="1"/>
  <c r="U380" i="44"/>
  <c r="V380" i="44" s="1"/>
  <c r="U354" i="44"/>
  <c r="V354" i="44" s="1"/>
  <c r="U346" i="44"/>
  <c r="V346" i="44" s="1"/>
  <c r="U378" i="44"/>
  <c r="V378" i="44" s="1"/>
  <c r="U381" i="44"/>
  <c r="V381" i="44" s="1"/>
  <c r="U353" i="44"/>
  <c r="V353" i="44" s="1"/>
  <c r="U343" i="44"/>
  <c r="V343" i="44" s="1"/>
  <c r="U342" i="44"/>
  <c r="V342" i="44" s="1"/>
  <c r="U345" i="44"/>
  <c r="V345" i="44" s="1"/>
  <c r="U347" i="44"/>
  <c r="V347" i="44" s="1"/>
  <c r="U350" i="44"/>
  <c r="V350" i="44" s="1"/>
  <c r="U419" i="44"/>
  <c r="V419" i="44" s="1"/>
  <c r="U421" i="44"/>
  <c r="V421" i="44" s="1"/>
  <c r="U405" i="44"/>
  <c r="V405" i="44" s="1"/>
  <c r="U390" i="44"/>
  <c r="V390" i="44" s="1"/>
  <c r="U422" i="44"/>
  <c r="V422" i="44" s="1"/>
  <c r="U420" i="44"/>
  <c r="V420" i="44" s="1"/>
  <c r="U418" i="44"/>
  <c r="V418" i="44" s="1"/>
  <c r="U423" i="44"/>
  <c r="V423" i="44" s="1"/>
  <c r="U404" i="44"/>
  <c r="V404" i="44" s="1"/>
  <c r="U408" i="44"/>
  <c r="V408" i="44" s="1"/>
  <c r="U406" i="44"/>
  <c r="V406" i="44" s="1"/>
  <c r="U407" i="44"/>
  <c r="V407" i="44" s="1"/>
  <c r="U373" i="44"/>
  <c r="V373" i="44" s="1"/>
  <c r="U370" i="44"/>
  <c r="V370" i="44" s="1"/>
  <c r="U366" i="44"/>
  <c r="V366" i="44" s="1"/>
  <c r="U367" i="44"/>
  <c r="V367" i="44" s="1"/>
  <c r="U372" i="44"/>
  <c r="V372" i="44" s="1"/>
  <c r="U368" i="44"/>
  <c r="V368" i="44" s="1"/>
  <c r="U369" i="44"/>
  <c r="V369" i="44" s="1"/>
  <c r="U371" i="44"/>
  <c r="V371" i="44" s="1"/>
  <c r="U384" i="44"/>
  <c r="V384" i="44" s="1"/>
  <c r="U337" i="44"/>
  <c r="V337" i="44" s="1"/>
  <c r="U268" i="44"/>
  <c r="V268" i="44" s="1"/>
  <c r="U190" i="44"/>
  <c r="V190" i="44" s="1"/>
  <c r="U324" i="44"/>
  <c r="V324" i="44" s="1"/>
  <c r="U336" i="44"/>
  <c r="V336" i="44" s="1"/>
  <c r="U335" i="44"/>
  <c r="V335" i="44" s="1"/>
  <c r="U339" i="44"/>
  <c r="V339" i="44" s="1"/>
  <c r="U316" i="44"/>
  <c r="V316" i="44" s="1"/>
  <c r="U314" i="44"/>
  <c r="V314" i="44" s="1"/>
  <c r="U317" i="44"/>
  <c r="V317" i="44" s="1"/>
  <c r="U315" i="44"/>
  <c r="V315" i="44" s="1"/>
  <c r="U322" i="44"/>
  <c r="V322" i="44" s="1"/>
  <c r="U321" i="44"/>
  <c r="V321" i="44" s="1"/>
  <c r="U311" i="44"/>
  <c r="V311" i="44" s="1"/>
  <c r="U312" i="44"/>
  <c r="V312" i="44" s="1"/>
  <c r="U325" i="44"/>
  <c r="V325" i="44" s="1"/>
  <c r="U309" i="44"/>
  <c r="V309" i="44" s="1"/>
  <c r="U340" i="44"/>
  <c r="V340" i="44" s="1"/>
  <c r="U313" i="44"/>
  <c r="V313" i="44" s="1"/>
  <c r="U310" i="44"/>
  <c r="V310" i="44" s="1"/>
  <c r="U303" i="44"/>
  <c r="V303" i="44" s="1"/>
  <c r="U304" i="44"/>
  <c r="V304" i="44" s="1"/>
  <c r="U302" i="44"/>
  <c r="V302" i="44" s="1"/>
  <c r="U308" i="44"/>
  <c r="V308" i="44" s="1"/>
  <c r="U306" i="44"/>
  <c r="V306" i="44" s="1"/>
  <c r="U338" i="44"/>
  <c r="V338" i="44" s="1"/>
  <c r="U305" i="44"/>
  <c r="V305" i="44" s="1"/>
  <c r="U307" i="44"/>
  <c r="V307" i="44" s="1"/>
  <c r="U319" i="44"/>
  <c r="V319" i="44" s="1"/>
  <c r="U320" i="44"/>
  <c r="V320" i="44" s="1"/>
  <c r="U318" i="44"/>
  <c r="V318" i="44" s="1"/>
  <c r="U332" i="44"/>
  <c r="V332" i="44" s="1"/>
  <c r="U333" i="44"/>
  <c r="V333" i="44" s="1"/>
  <c r="U327" i="44"/>
  <c r="V327" i="44" s="1"/>
  <c r="U328" i="44"/>
  <c r="V328" i="44" s="1"/>
  <c r="U330" i="44"/>
  <c r="V330" i="44" s="1"/>
  <c r="U326" i="44"/>
  <c r="V326" i="44" s="1"/>
  <c r="U331" i="44"/>
  <c r="V331" i="44" s="1"/>
  <c r="U329" i="44"/>
  <c r="V329" i="44" s="1"/>
  <c r="U300" i="44"/>
  <c r="V300" i="44" s="1"/>
  <c r="U299" i="44"/>
  <c r="V299" i="44" s="1"/>
  <c r="U298" i="44"/>
  <c r="V298" i="44" s="1"/>
  <c r="U297" i="44"/>
  <c r="V297" i="44" s="1"/>
  <c r="U276" i="44"/>
  <c r="V276" i="44" s="1"/>
  <c r="U280" i="44"/>
  <c r="V280" i="44" s="1"/>
  <c r="U278" i="44"/>
  <c r="V278" i="44" s="1"/>
  <c r="U279" i="44"/>
  <c r="V279" i="44" s="1"/>
  <c r="U290" i="44"/>
  <c r="V290" i="44" s="1"/>
  <c r="U277" i="44"/>
  <c r="V277" i="44" s="1"/>
  <c r="U294" i="44"/>
  <c r="V294" i="44" s="1"/>
  <c r="U289" i="44"/>
  <c r="V289" i="44" s="1"/>
  <c r="U283" i="44"/>
  <c r="V283" i="44" s="1"/>
  <c r="U281" i="44"/>
  <c r="V281" i="44" s="1"/>
  <c r="U292" i="44"/>
  <c r="V292" i="44" s="1"/>
  <c r="U287" i="44"/>
  <c r="V287" i="44" s="1"/>
  <c r="U293" i="44"/>
  <c r="V293" i="44" s="1"/>
  <c r="U288" i="44"/>
  <c r="V288" i="44" s="1"/>
  <c r="U236" i="44"/>
  <c r="V236" i="44" s="1"/>
  <c r="U282" i="44"/>
  <c r="V282" i="44" s="1"/>
  <c r="U291" i="44"/>
  <c r="V291" i="44" s="1"/>
  <c r="U284" i="44"/>
  <c r="V284" i="44" s="1"/>
  <c r="U295" i="44"/>
  <c r="V295" i="44" s="1"/>
  <c r="U286" i="44"/>
  <c r="V286" i="44" s="1"/>
  <c r="U296" i="44"/>
  <c r="V296" i="44" s="1"/>
  <c r="U285" i="44"/>
  <c r="V285" i="44" s="1"/>
  <c r="U257" i="44"/>
  <c r="V257" i="44" s="1"/>
  <c r="U275" i="44"/>
  <c r="V275" i="44" s="1"/>
  <c r="U259" i="44"/>
  <c r="V259" i="44" s="1"/>
  <c r="U254" i="44"/>
  <c r="V254" i="44" s="1"/>
  <c r="U258" i="44"/>
  <c r="V258" i="44" s="1"/>
  <c r="U256" i="44"/>
  <c r="V256" i="44" s="1"/>
  <c r="U260" i="44"/>
  <c r="V260" i="44" s="1"/>
  <c r="U255" i="44"/>
  <c r="V255" i="44" s="1"/>
  <c r="U271" i="44"/>
  <c r="V271" i="44" s="1"/>
  <c r="U272" i="44"/>
  <c r="V272" i="44" s="1"/>
  <c r="U301" i="44"/>
  <c r="V301" i="44" s="1"/>
  <c r="U245" i="44"/>
  <c r="V245" i="44" s="1"/>
  <c r="U249" i="44"/>
  <c r="V249" i="44" s="1"/>
  <c r="U244" i="44"/>
  <c r="V244" i="44" s="1"/>
  <c r="U273" i="44"/>
  <c r="V273" i="44" s="1"/>
  <c r="U248" i="44"/>
  <c r="V248" i="44" s="1"/>
  <c r="U242" i="44"/>
  <c r="V242" i="44" s="1"/>
  <c r="U274" i="44"/>
  <c r="V274" i="44" s="1"/>
  <c r="U252" i="44"/>
  <c r="V252" i="44" s="1"/>
  <c r="U247" i="44"/>
  <c r="V247" i="44" s="1"/>
  <c r="U251" i="44"/>
  <c r="V251" i="44" s="1"/>
  <c r="U243" i="44"/>
  <c r="V243" i="44" s="1"/>
  <c r="U253" i="44"/>
  <c r="V253" i="44" s="1"/>
  <c r="U250" i="44"/>
  <c r="V250" i="44" s="1"/>
  <c r="U246" i="44"/>
  <c r="V246" i="44" s="1"/>
  <c r="U237" i="44"/>
  <c r="V237" i="44" s="1"/>
  <c r="U240" i="44"/>
  <c r="V240" i="44" s="1"/>
  <c r="U239" i="44"/>
  <c r="V239" i="44" s="1"/>
  <c r="U238" i="44"/>
  <c r="V238" i="44" s="1"/>
  <c r="U270" i="44"/>
  <c r="V270" i="44" s="1"/>
  <c r="U269" i="44"/>
  <c r="V269" i="44" s="1"/>
  <c r="U241" i="44"/>
  <c r="V241" i="44" s="1"/>
  <c r="U266" i="44"/>
  <c r="V266" i="44" s="1"/>
  <c r="U267" i="44"/>
  <c r="V267" i="44" s="1"/>
  <c r="U262" i="44"/>
  <c r="V262" i="44" s="1"/>
  <c r="U265" i="44"/>
  <c r="V265" i="44" s="1"/>
  <c r="U261" i="44"/>
  <c r="V261" i="44" s="1"/>
  <c r="U264" i="44"/>
  <c r="V264" i="44" s="1"/>
  <c r="U263" i="44"/>
  <c r="V263" i="44" s="1"/>
  <c r="U216" i="44"/>
  <c r="V216" i="44" s="1"/>
  <c r="U217" i="44"/>
  <c r="V217" i="44" s="1"/>
  <c r="U215" i="44"/>
  <c r="V215" i="44" s="1"/>
  <c r="U202" i="44"/>
  <c r="V202" i="44" s="1"/>
  <c r="U200" i="44"/>
  <c r="V200" i="44" s="1"/>
  <c r="U195" i="44"/>
  <c r="V195" i="44" s="1"/>
  <c r="U192" i="44"/>
  <c r="V192" i="44" s="1"/>
  <c r="U198" i="44"/>
  <c r="V198" i="44" s="1"/>
  <c r="U193" i="44"/>
  <c r="V193" i="44" s="1"/>
  <c r="U191" i="44"/>
  <c r="V191" i="44" s="1"/>
  <c r="U194" i="44"/>
  <c r="V194" i="44" s="1"/>
  <c r="U201" i="44"/>
  <c r="V201" i="44" s="1"/>
  <c r="U199" i="44"/>
  <c r="V199" i="44" s="1"/>
  <c r="U196" i="44"/>
  <c r="V196" i="44" s="1"/>
  <c r="U197" i="44"/>
  <c r="V197" i="44" s="1"/>
  <c r="U235" i="44"/>
  <c r="V235" i="44" s="1"/>
  <c r="U222" i="44"/>
  <c r="V222" i="44" s="1"/>
  <c r="U227" i="44"/>
  <c r="V227" i="44" s="1"/>
  <c r="U228" i="44"/>
  <c r="V228" i="44" s="1"/>
  <c r="U234" i="44"/>
  <c r="V234" i="44" s="1"/>
  <c r="U230" i="44"/>
  <c r="V230" i="44" s="1"/>
  <c r="U224" i="44"/>
  <c r="V224" i="44" s="1"/>
  <c r="U231" i="44"/>
  <c r="V231" i="44" s="1"/>
  <c r="U225" i="44"/>
  <c r="V225" i="44" s="1"/>
  <c r="U226" i="44"/>
  <c r="V226" i="44" s="1"/>
  <c r="U223" i="44"/>
  <c r="V223" i="44" s="1"/>
  <c r="U229" i="44"/>
  <c r="V229" i="44" s="1"/>
  <c r="U232" i="44"/>
  <c r="V232" i="44" s="1"/>
  <c r="U233" i="44"/>
  <c r="V233" i="44" s="1"/>
  <c r="U185" i="44"/>
  <c r="V185" i="44" s="1"/>
  <c r="U189" i="44"/>
  <c r="V189" i="44" s="1"/>
  <c r="U183" i="44"/>
  <c r="V183" i="44" s="1"/>
  <c r="U186" i="44"/>
  <c r="V186" i="44" s="1"/>
  <c r="U188" i="44"/>
  <c r="V188" i="44" s="1"/>
  <c r="U187" i="44"/>
  <c r="V187" i="44" s="1"/>
  <c r="U184" i="44"/>
  <c r="V184" i="44" s="1"/>
  <c r="U213" i="44"/>
  <c r="V213" i="44" s="1"/>
  <c r="U214" i="44"/>
  <c r="V214" i="44" s="1"/>
  <c r="U212" i="44"/>
  <c r="V212" i="44" s="1"/>
  <c r="U210" i="44"/>
  <c r="V210" i="44" s="1"/>
  <c r="U206" i="44"/>
  <c r="V206" i="44" s="1"/>
  <c r="U204" i="44"/>
  <c r="V204" i="44" s="1"/>
  <c r="U211" i="44"/>
  <c r="V211" i="44" s="1"/>
  <c r="U207" i="44"/>
  <c r="V207" i="44" s="1"/>
  <c r="U208" i="44"/>
  <c r="V208" i="44" s="1"/>
  <c r="U203" i="44"/>
  <c r="V203" i="44" s="1"/>
  <c r="U209" i="44"/>
  <c r="V209" i="44" s="1"/>
  <c r="U205" i="44"/>
  <c r="V205" i="44" s="1"/>
  <c r="U221" i="44"/>
  <c r="V221" i="44" s="1"/>
  <c r="U219" i="44"/>
  <c r="V219" i="44" s="1"/>
  <c r="U220" i="44"/>
  <c r="V220" i="44" s="1"/>
  <c r="U218" i="44"/>
  <c r="V218" i="44" s="1"/>
  <c r="AE57" i="39"/>
  <c r="AF57" i="39"/>
  <c r="AG57" i="39"/>
  <c r="AH57" i="39"/>
  <c r="AE47" i="39"/>
  <c r="AF47" i="39"/>
  <c r="AG47" i="39"/>
  <c r="AH47" i="39"/>
  <c r="AE45" i="39"/>
  <c r="AF45" i="39"/>
  <c r="AG45" i="39"/>
  <c r="AH45" i="39"/>
  <c r="AE40" i="39"/>
  <c r="AF40" i="39"/>
  <c r="AG40" i="39"/>
  <c r="AH40" i="39"/>
  <c r="AJ19" i="33"/>
  <c r="AJ20" i="33"/>
  <c r="AI21" i="33"/>
  <c r="AI22" i="33"/>
  <c r="AJ16" i="33"/>
  <c r="AJ61" i="33" s="1"/>
  <c r="AJ71" i="33" s="1"/>
  <c r="L41" i="59" s="1"/>
  <c r="AJ13" i="33"/>
  <c r="AJ27" i="33" s="1"/>
  <c r="L28" i="59" s="1"/>
  <c r="M44" i="44" l="1"/>
  <c r="AK71" i="33"/>
  <c r="M41" i="59" s="1"/>
  <c r="AJ53" i="33"/>
  <c r="L33" i="59" s="1"/>
  <c r="AJ80" i="33"/>
  <c r="AJ88" i="33" s="1"/>
  <c r="AP93" i="59" l="1" a="1"/>
  <c r="AP93" i="59" s="1"/>
  <c r="AP82" i="59" a="1"/>
  <c r="AP82" i="59" s="1"/>
  <c r="AP77" i="59" a="1"/>
  <c r="AP77" i="59" s="1"/>
  <c r="AP92" i="59" a="1"/>
  <c r="AP92" i="59" s="1"/>
  <c r="AP89" i="59" a="1"/>
  <c r="AP89" i="59" s="1"/>
  <c r="AP88" i="59" a="1"/>
  <c r="AP88" i="59" s="1"/>
  <c r="AP83" i="59" a="1"/>
  <c r="AP83" i="59" s="1"/>
  <c r="AP76" i="59" a="1"/>
  <c r="AP76" i="59" s="1"/>
  <c r="AP90" i="59" a="1"/>
  <c r="AP90" i="59" s="1"/>
  <c r="AP80" i="59" a="1"/>
  <c r="AP80" i="59" s="1"/>
  <c r="AP75" i="59" a="1"/>
  <c r="AP75" i="59" s="1"/>
  <c r="AP94" i="59" a="1"/>
  <c r="AP94" i="59" s="1"/>
  <c r="AP91" i="59" a="1"/>
  <c r="AP91" i="59" s="1"/>
  <c r="AP95" i="59" a="1"/>
  <c r="AP95" i="59" s="1"/>
  <c r="AP81" i="59" a="1"/>
  <c r="AP81" i="59" s="1"/>
  <c r="AP85" i="59" a="1"/>
  <c r="AP85" i="59" s="1"/>
  <c r="AP79" i="59" a="1"/>
  <c r="AP79" i="59" s="1"/>
  <c r="AP78" i="59" a="1"/>
  <c r="AP78" i="59" s="1"/>
  <c r="AP84" i="59" a="1"/>
  <c r="AP84" i="59" s="1"/>
  <c r="AP87" i="59" a="1"/>
  <c r="AP87" i="59" s="1"/>
  <c r="AP96" i="59" a="1"/>
  <c r="AP96" i="59" s="1"/>
  <c r="AP86" i="59" a="1"/>
  <c r="AP86" i="59" s="1"/>
  <c r="AK88" i="33"/>
  <c r="N51" i="44" s="1"/>
  <c r="N44" i="44"/>
  <c r="AL71" i="33"/>
  <c r="L40" i="38"/>
  <c r="J18" i="61" s="1"/>
  <c r="M36" i="44"/>
  <c r="AK53" i="33"/>
  <c r="M33" i="59" s="1"/>
  <c r="M51" i="44"/>
  <c r="J58" i="61" l="1"/>
  <c r="AQ75" i="59" a="1"/>
  <c r="AQ75" i="59" s="1"/>
  <c r="AQ82" i="59" a="1"/>
  <c r="AQ82" i="59" s="1"/>
  <c r="AQ96" i="59" a="1"/>
  <c r="AQ96" i="59" s="1"/>
  <c r="AV96" i="59" s="1"/>
  <c r="AQ92" i="59" a="1"/>
  <c r="AQ92" i="59" s="1"/>
  <c r="AV92" i="59" s="1"/>
  <c r="AQ88" i="59" a="1"/>
  <c r="AQ88" i="59" s="1"/>
  <c r="AQ86" i="59" a="1"/>
  <c r="AQ86" i="59" s="1"/>
  <c r="AQ90" i="59" a="1"/>
  <c r="AQ90" i="59" s="1"/>
  <c r="AV90" i="59" s="1"/>
  <c r="AQ85" i="59" a="1"/>
  <c r="AQ85" i="59" s="1"/>
  <c r="AV85" i="59" s="1"/>
  <c r="AQ79" i="59" a="1"/>
  <c r="AQ79" i="59" s="1"/>
  <c r="AQ78" i="59" a="1"/>
  <c r="AQ78" i="59" s="1"/>
  <c r="AQ87" i="59" a="1"/>
  <c r="AQ87" i="59" s="1"/>
  <c r="AQ84" i="59" a="1"/>
  <c r="AQ84" i="59" s="1"/>
  <c r="AQ80" i="59" a="1"/>
  <c r="AQ80" i="59" s="1"/>
  <c r="AQ94" i="59" a="1"/>
  <c r="AQ94" i="59" s="1"/>
  <c r="AQ93" i="59" a="1"/>
  <c r="AQ93" i="59" s="1"/>
  <c r="AV93" i="59" s="1"/>
  <c r="AQ77" i="59" a="1"/>
  <c r="AQ77" i="59" s="1"/>
  <c r="AV77" i="59" s="1"/>
  <c r="AQ89" i="59" a="1"/>
  <c r="AQ89" i="59" s="1"/>
  <c r="AQ83" i="59" a="1"/>
  <c r="AQ83" i="59" s="1"/>
  <c r="AV83" i="59" s="1"/>
  <c r="AQ76" i="59" a="1"/>
  <c r="AQ76" i="59" s="1"/>
  <c r="AQ91" i="59" a="1"/>
  <c r="AQ91" i="59" s="1"/>
  <c r="AV91" i="59" s="1"/>
  <c r="AQ95" i="59" a="1"/>
  <c r="AQ95" i="59" s="1"/>
  <c r="AQ81" i="59" a="1"/>
  <c r="AQ81" i="59" s="1"/>
  <c r="AA474" i="44" a="1"/>
  <c r="AA474" i="44" s="1"/>
  <c r="AA473" i="44" a="1"/>
  <c r="AA473" i="44" s="1"/>
  <c r="AV87" i="59"/>
  <c r="AV79" i="59"/>
  <c r="AV75" i="59"/>
  <c r="AV84" i="59"/>
  <c r="AV95" i="59"/>
  <c r="AV86" i="59"/>
  <c r="AV82" i="59"/>
  <c r="AV78" i="59"/>
  <c r="AV94" i="59"/>
  <c r="AV88" i="59"/>
  <c r="AV76" i="59"/>
  <c r="AV89" i="59"/>
  <c r="AV81" i="59"/>
  <c r="AV80" i="59"/>
  <c r="O44" i="44"/>
  <c r="N41" i="59"/>
  <c r="AL88" i="33"/>
  <c r="AM88" i="33" s="1"/>
  <c r="N36" i="44"/>
  <c r="AL53" i="33"/>
  <c r="M32" i="38"/>
  <c r="M36" i="38"/>
  <c r="K17" i="61" s="1"/>
  <c r="K57" i="61" s="1"/>
  <c r="K32" i="61" l="1"/>
  <c r="K43" i="21"/>
  <c r="K72" i="61"/>
  <c r="AB474" i="44" a="1"/>
  <c r="AB474" i="44" s="1"/>
  <c r="AB473" i="44" a="1"/>
  <c r="AB473" i="44" s="1"/>
  <c r="H24" i="39"/>
  <c r="AI19" i="47"/>
  <c r="AI25" i="54"/>
  <c r="P51" i="44"/>
  <c r="O51" i="44"/>
  <c r="O36" i="44"/>
  <c r="N33" i="59"/>
  <c r="AD61" i="33"/>
  <c r="AE61" i="33"/>
  <c r="AE66" i="33" s="1"/>
  <c r="AC474" i="44" l="1" a="1"/>
  <c r="AC474" i="44" s="1"/>
  <c r="AC473" i="44" a="1"/>
  <c r="AC473" i="44" s="1"/>
  <c r="AD57" i="39" l="1"/>
  <c r="AH25" i="47" l="1"/>
  <c r="AH65" i="47" s="1"/>
  <c r="AI25" i="47"/>
  <c r="AI65" i="47" s="1"/>
  <c r="AH26" i="47"/>
  <c r="AH66" i="47" s="1"/>
  <c r="AI26" i="47"/>
  <c r="AI66" i="47" s="1"/>
  <c r="AH23" i="47"/>
  <c r="AI23" i="47"/>
  <c r="AI63" i="47" s="1"/>
  <c r="AH27" i="47"/>
  <c r="AH67" i="47" s="1"/>
  <c r="AI27" i="47"/>
  <c r="AI67" i="47" s="1"/>
  <c r="AH31" i="47"/>
  <c r="AI31" i="47"/>
  <c r="AH34" i="47"/>
  <c r="AI34" i="47"/>
  <c r="AH32" i="47"/>
  <c r="AI32" i="47"/>
  <c r="AH35" i="47"/>
  <c r="AI35" i="47"/>
  <c r="AI22" i="47"/>
  <c r="AH22" i="47"/>
  <c r="AI16" i="47"/>
  <c r="AH62" i="47" l="1"/>
  <c r="AH63" i="47"/>
  <c r="AI62" i="47"/>
  <c r="AI70" i="47" s="1" a="1"/>
  <c r="AI70" i="47" s="1"/>
  <c r="AI73" i="47" s="1"/>
  <c r="AH82" i="47"/>
  <c r="AH81" i="47"/>
  <c r="AI85" i="47"/>
  <c r="AI84" i="47"/>
  <c r="AH85" i="47"/>
  <c r="AH84" i="47"/>
  <c r="AI82" i="47"/>
  <c r="AI81" i="47"/>
  <c r="AI87" i="47" s="1" a="1"/>
  <c r="AI87" i="47" s="1"/>
  <c r="AI90" i="47" s="1"/>
  <c r="H26" i="21"/>
  <c r="AH87" i="47" l="1" a="1"/>
  <c r="AH87" i="47" s="1"/>
  <c r="AH90" i="47" s="1"/>
  <c r="AH70" i="47" a="1"/>
  <c r="AH70" i="47" s="1"/>
  <c r="AH73" i="47" s="1"/>
  <c r="H33" i="21"/>
  <c r="H36" i="21"/>
  <c r="H38" i="21"/>
  <c r="L13" i="42" l="1"/>
  <c r="M26" i="40"/>
  <c r="N26" i="40"/>
  <c r="O26" i="40"/>
  <c r="P26" i="40"/>
  <c r="L26" i="40"/>
  <c r="H21" i="40"/>
  <c r="M19" i="40"/>
  <c r="N19" i="40"/>
  <c r="O19" i="40"/>
  <c r="P19" i="40"/>
  <c r="L19" i="40"/>
  <c r="M18" i="40"/>
  <c r="L18" i="40"/>
  <c r="L37" i="40" l="1"/>
  <c r="L51" i="42"/>
  <c r="O37" i="40"/>
  <c r="N37" i="40"/>
  <c r="M37" i="40"/>
  <c r="P37" i="40"/>
  <c r="J37" i="40" l="1"/>
  <c r="L32" i="38" l="1"/>
  <c r="J32" i="61" l="1"/>
  <c r="J43" i="21"/>
  <c r="J72" i="61"/>
  <c r="H43" i="42"/>
  <c r="H33" i="42" l="1"/>
  <c r="L51" i="44" l="1"/>
  <c r="K50" i="44"/>
  <c r="K61" i="44" l="1"/>
  <c r="L61" i="44"/>
  <c r="J61" i="44"/>
  <c r="J42" i="44"/>
  <c r="K43" i="44"/>
  <c r="L44" i="44"/>
  <c r="J34" i="44"/>
  <c r="K35" i="44"/>
  <c r="L36" i="44"/>
  <c r="AF16" i="33"/>
  <c r="AF61" i="33" s="1"/>
  <c r="AG16" i="33"/>
  <c r="AG61" i="33" s="1"/>
  <c r="AG68" i="33" s="1"/>
  <c r="AH16" i="33"/>
  <c r="AH61" i="33" s="1"/>
  <c r="AH69" i="33" s="1"/>
  <c r="J39" i="59" s="1"/>
  <c r="AI16" i="33"/>
  <c r="AI61" i="33" s="1"/>
  <c r="AI70" i="33" s="1"/>
  <c r="K40" i="59" s="1"/>
  <c r="X13" i="33"/>
  <c r="X27" i="33" s="1"/>
  <c r="X41" i="33" s="1"/>
  <c r="W13" i="33"/>
  <c r="W27" i="33" s="1"/>
  <c r="W40" i="33" s="1"/>
  <c r="V13" i="33"/>
  <c r="V27" i="33" s="1"/>
  <c r="V39" i="33" s="1"/>
  <c r="U13" i="33"/>
  <c r="U27" i="33" s="1"/>
  <c r="U38" i="33" s="1"/>
  <c r="T13" i="33"/>
  <c r="T27" i="33" s="1"/>
  <c r="T37" i="33" s="1"/>
  <c r="S13" i="33"/>
  <c r="S27" i="33" s="1"/>
  <c r="S36" i="33" s="1"/>
  <c r="R13" i="33"/>
  <c r="R27" i="33" s="1"/>
  <c r="R35" i="33" s="1"/>
  <c r="Q13" i="33"/>
  <c r="Q27" i="33" s="1"/>
  <c r="Q34" i="33" s="1"/>
  <c r="P13" i="33"/>
  <c r="P27" i="33" s="1"/>
  <c r="P33" i="33" s="1"/>
  <c r="O13" i="33"/>
  <c r="O27" i="33" s="1"/>
  <c r="O32" i="33" s="1"/>
  <c r="N13" i="33"/>
  <c r="N27" i="33" s="1"/>
  <c r="N31" i="33" s="1"/>
  <c r="M13" i="33"/>
  <c r="M27" i="33" s="1"/>
  <c r="M30" i="33" s="1"/>
  <c r="L13" i="33"/>
  <c r="Z474" i="44" l="1" a="1"/>
  <c r="Z474" i="44" s="1"/>
  <c r="Z473" i="44" a="1"/>
  <c r="Z473" i="44" s="1"/>
  <c r="X314" i="44" a="1"/>
  <c r="X314" i="44" s="1"/>
  <c r="X300" i="44" a="1"/>
  <c r="X300" i="44" s="1"/>
  <c r="X313" i="44" a="1"/>
  <c r="X313" i="44" s="1"/>
  <c r="X305" i="44" a="1"/>
  <c r="X305" i="44" s="1"/>
  <c r="X304" i="44" a="1"/>
  <c r="X304" i="44" s="1"/>
  <c r="Q33" i="33"/>
  <c r="R33" i="33" s="1"/>
  <c r="S33" i="33" s="1"/>
  <c r="T33" i="33" s="1"/>
  <c r="U33" i="33" s="1"/>
  <c r="V33" i="33" s="1"/>
  <c r="U37" i="33"/>
  <c r="V37" i="33" s="1"/>
  <c r="W37" i="33" s="1"/>
  <c r="X37" i="33" s="1"/>
  <c r="L43" i="44"/>
  <c r="AJ70" i="33"/>
  <c r="L40" i="59" s="1"/>
  <c r="AF67" i="33"/>
  <c r="AG67" i="33" s="1"/>
  <c r="AH67" i="33" s="1"/>
  <c r="AF66" i="33"/>
  <c r="AG66" i="33" s="1"/>
  <c r="AH66" i="33" s="1"/>
  <c r="N30" i="33"/>
  <c r="O30" i="33" s="1"/>
  <c r="P30" i="33" s="1"/>
  <c r="Q30" i="33" s="1"/>
  <c r="R30" i="33" s="1"/>
  <c r="S30" i="33" s="1"/>
  <c r="T30" i="33" s="1"/>
  <c r="U30" i="33" s="1"/>
  <c r="V30" i="33" s="1"/>
  <c r="R34" i="33"/>
  <c r="S34" i="33" s="1"/>
  <c r="T34" i="33" s="1"/>
  <c r="U34" i="33" s="1"/>
  <c r="V34" i="33" s="1"/>
  <c r="V38" i="33"/>
  <c r="W38" i="33" s="1"/>
  <c r="X38" i="33" s="1"/>
  <c r="T36" i="33"/>
  <c r="U36" i="33" s="1"/>
  <c r="V36" i="33" s="1"/>
  <c r="W36" i="33" s="1"/>
  <c r="X36" i="33" s="1"/>
  <c r="W39" i="33"/>
  <c r="X39" i="33" s="1"/>
  <c r="AI69" i="33"/>
  <c r="K39" i="59" s="1"/>
  <c r="AH68" i="33"/>
  <c r="K42" i="44"/>
  <c r="P32" i="33"/>
  <c r="Q32" i="33" s="1"/>
  <c r="R32" i="33" s="1"/>
  <c r="S32" i="33" s="1"/>
  <c r="T32" i="33" s="1"/>
  <c r="U32" i="33" s="1"/>
  <c r="V32" i="33" s="1"/>
  <c r="X40" i="33"/>
  <c r="O31" i="33"/>
  <c r="S35" i="33"/>
  <c r="T35" i="33" s="1"/>
  <c r="U35" i="33" s="1"/>
  <c r="V35" i="33" s="1"/>
  <c r="M43" i="44" l="1"/>
  <c r="AK70" i="33"/>
  <c r="M40" i="59" s="1"/>
  <c r="L42" i="44"/>
  <c r="AJ69" i="33"/>
  <c r="L39" i="59" s="1"/>
  <c r="AI66" i="33"/>
  <c r="AI67" i="33"/>
  <c r="W30" i="33"/>
  <c r="X30" i="33" s="1"/>
  <c r="W32" i="33"/>
  <c r="X32" i="33" s="1"/>
  <c r="W35" i="33"/>
  <c r="X35" i="33" s="1"/>
  <c r="W33" i="33"/>
  <c r="X33" i="33" s="1"/>
  <c r="W34" i="33"/>
  <c r="X34" i="33" s="1"/>
  <c r="P31" i="33"/>
  <c r="AI68" i="33"/>
  <c r="N43" i="44" l="1"/>
  <c r="AL70" i="33"/>
  <c r="M42" i="44"/>
  <c r="AK69" i="33"/>
  <c r="M39" i="59" s="1"/>
  <c r="AJ66" i="33"/>
  <c r="AJ67" i="33"/>
  <c r="AJ68" i="33"/>
  <c r="Q31" i="33"/>
  <c r="O43" i="44" l="1"/>
  <c r="N40" i="59"/>
  <c r="N42" i="44"/>
  <c r="AL69" i="33"/>
  <c r="N39" i="59" s="1"/>
  <c r="AK67" i="33"/>
  <c r="H22" i="36" s="1"/>
  <c r="AK66" i="33"/>
  <c r="H21" i="36" s="1"/>
  <c r="AK68" i="33"/>
  <c r="H23" i="36" s="1"/>
  <c r="R31" i="33"/>
  <c r="U138" i="44"/>
  <c r="V138" i="44" s="1"/>
  <c r="U178" i="44"/>
  <c r="V178" i="44" s="1"/>
  <c r="U177" i="44"/>
  <c r="V177" i="44" s="1"/>
  <c r="U109" i="44"/>
  <c r="H58" i="44"/>
  <c r="AL66" i="33" l="1"/>
  <c r="AL67" i="33"/>
  <c r="O42" i="44"/>
  <c r="AL68" i="33"/>
  <c r="U124" i="44"/>
  <c r="V124" i="44" s="1"/>
  <c r="U117" i="44"/>
  <c r="V117" i="44" s="1"/>
  <c r="U121" i="44"/>
  <c r="V121" i="44" s="1"/>
  <c r="U118" i="44"/>
  <c r="V118" i="44" s="1"/>
  <c r="U123" i="44"/>
  <c r="V123" i="44" s="1"/>
  <c r="U119" i="44"/>
  <c r="V119" i="44" s="1"/>
  <c r="U120" i="44"/>
  <c r="V120" i="44" s="1"/>
  <c r="U122" i="44"/>
  <c r="V122" i="44" s="1"/>
  <c r="U132" i="44"/>
  <c r="V132" i="44" s="1"/>
  <c r="U129" i="44"/>
  <c r="V129" i="44" s="1"/>
  <c r="U130" i="44"/>
  <c r="V130" i="44" s="1"/>
  <c r="U127" i="44"/>
  <c r="V127" i="44" s="1"/>
  <c r="U133" i="44"/>
  <c r="V133" i="44" s="1"/>
  <c r="U128" i="44"/>
  <c r="V128" i="44" s="1"/>
  <c r="U134" i="44"/>
  <c r="V134" i="44" s="1"/>
  <c r="U125" i="44"/>
  <c r="V125" i="44" s="1"/>
  <c r="U126" i="44"/>
  <c r="V126" i="44" s="1"/>
  <c r="U131" i="44"/>
  <c r="V131" i="44" s="1"/>
  <c r="U181" i="44"/>
  <c r="V181" i="44" s="1"/>
  <c r="U182" i="44"/>
  <c r="V182" i="44" s="1"/>
  <c r="U144" i="44"/>
  <c r="V144" i="44" s="1"/>
  <c r="U175" i="44"/>
  <c r="V175" i="44" s="1"/>
  <c r="U157" i="44"/>
  <c r="V157" i="44" s="1"/>
  <c r="U170" i="44"/>
  <c r="V170" i="44" s="1"/>
  <c r="U149" i="44"/>
  <c r="V149" i="44" s="1"/>
  <c r="U168" i="44"/>
  <c r="V168" i="44" s="1"/>
  <c r="U156" i="44"/>
  <c r="V156" i="44" s="1"/>
  <c r="U150" i="44"/>
  <c r="V150" i="44" s="1"/>
  <c r="U174" i="44"/>
  <c r="V174" i="44" s="1"/>
  <c r="U171" i="44"/>
  <c r="V171" i="44" s="1"/>
  <c r="U148" i="44"/>
  <c r="V148" i="44" s="1"/>
  <c r="U166" i="44"/>
  <c r="V166" i="44" s="1"/>
  <c r="U152" i="44"/>
  <c r="V152" i="44" s="1"/>
  <c r="U165" i="44"/>
  <c r="V165" i="44" s="1"/>
  <c r="U153" i="44"/>
  <c r="V153" i="44" s="1"/>
  <c r="U146" i="44"/>
  <c r="V146" i="44" s="1"/>
  <c r="U151" i="44"/>
  <c r="V151" i="44" s="1"/>
  <c r="U169" i="44"/>
  <c r="V169" i="44" s="1"/>
  <c r="U145" i="44"/>
  <c r="V145" i="44" s="1"/>
  <c r="U162" i="44"/>
  <c r="V162" i="44" s="1"/>
  <c r="U161" i="44"/>
  <c r="V161" i="44" s="1"/>
  <c r="U143" i="44"/>
  <c r="V143" i="44" s="1"/>
  <c r="U164" i="44"/>
  <c r="V164" i="44" s="1"/>
  <c r="U147" i="44"/>
  <c r="V147" i="44" s="1"/>
  <c r="U163" i="44"/>
  <c r="V163" i="44" s="1"/>
  <c r="U173" i="44"/>
  <c r="V173" i="44" s="1"/>
  <c r="U159" i="44"/>
  <c r="V159" i="44" s="1"/>
  <c r="U172" i="44"/>
  <c r="V172" i="44" s="1"/>
  <c r="U158" i="44"/>
  <c r="V158" i="44" s="1"/>
  <c r="U160" i="44"/>
  <c r="V160" i="44" s="1"/>
  <c r="U155" i="44"/>
  <c r="V155" i="44" s="1"/>
  <c r="U137" i="44"/>
  <c r="V137" i="44" s="1"/>
  <c r="U136" i="44"/>
  <c r="V136" i="44" s="1"/>
  <c r="U135" i="44"/>
  <c r="V135" i="44" s="1"/>
  <c r="U180" i="44"/>
  <c r="V180" i="44" s="1"/>
  <c r="U179" i="44"/>
  <c r="V179" i="44" s="1"/>
  <c r="U154" i="44"/>
  <c r="V154" i="44" s="1"/>
  <c r="U167" i="44"/>
  <c r="V167" i="44" s="1"/>
  <c r="U176" i="44"/>
  <c r="V176" i="44" s="1"/>
  <c r="U139" i="44"/>
  <c r="V139" i="44" s="1"/>
  <c r="U141" i="44"/>
  <c r="V141" i="44" s="1"/>
  <c r="U142" i="44"/>
  <c r="V142" i="44" s="1"/>
  <c r="U140" i="44"/>
  <c r="V140" i="44" s="1"/>
  <c r="U113" i="44"/>
  <c r="V113" i="44" s="1"/>
  <c r="U114" i="44"/>
  <c r="V114" i="44" s="1"/>
  <c r="U115" i="44"/>
  <c r="V115" i="44" s="1"/>
  <c r="U116" i="44"/>
  <c r="V116" i="44" s="1"/>
  <c r="U106" i="44"/>
  <c r="V106" i="44" s="1"/>
  <c r="U107" i="44"/>
  <c r="V107" i="44" s="1"/>
  <c r="U108" i="44"/>
  <c r="V108" i="44" s="1"/>
  <c r="U104" i="44"/>
  <c r="U105" i="44"/>
  <c r="V105" i="44" s="1"/>
  <c r="U112" i="44"/>
  <c r="V112" i="44" s="1"/>
  <c r="U110" i="44"/>
  <c r="V110" i="44" s="1"/>
  <c r="U111" i="44"/>
  <c r="V111" i="44" s="1"/>
  <c r="S31" i="33"/>
  <c r="V109" i="44"/>
  <c r="V104" i="44" l="1"/>
  <c r="T31" i="33"/>
  <c r="AH22" i="33"/>
  <c r="AH21" i="33"/>
  <c r="AI13" i="33"/>
  <c r="AI27" i="33" s="1"/>
  <c r="AH20" i="33"/>
  <c r="AH19" i="33"/>
  <c r="AH13" i="33"/>
  <c r="AH27" i="33" s="1"/>
  <c r="H29" i="40"/>
  <c r="H28" i="40"/>
  <c r="H22" i="40"/>
  <c r="AH51" i="33" l="1"/>
  <c r="J31" i="59" s="1"/>
  <c r="J28" i="59"/>
  <c r="AI52" i="33"/>
  <c r="L35" i="44" s="1"/>
  <c r="K28" i="59"/>
  <c r="H34" i="40"/>
  <c r="H33" i="40"/>
  <c r="H38" i="40" s="1"/>
  <c r="U31" i="33"/>
  <c r="K34" i="44"/>
  <c r="H29" i="42"/>
  <c r="H28" i="42"/>
  <c r="H25" i="42"/>
  <c r="H24" i="42"/>
  <c r="O17" i="42"/>
  <c r="L17" i="42"/>
  <c r="O13" i="42"/>
  <c r="L54" i="42"/>
  <c r="N42" i="40"/>
  <c r="O42" i="40"/>
  <c r="L25" i="40"/>
  <c r="AD47" i="39"/>
  <c r="AM76" i="39" s="1"/>
  <c r="K50" i="21" s="1"/>
  <c r="AD45" i="39"/>
  <c r="AM74" i="39" s="1"/>
  <c r="K49" i="21" s="1"/>
  <c r="AD40" i="39"/>
  <c r="AM69" i="39" s="1"/>
  <c r="J44" i="21" s="1"/>
  <c r="AD36" i="39"/>
  <c r="AM65" i="39" s="1"/>
  <c r="J49" i="21" s="1"/>
  <c r="Z21" i="33"/>
  <c r="AA21" i="33"/>
  <c r="AB21" i="33"/>
  <c r="AC21" i="33"/>
  <c r="AD21" i="33"/>
  <c r="AE21" i="33"/>
  <c r="AF21" i="33"/>
  <c r="AG21" i="33"/>
  <c r="Z22" i="33"/>
  <c r="AA22" i="33"/>
  <c r="AB22" i="33"/>
  <c r="AC22" i="33"/>
  <c r="AD22" i="33"/>
  <c r="AE22" i="33"/>
  <c r="AF22" i="33"/>
  <c r="AG22" i="33"/>
  <c r="Y21" i="33"/>
  <c r="Y22" i="33"/>
  <c r="Y20" i="33"/>
  <c r="Z20" i="33"/>
  <c r="AA20" i="33"/>
  <c r="AB20" i="33"/>
  <c r="AC20" i="33"/>
  <c r="AD20" i="33"/>
  <c r="AE20" i="33"/>
  <c r="AF20" i="33"/>
  <c r="AG20" i="33"/>
  <c r="AI20" i="33"/>
  <c r="Z19" i="33"/>
  <c r="AA19" i="33"/>
  <c r="AB19" i="33"/>
  <c r="AC19" i="33"/>
  <c r="AD19" i="33"/>
  <c r="AE19" i="33"/>
  <c r="AF19" i="33"/>
  <c r="AG19" i="33"/>
  <c r="AI19" i="33"/>
  <c r="Y19" i="33"/>
  <c r="Z13" i="33"/>
  <c r="Z27" i="33" s="1"/>
  <c r="Z43" i="33" s="1"/>
  <c r="AA13" i="33"/>
  <c r="AA27" i="33" s="1"/>
  <c r="AA44" i="33" s="1"/>
  <c r="AB13" i="33"/>
  <c r="AB27" i="33" s="1"/>
  <c r="AB45" i="33" s="1"/>
  <c r="AC13" i="33"/>
  <c r="AC27" i="33" s="1"/>
  <c r="AC46" i="33" s="1"/>
  <c r="AD13" i="33"/>
  <c r="AD27" i="33" s="1"/>
  <c r="AD47" i="33" s="1"/>
  <c r="AE13" i="33"/>
  <c r="AE27" i="33" s="1"/>
  <c r="AE48" i="33" s="1"/>
  <c r="AF13" i="33"/>
  <c r="AF27" i="33" s="1"/>
  <c r="AG13" i="33"/>
  <c r="AG27" i="33" s="1"/>
  <c r="Y13" i="33"/>
  <c r="Y27" i="33" s="1"/>
  <c r="AN62" i="59" l="1" a="1"/>
  <c r="AN62" i="59" s="1"/>
  <c r="AN58" i="59" a="1"/>
  <c r="AN58" i="59" s="1"/>
  <c r="AN59" i="59" a="1"/>
  <c r="AN59" i="59" s="1"/>
  <c r="AN56" i="59" a="1"/>
  <c r="AN56" i="59" s="1"/>
  <c r="AN60" i="59" a="1"/>
  <c r="AN60" i="59" s="1"/>
  <c r="AN61" i="59" a="1"/>
  <c r="AN61" i="59" s="1"/>
  <c r="AN57" i="59" a="1"/>
  <c r="AN57" i="59" s="1"/>
  <c r="AN53" i="59" a="1"/>
  <c r="AN53" i="59" s="1"/>
  <c r="AN52" i="59" a="1"/>
  <c r="AN52" i="59" s="1"/>
  <c r="AN55" i="59" a="1"/>
  <c r="AN55" i="59" s="1"/>
  <c r="AN54" i="59" a="1"/>
  <c r="AN54" i="59" s="1"/>
  <c r="AN51" i="59" a="1"/>
  <c r="AN51" i="59" s="1"/>
  <c r="AS51" i="59" s="1"/>
  <c r="AI51" i="33"/>
  <c r="K31" i="59" s="1"/>
  <c r="AG50" i="33"/>
  <c r="AH50" i="33" s="1"/>
  <c r="I28" i="59"/>
  <c r="AJ52" i="33"/>
  <c r="K32" i="59"/>
  <c r="AF49" i="33"/>
  <c r="AG49" i="33" s="1"/>
  <c r="H28" i="59"/>
  <c r="AJ51" i="33"/>
  <c r="L31" i="59" s="1"/>
  <c r="Y300" i="44" a="1"/>
  <c r="Y300" i="44" s="1"/>
  <c r="Y305" i="44" a="1"/>
  <c r="Y305" i="44" s="1"/>
  <c r="Y304" i="44" a="1"/>
  <c r="Y304" i="44" s="1"/>
  <c r="Y314" i="44" a="1"/>
  <c r="Y314" i="44" s="1"/>
  <c r="Y313" i="44" a="1"/>
  <c r="Y313" i="44" s="1"/>
  <c r="L69" i="42"/>
  <c r="L70" i="42" s="1"/>
  <c r="L34" i="44"/>
  <c r="H15" i="40"/>
  <c r="H39" i="40" s="1"/>
  <c r="AB44" i="33"/>
  <c r="AC44" i="33" s="1"/>
  <c r="AD44" i="33" s="1"/>
  <c r="AE44" i="33" s="1"/>
  <c r="AF44" i="33" s="1"/>
  <c r="AF48" i="33"/>
  <c r="AG48" i="33" s="1"/>
  <c r="AA80" i="33"/>
  <c r="V31" i="33"/>
  <c r="AC45" i="33"/>
  <c r="AD45" i="33" s="1"/>
  <c r="AE45" i="33" s="1"/>
  <c r="AF45" i="33" s="1"/>
  <c r="AI80" i="33"/>
  <c r="AI87" i="33" s="1"/>
  <c r="AD46" i="33"/>
  <c r="AF80" i="33"/>
  <c r="AF84" i="33" s="1"/>
  <c r="AB80" i="33"/>
  <c r="Z80" i="33"/>
  <c r="AE80" i="33"/>
  <c r="AE83" i="33" s="1"/>
  <c r="AH80" i="33"/>
  <c r="AH86" i="33" s="1"/>
  <c r="AD80" i="33"/>
  <c r="Y42" i="33"/>
  <c r="Z42" i="33" s="1"/>
  <c r="AA42" i="33" s="1"/>
  <c r="AB42" i="33" s="1"/>
  <c r="AC42" i="33" s="1"/>
  <c r="AD42" i="33" s="1"/>
  <c r="AE42" i="33" s="1"/>
  <c r="AF42" i="33" s="1"/>
  <c r="Y36" i="33"/>
  <c r="Z36" i="33" s="1"/>
  <c r="AA36" i="33" s="1"/>
  <c r="AB36" i="33" s="1"/>
  <c r="AC36" i="33" s="1"/>
  <c r="AD36" i="33" s="1"/>
  <c r="AE36" i="33" s="1"/>
  <c r="AF36" i="33" s="1"/>
  <c r="Y41" i="33"/>
  <c r="Z41" i="33" s="1"/>
  <c r="AA41" i="33" s="1"/>
  <c r="AB41" i="33" s="1"/>
  <c r="AC41" i="33" s="1"/>
  <c r="AD41" i="33" s="1"/>
  <c r="AE41" i="33" s="1"/>
  <c r="AF41" i="33" s="1"/>
  <c r="Y40" i="33"/>
  <c r="Z40" i="33" s="1"/>
  <c r="AA40" i="33" s="1"/>
  <c r="AB40" i="33" s="1"/>
  <c r="AC40" i="33" s="1"/>
  <c r="AD40" i="33" s="1"/>
  <c r="AE40" i="33" s="1"/>
  <c r="AF40" i="33" s="1"/>
  <c r="Y38" i="33"/>
  <c r="Z38" i="33" s="1"/>
  <c r="AA38" i="33" s="1"/>
  <c r="AB38" i="33" s="1"/>
  <c r="AC38" i="33" s="1"/>
  <c r="AD38" i="33" s="1"/>
  <c r="AE38" i="33" s="1"/>
  <c r="AF38" i="33" s="1"/>
  <c r="Y35" i="33"/>
  <c r="Z35" i="33" s="1"/>
  <c r="AA35" i="33" s="1"/>
  <c r="AB35" i="33" s="1"/>
  <c r="AC35" i="33" s="1"/>
  <c r="AD35" i="33" s="1"/>
  <c r="AE35" i="33" s="1"/>
  <c r="AF35" i="33" s="1"/>
  <c r="Y32" i="33"/>
  <c r="Z32" i="33" s="1"/>
  <c r="AA32" i="33" s="1"/>
  <c r="AB32" i="33" s="1"/>
  <c r="AC32" i="33" s="1"/>
  <c r="AD32" i="33" s="1"/>
  <c r="AE32" i="33" s="1"/>
  <c r="AF32" i="33" s="1"/>
  <c r="Y33" i="33"/>
  <c r="Z33" i="33" s="1"/>
  <c r="AA33" i="33" s="1"/>
  <c r="AB33" i="33" s="1"/>
  <c r="AC33" i="33" s="1"/>
  <c r="AD33" i="33" s="1"/>
  <c r="AE33" i="33" s="1"/>
  <c r="AF33" i="33" s="1"/>
  <c r="Y39" i="33"/>
  <c r="Z39" i="33" s="1"/>
  <c r="AA39" i="33" s="1"/>
  <c r="AB39" i="33" s="1"/>
  <c r="AC39" i="33" s="1"/>
  <c r="AD39" i="33" s="1"/>
  <c r="AE39" i="33" s="1"/>
  <c r="AF39" i="33" s="1"/>
  <c r="Y30" i="33"/>
  <c r="Z30" i="33" s="1"/>
  <c r="AA30" i="33" s="1"/>
  <c r="AB30" i="33" s="1"/>
  <c r="AC30" i="33" s="1"/>
  <c r="AD30" i="33" s="1"/>
  <c r="AE30" i="33" s="1"/>
  <c r="AF30" i="33" s="1"/>
  <c r="Y34" i="33"/>
  <c r="Z34" i="33" s="1"/>
  <c r="AA34" i="33" s="1"/>
  <c r="AB34" i="33" s="1"/>
  <c r="AC34" i="33" s="1"/>
  <c r="AD34" i="33" s="1"/>
  <c r="AE34" i="33" s="1"/>
  <c r="AF34" i="33" s="1"/>
  <c r="Y37" i="33"/>
  <c r="Z37" i="33" s="1"/>
  <c r="AA37" i="33" s="1"/>
  <c r="AB37" i="33" s="1"/>
  <c r="AC37" i="33" s="1"/>
  <c r="AD37" i="33" s="1"/>
  <c r="AE37" i="33" s="1"/>
  <c r="AF37" i="33" s="1"/>
  <c r="AE47" i="33"/>
  <c r="AF47" i="33" s="1"/>
  <c r="AA43" i="33"/>
  <c r="AB43" i="33" s="1"/>
  <c r="AG80" i="33"/>
  <c r="AG85" i="33" s="1"/>
  <c r="AC80" i="33"/>
  <c r="L52" i="42"/>
  <c r="H60" i="42"/>
  <c r="L55" i="42"/>
  <c r="L42" i="40"/>
  <c r="M42" i="40"/>
  <c r="P42" i="40"/>
  <c r="J29" i="21" l="1"/>
  <c r="J19" i="61"/>
  <c r="AO70" i="59" a="1"/>
  <c r="AO70" i="59" s="1"/>
  <c r="AO71" i="59" a="1"/>
  <c r="AO71" i="59" s="1"/>
  <c r="AO74" i="59" a="1"/>
  <c r="AO74" i="59" s="1"/>
  <c r="AO72" i="59" a="1"/>
  <c r="AO72" i="59" s="1"/>
  <c r="AO73" i="59" a="1"/>
  <c r="AO73" i="59" s="1"/>
  <c r="AO69" i="59" a="1"/>
  <c r="AO69" i="59" s="1"/>
  <c r="AO65" i="59" a="1"/>
  <c r="AO65" i="59" s="1"/>
  <c r="AO67" i="59" a="1"/>
  <c r="AO67" i="59" s="1"/>
  <c r="AO64" i="59" a="1"/>
  <c r="AO64" i="59" s="1"/>
  <c r="AO66" i="59" a="1"/>
  <c r="AO66" i="59" s="1"/>
  <c r="AO63" i="59" a="1"/>
  <c r="AO63" i="59" s="1"/>
  <c r="AO68" i="59" a="1"/>
  <c r="AO68" i="59" s="1"/>
  <c r="AP60" i="59" a="1"/>
  <c r="AP60" i="59" s="1"/>
  <c r="AP56" i="59" a="1"/>
  <c r="AP56" i="59" s="1"/>
  <c r="AP61" i="59" a="1"/>
  <c r="AP61" i="59" s="1"/>
  <c r="AP57" i="59" a="1"/>
  <c r="AP57" i="59" s="1"/>
  <c r="AP62" i="59" a="1"/>
  <c r="AP62" i="59" s="1"/>
  <c r="AP58" i="59" a="1"/>
  <c r="AP58" i="59" s="1"/>
  <c r="AP59" i="59" a="1"/>
  <c r="AP59" i="59" s="1"/>
  <c r="AP54" i="59" a="1"/>
  <c r="AP54" i="59" s="1"/>
  <c r="AP53" i="59" a="1"/>
  <c r="AP53" i="59" s="1"/>
  <c r="AP52" i="59" a="1"/>
  <c r="AP52" i="59" s="1"/>
  <c r="AP55" i="59" a="1"/>
  <c r="AP55" i="59" s="1"/>
  <c r="AP51" i="59" a="1"/>
  <c r="AP51" i="59" s="1"/>
  <c r="AO61" i="59" a="1"/>
  <c r="AO61" i="59" s="1"/>
  <c r="AO57" i="59" a="1"/>
  <c r="AO57" i="59" s="1"/>
  <c r="AO62" i="59" a="1"/>
  <c r="AO62" i="59" s="1"/>
  <c r="AO56" i="59" a="1"/>
  <c r="AO56" i="59" s="1"/>
  <c r="AO58" i="59" a="1"/>
  <c r="AO58" i="59" s="1"/>
  <c r="AO60" i="59" a="1"/>
  <c r="AO60" i="59" s="1"/>
  <c r="AO59" i="59" a="1"/>
  <c r="AO59" i="59" s="1"/>
  <c r="AO51" i="59" a="1"/>
  <c r="AO51" i="59" s="1"/>
  <c r="AO54" i="59" a="1"/>
  <c r="AO54" i="59" s="1"/>
  <c r="AO53" i="59" a="1"/>
  <c r="AO53" i="59" s="1"/>
  <c r="AO55" i="59" a="1"/>
  <c r="AO55" i="59" s="1"/>
  <c r="AO52" i="59" a="1"/>
  <c r="AO52" i="59" s="1"/>
  <c r="J59" i="61"/>
  <c r="J33" i="44"/>
  <c r="AK51" i="33"/>
  <c r="M31" i="59" s="1"/>
  <c r="M34" i="44"/>
  <c r="AA314" i="44" s="1" a="1"/>
  <c r="AA314" i="44" s="1"/>
  <c r="AS135" i="59"/>
  <c r="AS137" i="59"/>
  <c r="AS128" i="59"/>
  <c r="AS126" i="59"/>
  <c r="AS132" i="59"/>
  <c r="AS130" i="59"/>
  <c r="AS134" i="59"/>
  <c r="AS127" i="59"/>
  <c r="AS133" i="59"/>
  <c r="AS136" i="59"/>
  <c r="AS131" i="59"/>
  <c r="AS123" i="59"/>
  <c r="AS125" i="59"/>
  <c r="AS138" i="59"/>
  <c r="AS124" i="59"/>
  <c r="AS140" i="59"/>
  <c r="AS139" i="59"/>
  <c r="AS129" i="59"/>
  <c r="AS141" i="59"/>
  <c r="AS80" i="59"/>
  <c r="AS70" i="59"/>
  <c r="AS93" i="59"/>
  <c r="AS100" i="59"/>
  <c r="AS76" i="59"/>
  <c r="AS122" i="59"/>
  <c r="AS81" i="59"/>
  <c r="AS90" i="59"/>
  <c r="AS91" i="59"/>
  <c r="AS101" i="59"/>
  <c r="AS104" i="59"/>
  <c r="AS69" i="59"/>
  <c r="AS77" i="59"/>
  <c r="AS74" i="59"/>
  <c r="AS97" i="59"/>
  <c r="AS120" i="59"/>
  <c r="AS115" i="59"/>
  <c r="AS113" i="59"/>
  <c r="AS96" i="59"/>
  <c r="AS72" i="59"/>
  <c r="AS89" i="59"/>
  <c r="AS119" i="59"/>
  <c r="AS73" i="59"/>
  <c r="AS114" i="59"/>
  <c r="AS83" i="59"/>
  <c r="AS87" i="59"/>
  <c r="AS95" i="59"/>
  <c r="AS86" i="59"/>
  <c r="AS121" i="59"/>
  <c r="AS92" i="59"/>
  <c r="AS103" i="59"/>
  <c r="AS107" i="59"/>
  <c r="AS98" i="59"/>
  <c r="AS71" i="59"/>
  <c r="AS84" i="59"/>
  <c r="AS112" i="59"/>
  <c r="AS116" i="59"/>
  <c r="AS75" i="59"/>
  <c r="AS117" i="59"/>
  <c r="AS105" i="59"/>
  <c r="AS88" i="59"/>
  <c r="AS108" i="59"/>
  <c r="AS85" i="59"/>
  <c r="AS99" i="59"/>
  <c r="AS111" i="59"/>
  <c r="AS106" i="59"/>
  <c r="AS82" i="59"/>
  <c r="AS118" i="59"/>
  <c r="AS109" i="59"/>
  <c r="AS94" i="59"/>
  <c r="AS78" i="59"/>
  <c r="AS110" i="59"/>
  <c r="AS79" i="59"/>
  <c r="AS102" i="59"/>
  <c r="AS65" i="59"/>
  <c r="AS68" i="59"/>
  <c r="AS62" i="59"/>
  <c r="AS60" i="59"/>
  <c r="AS64" i="59"/>
  <c r="AS61" i="59"/>
  <c r="AS58" i="59"/>
  <c r="AS56" i="59"/>
  <c r="AS67" i="59"/>
  <c r="AS66" i="59"/>
  <c r="AS57" i="59"/>
  <c r="AS63" i="59"/>
  <c r="AS59" i="59"/>
  <c r="AI50" i="33"/>
  <c r="AJ50" i="33" s="1"/>
  <c r="AS52" i="59"/>
  <c r="AS54" i="59"/>
  <c r="L32" i="59"/>
  <c r="M35" i="44"/>
  <c r="AK52" i="33"/>
  <c r="AS53" i="59"/>
  <c r="AS55" i="59"/>
  <c r="X411" i="44" a="1"/>
  <c r="X411" i="44" s="1"/>
  <c r="X417" i="44" a="1"/>
  <c r="X417" i="44" s="1"/>
  <c r="X299" i="44" a="1"/>
  <c r="X299" i="44" s="1"/>
  <c r="X322" i="44" a="1"/>
  <c r="X322" i="44" s="1"/>
  <c r="X308" i="44" a="1"/>
  <c r="X308" i="44" s="1"/>
  <c r="X317" i="44" a="1"/>
  <c r="X317" i="44" s="1"/>
  <c r="X312" i="44" a="1"/>
  <c r="X312" i="44" s="1"/>
  <c r="X303" i="44" a="1"/>
  <c r="X303" i="44" s="1"/>
  <c r="X320" i="44" a="1"/>
  <c r="X320" i="44" s="1"/>
  <c r="AA305" i="44" a="1"/>
  <c r="AA305" i="44" s="1"/>
  <c r="AA304" i="44" a="1"/>
  <c r="AA304" i="44" s="1"/>
  <c r="AA300" i="44" a="1"/>
  <c r="AA300" i="44" s="1"/>
  <c r="AA313" i="44" a="1"/>
  <c r="AA313" i="44" s="1"/>
  <c r="Z313" i="44" a="1"/>
  <c r="Z313" i="44" s="1"/>
  <c r="Z305" i="44" a="1"/>
  <c r="Z305" i="44" s="1"/>
  <c r="Z304" i="44" a="1"/>
  <c r="Z304" i="44" s="1"/>
  <c r="Z300" i="44" a="1"/>
  <c r="Z300" i="44" s="1"/>
  <c r="Z314" i="44" a="1"/>
  <c r="Z314" i="44" s="1"/>
  <c r="X323" i="44" a="1"/>
  <c r="X323" i="44" s="1"/>
  <c r="X321" i="44" a="1"/>
  <c r="X321" i="44" s="1"/>
  <c r="N34" i="44"/>
  <c r="AL51" i="33"/>
  <c r="N31" i="59" s="1"/>
  <c r="AJ87" i="33"/>
  <c r="J42" i="40"/>
  <c r="H43" i="40" s="1"/>
  <c r="H44" i="40" s="1"/>
  <c r="L72" i="42"/>
  <c r="L73" i="42" s="1"/>
  <c r="AI86" i="33"/>
  <c r="AG44" i="33"/>
  <c r="AH44" i="33" s="1"/>
  <c r="AC43" i="33"/>
  <c r="AD43" i="33" s="1"/>
  <c r="AE43" i="33" s="1"/>
  <c r="AF43" i="33" s="1"/>
  <c r="AG43" i="33" s="1"/>
  <c r="AF83" i="33"/>
  <c r="AG83" i="33" s="1"/>
  <c r="AH83" i="33" s="1"/>
  <c r="AI83" i="33" s="1"/>
  <c r="AJ83" i="33" s="1"/>
  <c r="AK83" i="33" s="1"/>
  <c r="AL83" i="33" s="1"/>
  <c r="AM83" i="33" s="1"/>
  <c r="AE46" i="33"/>
  <c r="AF46" i="33" s="1"/>
  <c r="AG46" i="33" s="1"/>
  <c r="K33" i="44"/>
  <c r="W31" i="33"/>
  <c r="AG45" i="33"/>
  <c r="AG47" i="33"/>
  <c r="AG35" i="33"/>
  <c r="AG40" i="33"/>
  <c r="AG30" i="33"/>
  <c r="AG36" i="33"/>
  <c r="AG37" i="33"/>
  <c r="AG39" i="33"/>
  <c r="AG38" i="33"/>
  <c r="AG42" i="33"/>
  <c r="AH48" i="33"/>
  <c r="AI48" i="33" s="1"/>
  <c r="J31" i="44"/>
  <c r="AH85" i="33"/>
  <c r="AG33" i="33"/>
  <c r="AG34" i="33"/>
  <c r="AG32" i="33"/>
  <c r="AG41" i="33"/>
  <c r="AH49" i="33"/>
  <c r="AI49" i="33" s="1"/>
  <c r="J32" i="44"/>
  <c r="AG84" i="33"/>
  <c r="AH84" i="33" s="1"/>
  <c r="AI84" i="33" s="1"/>
  <c r="AJ84" i="33" s="1"/>
  <c r="AK84" i="33" s="1"/>
  <c r="AL84" i="33" s="1"/>
  <c r="AM84" i="33" s="1"/>
  <c r="H20" i="39" s="1"/>
  <c r="K19" i="61" l="1"/>
  <c r="K29" i="21"/>
  <c r="AQ59" i="59" a="1"/>
  <c r="AQ59" i="59" s="1"/>
  <c r="AQ61" i="59" a="1"/>
  <c r="AQ61" i="59" s="1"/>
  <c r="AQ60" i="59" a="1"/>
  <c r="AQ60" i="59" s="1"/>
  <c r="AQ56" i="59" a="1"/>
  <c r="AQ56" i="59" s="1"/>
  <c r="AV56" i="59" s="1"/>
  <c r="AQ58" i="59" a="1"/>
  <c r="AQ58" i="59" s="1"/>
  <c r="AQ57" i="59" a="1"/>
  <c r="AQ57" i="59" s="1"/>
  <c r="AQ62" i="59" a="1"/>
  <c r="AQ62" i="59" s="1"/>
  <c r="AQ53" i="59" a="1"/>
  <c r="AQ53" i="59" s="1"/>
  <c r="AV53" i="59" s="1"/>
  <c r="AQ55" i="59" a="1"/>
  <c r="AQ55" i="59" s="1"/>
  <c r="AQ52" i="59" a="1"/>
  <c r="AQ52" i="59" s="1"/>
  <c r="AQ54" i="59" a="1"/>
  <c r="AQ54" i="59" s="1"/>
  <c r="AQ51" i="59" a="1"/>
  <c r="AQ51" i="59" s="1"/>
  <c r="AV51" i="59" s="1"/>
  <c r="AP69" i="59" a="1"/>
  <c r="AP69" i="59" s="1"/>
  <c r="AP73" i="59" a="1"/>
  <c r="AP73" i="59" s="1"/>
  <c r="AP72" i="59" a="1"/>
  <c r="AP72" i="59" s="1"/>
  <c r="AP70" i="59" a="1"/>
  <c r="AP70" i="59" s="1"/>
  <c r="AP71" i="59" a="1"/>
  <c r="AP71" i="59" s="1"/>
  <c r="AP74" i="59" a="1"/>
  <c r="AP74" i="59" s="1"/>
  <c r="AP68" i="59" a="1"/>
  <c r="AP68" i="59" s="1"/>
  <c r="AP64" i="59" a="1"/>
  <c r="AP64" i="59" s="1"/>
  <c r="AP66" i="59" a="1"/>
  <c r="AP66" i="59" s="1"/>
  <c r="AP65" i="59" a="1"/>
  <c r="AP65" i="59" s="1"/>
  <c r="AP63" i="59" a="1"/>
  <c r="AP63" i="59" s="1"/>
  <c r="AP67" i="59" a="1"/>
  <c r="AP67" i="59" s="1"/>
  <c r="K59" i="61"/>
  <c r="X511" i="44" a="1"/>
  <c r="X511" i="44" s="1"/>
  <c r="X500" i="44" a="1"/>
  <c r="X500" i="44" s="1"/>
  <c r="X434" i="44" a="1"/>
  <c r="X434" i="44" s="1"/>
  <c r="X492" i="44" a="1"/>
  <c r="X492" i="44" s="1"/>
  <c r="X501" i="44" a="1"/>
  <c r="X501" i="44" s="1"/>
  <c r="X495" i="44" a="1"/>
  <c r="X495" i="44" s="1"/>
  <c r="X477" i="44" a="1"/>
  <c r="X477" i="44" s="1"/>
  <c r="X498" i="44" a="1"/>
  <c r="X498" i="44" s="1"/>
  <c r="X494" i="44" a="1"/>
  <c r="X494" i="44" s="1"/>
  <c r="X513" i="44" a="1"/>
  <c r="X513" i="44" s="1"/>
  <c r="X476" i="44" a="1"/>
  <c r="X476" i="44" s="1"/>
  <c r="Y489" i="44" a="1"/>
  <c r="Y489" i="44" s="1"/>
  <c r="Y467" i="44" a="1"/>
  <c r="Y467" i="44" s="1"/>
  <c r="Y490" i="44" a="1"/>
  <c r="Y490" i="44" s="1"/>
  <c r="Y497" i="44" a="1"/>
  <c r="Y497" i="44" s="1"/>
  <c r="Y491" i="44" a="1"/>
  <c r="Y491" i="44" s="1"/>
  <c r="X491" i="44" a="1"/>
  <c r="X491" i="44" s="1"/>
  <c r="X497" i="44" a="1"/>
  <c r="X497" i="44" s="1"/>
  <c r="X489" i="44" a="1"/>
  <c r="X489" i="44" s="1"/>
  <c r="X490" i="44" a="1"/>
  <c r="X490" i="44" s="1"/>
  <c r="X467" i="44" a="1"/>
  <c r="X467" i="44" s="1"/>
  <c r="AV57" i="59"/>
  <c r="AV62" i="59"/>
  <c r="AV60" i="59"/>
  <c r="AV59" i="59"/>
  <c r="AV58" i="59"/>
  <c r="AV61" i="59"/>
  <c r="AV54" i="59"/>
  <c r="AV55" i="59"/>
  <c r="AV52" i="59"/>
  <c r="AU69" i="59"/>
  <c r="AU73" i="59"/>
  <c r="AU71" i="59"/>
  <c r="AU74" i="59"/>
  <c r="AU72" i="59"/>
  <c r="AU124" i="59"/>
  <c r="AT124" i="59"/>
  <c r="AT139" i="59"/>
  <c r="AU139" i="59"/>
  <c r="AU133" i="59"/>
  <c r="AT133" i="59"/>
  <c r="AU127" i="59"/>
  <c r="AT127" i="59"/>
  <c r="AU130" i="59"/>
  <c r="AT130" i="59"/>
  <c r="AU137" i="59"/>
  <c r="AT137" i="59"/>
  <c r="AU131" i="59"/>
  <c r="AT131" i="59"/>
  <c r="AU126" i="59"/>
  <c r="AT126" i="59"/>
  <c r="AT141" i="59"/>
  <c r="AU141" i="59"/>
  <c r="AU129" i="59"/>
  <c r="AT129" i="59"/>
  <c r="AT123" i="59"/>
  <c r="AU123" i="59"/>
  <c r="AU134" i="59"/>
  <c r="AT134" i="59"/>
  <c r="AT132" i="59"/>
  <c r="AU132" i="59"/>
  <c r="AT125" i="59"/>
  <c r="AU125" i="59"/>
  <c r="AT140" i="59"/>
  <c r="AU140" i="59"/>
  <c r="AT138" i="59"/>
  <c r="AU138" i="59"/>
  <c r="AT136" i="59"/>
  <c r="AU136" i="59"/>
  <c r="AU128" i="59"/>
  <c r="AT128" i="59"/>
  <c r="AU135" i="59"/>
  <c r="AT135" i="59"/>
  <c r="AU110" i="59"/>
  <c r="AT110" i="59"/>
  <c r="AT94" i="59"/>
  <c r="AU94" i="59"/>
  <c r="AU106" i="59"/>
  <c r="AT106" i="59"/>
  <c r="AT99" i="59"/>
  <c r="AU99" i="59"/>
  <c r="AT105" i="59"/>
  <c r="AU105" i="59"/>
  <c r="AT75" i="59"/>
  <c r="AU75" i="59"/>
  <c r="AU112" i="59"/>
  <c r="AT112" i="59"/>
  <c r="AT71" i="59"/>
  <c r="AT92" i="59"/>
  <c r="AU92" i="59"/>
  <c r="AU86" i="59"/>
  <c r="AT86" i="59"/>
  <c r="AU87" i="59"/>
  <c r="AT87" i="59"/>
  <c r="AT114" i="59"/>
  <c r="AU114" i="59"/>
  <c r="AU119" i="59"/>
  <c r="AT119" i="59"/>
  <c r="AT113" i="59"/>
  <c r="AU113" i="59"/>
  <c r="AT74" i="59"/>
  <c r="AU90" i="59"/>
  <c r="AT90" i="59"/>
  <c r="AT122" i="59"/>
  <c r="AU122" i="59"/>
  <c r="AT70" i="59"/>
  <c r="AU70" i="59"/>
  <c r="AT102" i="59"/>
  <c r="AU102" i="59"/>
  <c r="AT108" i="59"/>
  <c r="AU108" i="59"/>
  <c r="AT72" i="59"/>
  <c r="AU120" i="59"/>
  <c r="AT120" i="59"/>
  <c r="AT69" i="59"/>
  <c r="AU101" i="59"/>
  <c r="AT101" i="59"/>
  <c r="AT100" i="59"/>
  <c r="AU100" i="59"/>
  <c r="AU78" i="59"/>
  <c r="AT78" i="59"/>
  <c r="AU82" i="59"/>
  <c r="AT82" i="59"/>
  <c r="AU117" i="59"/>
  <c r="AT117" i="59"/>
  <c r="AT98" i="59"/>
  <c r="AU98" i="59"/>
  <c r="AT103" i="59"/>
  <c r="AU103" i="59"/>
  <c r="AU121" i="59"/>
  <c r="AT121" i="59"/>
  <c r="AU95" i="59"/>
  <c r="AT95" i="59"/>
  <c r="AU89" i="59"/>
  <c r="AT89" i="59"/>
  <c r="AU104" i="59"/>
  <c r="AT104" i="59"/>
  <c r="AU76" i="59"/>
  <c r="AT76" i="59"/>
  <c r="AU80" i="59"/>
  <c r="AT80" i="59"/>
  <c r="AU118" i="59"/>
  <c r="AT118" i="59"/>
  <c r="AT107" i="59"/>
  <c r="AU107" i="59"/>
  <c r="AT79" i="59"/>
  <c r="AU79" i="59"/>
  <c r="AT109" i="59"/>
  <c r="AU109" i="59"/>
  <c r="AU111" i="59"/>
  <c r="AT111" i="59"/>
  <c r="AT85" i="59"/>
  <c r="AU85" i="59"/>
  <c r="AU88" i="59"/>
  <c r="AT88" i="59"/>
  <c r="AT116" i="59"/>
  <c r="AU116" i="59"/>
  <c r="AT84" i="59"/>
  <c r="AU84" i="59"/>
  <c r="AU83" i="59"/>
  <c r="AT83" i="59"/>
  <c r="AT73" i="59"/>
  <c r="AU96" i="59"/>
  <c r="AT96" i="59"/>
  <c r="AU115" i="59"/>
  <c r="AT115" i="59"/>
  <c r="AT97" i="59"/>
  <c r="AU97" i="59"/>
  <c r="AU77" i="59"/>
  <c r="AT77" i="59"/>
  <c r="AU91" i="59"/>
  <c r="AT91" i="59"/>
  <c r="AU81" i="59"/>
  <c r="AT81" i="59"/>
  <c r="AU93" i="59"/>
  <c r="AT93" i="59"/>
  <c r="AT63" i="59"/>
  <c r="AT61" i="59"/>
  <c r="AT68" i="59"/>
  <c r="AT66" i="59"/>
  <c r="AT56" i="59"/>
  <c r="AT60" i="59"/>
  <c r="AT57" i="59"/>
  <c r="AT64" i="59"/>
  <c r="AT59" i="59"/>
  <c r="AT67" i="59"/>
  <c r="AT58" i="59"/>
  <c r="AT62" i="59"/>
  <c r="AT65" i="59"/>
  <c r="M50" i="44"/>
  <c r="AT53" i="59"/>
  <c r="AT54" i="59"/>
  <c r="AI85" i="33"/>
  <c r="M32" i="59"/>
  <c r="N35" i="44"/>
  <c r="AL52" i="33"/>
  <c r="AT52" i="59"/>
  <c r="O34" i="44"/>
  <c r="AC314" i="44" s="1" a="1"/>
  <c r="AC314" i="44" s="1"/>
  <c r="AT55" i="59"/>
  <c r="Y411" i="44" a="1"/>
  <c r="Y411" i="44" s="1"/>
  <c r="Y417" i="44" a="1"/>
  <c r="Y417" i="44" s="1"/>
  <c r="X410" i="44" a="1"/>
  <c r="X410" i="44" s="1"/>
  <c r="X398" i="44" a="1"/>
  <c r="X398" i="44" s="1"/>
  <c r="X408" i="44" a="1"/>
  <c r="X408" i="44" s="1"/>
  <c r="X341" i="44" a="1"/>
  <c r="X341" i="44" s="1"/>
  <c r="X405" i="44" a="1"/>
  <c r="X405" i="44" s="1"/>
  <c r="Y322" i="44" a="1"/>
  <c r="Y322" i="44" s="1"/>
  <c r="Y308" i="44" a="1"/>
  <c r="Y308" i="44" s="1"/>
  <c r="Y303" i="44" a="1"/>
  <c r="Y303" i="44" s="1"/>
  <c r="Y312" i="44" a="1"/>
  <c r="Y312" i="44" s="1"/>
  <c r="Y299" i="44" a="1"/>
  <c r="Y299" i="44" s="1"/>
  <c r="Y317" i="44" a="1"/>
  <c r="Y317" i="44" s="1"/>
  <c r="Y320" i="44" a="1"/>
  <c r="Y320" i="44" s="1"/>
  <c r="AC304" i="44" a="1"/>
  <c r="AC304" i="44" s="1"/>
  <c r="AC300" i="44" a="1"/>
  <c r="AC300" i="44" s="1"/>
  <c r="AC313" i="44" a="1"/>
  <c r="AC313" i="44" s="1"/>
  <c r="X340" i="44" a="1"/>
  <c r="X340" i="44" s="1"/>
  <c r="X324" i="44" a="1"/>
  <c r="X324" i="44" s="1"/>
  <c r="X178" i="44" a="1"/>
  <c r="X178" i="44" s="1"/>
  <c r="X179" i="44" a="1"/>
  <c r="X179" i="44" s="1"/>
  <c r="Y321" i="44" a="1"/>
  <c r="Y321" i="44" s="1"/>
  <c r="Y323" i="44" a="1"/>
  <c r="Y323" i="44" s="1"/>
  <c r="AB313" i="44" a="1"/>
  <c r="AB313" i="44" s="1"/>
  <c r="AB304" i="44" a="1"/>
  <c r="AB304" i="44" s="1"/>
  <c r="AB300" i="44" a="1"/>
  <c r="AB300" i="44" s="1"/>
  <c r="AB305" i="44" a="1"/>
  <c r="AB305" i="44" s="1"/>
  <c r="AB314" i="44" a="1"/>
  <c r="AB314" i="44" s="1"/>
  <c r="AK87" i="33"/>
  <c r="AK50" i="33"/>
  <c r="H18" i="36" s="1"/>
  <c r="AJ48" i="33"/>
  <c r="AJ49" i="33"/>
  <c r="H35" i="21"/>
  <c r="J27" i="44"/>
  <c r="X514" i="44" s="1" a="1"/>
  <c r="X514" i="44" s="1"/>
  <c r="M33" i="44"/>
  <c r="L33" i="44"/>
  <c r="AJ86" i="33"/>
  <c r="K27" i="44"/>
  <c r="Y514" i="44" s="1" a="1"/>
  <c r="Y514" i="44" s="1"/>
  <c r="AI44" i="33"/>
  <c r="AJ44" i="33" s="1"/>
  <c r="K31" i="44"/>
  <c r="K32" i="44"/>
  <c r="L50" i="44"/>
  <c r="X31" i="33"/>
  <c r="AH39" i="33"/>
  <c r="AI39" i="33" s="1"/>
  <c r="AJ39" i="33" s="1"/>
  <c r="J22" i="44"/>
  <c r="X392" i="44" s="1" a="1"/>
  <c r="X392" i="44" s="1"/>
  <c r="AH46" i="33"/>
  <c r="J29" i="44"/>
  <c r="AH47" i="33"/>
  <c r="J30" i="44"/>
  <c r="AH43" i="33"/>
  <c r="J26" i="44"/>
  <c r="X419" i="44" s="1" a="1"/>
  <c r="X419" i="44" s="1"/>
  <c r="AH42" i="33"/>
  <c r="AI42" i="33" s="1"/>
  <c r="AJ42" i="33" s="1"/>
  <c r="J25" i="44"/>
  <c r="AH36" i="33"/>
  <c r="AI36" i="33" s="1"/>
  <c r="AJ36" i="33" s="1"/>
  <c r="J19" i="44"/>
  <c r="AH38" i="33"/>
  <c r="AI38" i="33" s="1"/>
  <c r="AJ38" i="33" s="1"/>
  <c r="J21" i="44"/>
  <c r="AH37" i="33"/>
  <c r="AI37" i="33" s="1"/>
  <c r="AJ37" i="33" s="1"/>
  <c r="J20" i="44"/>
  <c r="X465" i="44" s="1" a="1"/>
  <c r="X465" i="44" s="1"/>
  <c r="AH30" i="33"/>
  <c r="J13" i="44"/>
  <c r="AH32" i="33"/>
  <c r="AI32" i="33" s="1"/>
  <c r="AJ32" i="33" s="1"/>
  <c r="J15" i="44"/>
  <c r="AH41" i="33"/>
  <c r="AI41" i="33" s="1"/>
  <c r="AJ41" i="33" s="1"/>
  <c r="J24" i="44"/>
  <c r="AH34" i="33"/>
  <c r="AI34" i="33" s="1"/>
  <c r="AJ34" i="33" s="1"/>
  <c r="J17" i="44"/>
  <c r="AH33" i="33"/>
  <c r="AI33" i="33" s="1"/>
  <c r="AJ33" i="33" s="1"/>
  <c r="J16" i="44"/>
  <c r="AH40" i="33"/>
  <c r="AI40" i="33" s="1"/>
  <c r="AJ40" i="33" s="1"/>
  <c r="J23" i="44"/>
  <c r="AH35" i="33"/>
  <c r="AI35" i="33" s="1"/>
  <c r="AJ35" i="33" s="1"/>
  <c r="J18" i="44"/>
  <c r="AH45" i="33"/>
  <c r="J28" i="44"/>
  <c r="AQ74" i="59" l="1" a="1"/>
  <c r="AQ74" i="59" s="1"/>
  <c r="AQ70" i="59" a="1"/>
  <c r="AQ70" i="59" s="1"/>
  <c r="AQ71" i="59" a="1"/>
  <c r="AQ71" i="59" s="1"/>
  <c r="AQ69" i="59" a="1"/>
  <c r="AQ69" i="59" s="1"/>
  <c r="AQ72" i="59" a="1"/>
  <c r="AQ72" i="59" s="1"/>
  <c r="AQ73" i="59" a="1"/>
  <c r="AQ73" i="59" s="1"/>
  <c r="AQ67" i="59" a="1"/>
  <c r="AQ67" i="59" s="1"/>
  <c r="AQ63" i="59" a="1"/>
  <c r="AQ63" i="59" s="1"/>
  <c r="AQ66" i="59" a="1"/>
  <c r="AQ66" i="59" s="1"/>
  <c r="AQ68" i="59" a="1"/>
  <c r="AQ68" i="59" s="1"/>
  <c r="AQ65" i="59" a="1"/>
  <c r="AQ65" i="59" s="1"/>
  <c r="AQ64" i="59" a="1"/>
  <c r="AQ64" i="59" s="1"/>
  <c r="AV64" i="59" s="1"/>
  <c r="X457" i="44" a="1"/>
  <c r="X457" i="44" s="1"/>
  <c r="X478" i="44" a="1"/>
  <c r="X478" i="44" s="1"/>
  <c r="X461" i="44" a="1"/>
  <c r="X461" i="44" s="1"/>
  <c r="X454" i="44" a="1"/>
  <c r="X454" i="44" s="1"/>
  <c r="X452" i="44" a="1"/>
  <c r="X452" i="44" s="1"/>
  <c r="X484" i="44" a="1"/>
  <c r="X484" i="44" s="1"/>
  <c r="X462" i="44" a="1"/>
  <c r="X462" i="44" s="1"/>
  <c r="X481" i="44" a="1"/>
  <c r="X481" i="44" s="1"/>
  <c r="X487" i="44" a="1"/>
  <c r="X487" i="44" s="1"/>
  <c r="X480" i="44" a="1"/>
  <c r="X480" i="44" s="1"/>
  <c r="X456" i="44" a="1"/>
  <c r="X456" i="44" s="1"/>
  <c r="X455" i="44" a="1"/>
  <c r="X455" i="44" s="1"/>
  <c r="X453" i="44" a="1"/>
  <c r="X453" i="44" s="1"/>
  <c r="X479" i="44" a="1"/>
  <c r="X479" i="44" s="1"/>
  <c r="X460" i="44" a="1"/>
  <c r="X460" i="44" s="1"/>
  <c r="X482" i="44" a="1"/>
  <c r="X482" i="44" s="1"/>
  <c r="X458" i="44" a="1"/>
  <c r="X458" i="44" s="1"/>
  <c r="X459" i="44" a="1"/>
  <c r="X459" i="44" s="1"/>
  <c r="X463" i="44" a="1"/>
  <c r="X463" i="44" s="1"/>
  <c r="X451" i="44" a="1"/>
  <c r="X451" i="44" s="1"/>
  <c r="X450" i="44" a="1"/>
  <c r="X450" i="44" s="1"/>
  <c r="X432" i="44" a="1"/>
  <c r="X432" i="44" s="1"/>
  <c r="X509" i="44" a="1"/>
  <c r="X509" i="44" s="1"/>
  <c r="Y434" i="44" a="1"/>
  <c r="Y434" i="44" s="1"/>
  <c r="Y476" i="44" a="1"/>
  <c r="Y476" i="44" s="1"/>
  <c r="Y494" i="44" a="1"/>
  <c r="Y494" i="44" s="1"/>
  <c r="Y513" i="44" a="1"/>
  <c r="Y513" i="44" s="1"/>
  <c r="Y498" i="44" a="1"/>
  <c r="Y498" i="44" s="1"/>
  <c r="Y495" i="44" a="1"/>
  <c r="Y495" i="44" s="1"/>
  <c r="Y492" i="44" a="1"/>
  <c r="Y492" i="44" s="1"/>
  <c r="Y501" i="44" a="1"/>
  <c r="Y501" i="44" s="1"/>
  <c r="Y477" i="44" a="1"/>
  <c r="Y477" i="44" s="1"/>
  <c r="Y500" i="44" a="1"/>
  <c r="Y500" i="44" s="1"/>
  <c r="Y511" i="44" a="1"/>
  <c r="Y511" i="44" s="1"/>
  <c r="Z491" i="44" a="1"/>
  <c r="Z491" i="44" s="1"/>
  <c r="Z490" i="44" a="1"/>
  <c r="Z490" i="44" s="1"/>
  <c r="Z497" i="44" a="1"/>
  <c r="Z497" i="44" s="1"/>
  <c r="Z489" i="44" a="1"/>
  <c r="Z489" i="44" s="1"/>
  <c r="Z467" i="44" a="1"/>
  <c r="Z467" i="44" s="1"/>
  <c r="Y510" i="44" a="1"/>
  <c r="Y510" i="44" s="1"/>
  <c r="Y502" i="44" a="1"/>
  <c r="Y502" i="44" s="1"/>
  <c r="Y508" i="44" a="1"/>
  <c r="Y508" i="44" s="1"/>
  <c r="Y503" i="44" a="1"/>
  <c r="Y503" i="44" s="1"/>
  <c r="X503" i="44" a="1"/>
  <c r="X503" i="44" s="1"/>
  <c r="X502" i="44" a="1"/>
  <c r="X502" i="44" s="1"/>
  <c r="X510" i="44" a="1"/>
  <c r="X510" i="44" s="1"/>
  <c r="X508" i="44" a="1"/>
  <c r="X508" i="44" s="1"/>
  <c r="X440" i="44" a="1"/>
  <c r="X440" i="44" s="1"/>
  <c r="X447" i="44" a="1"/>
  <c r="X447" i="44" s="1"/>
  <c r="X485" i="44" a="1"/>
  <c r="X485" i="44" s="1"/>
  <c r="X443" i="44" a="1"/>
  <c r="X443" i="44" s="1"/>
  <c r="X486" i="44" a="1"/>
  <c r="X486" i="44" s="1"/>
  <c r="X449" i="44" a="1"/>
  <c r="X449" i="44" s="1"/>
  <c r="X448" i="44" a="1"/>
  <c r="X448" i="44" s="1"/>
  <c r="X442" i="44" a="1"/>
  <c r="X442" i="44" s="1"/>
  <c r="X446" i="44" a="1"/>
  <c r="X446" i="44" s="1"/>
  <c r="X441" i="44" a="1"/>
  <c r="X441" i="44" s="1"/>
  <c r="X439" i="44" a="1"/>
  <c r="X439" i="44" s="1"/>
  <c r="X437" i="44" a="1"/>
  <c r="X437" i="44" s="1"/>
  <c r="X444" i="44" a="1"/>
  <c r="X444" i="44" s="1"/>
  <c r="X445" i="44" a="1"/>
  <c r="X445" i="44" s="1"/>
  <c r="X438" i="44" a="1"/>
  <c r="X438" i="44" s="1"/>
  <c r="X483" i="44" a="1"/>
  <c r="X483" i="44" s="1"/>
  <c r="X469" i="44" a="1"/>
  <c r="X469" i="44" s="1"/>
  <c r="X504" i="44" a="1"/>
  <c r="X504" i="44" s="1"/>
  <c r="X499" i="44" a="1"/>
  <c r="X499" i="44" s="1"/>
  <c r="X493" i="44" a="1"/>
  <c r="X493" i="44" s="1"/>
  <c r="X488" i="44" a="1"/>
  <c r="X488" i="44" s="1"/>
  <c r="X468" i="44" a="1"/>
  <c r="X468" i="44" s="1"/>
  <c r="X496" i="44" a="1"/>
  <c r="X496" i="44" s="1"/>
  <c r="X505" i="44" a="1"/>
  <c r="X505" i="44" s="1"/>
  <c r="X475" i="44" a="1"/>
  <c r="X475" i="44" s="1"/>
  <c r="X470" i="44" a="1"/>
  <c r="X470" i="44" s="1"/>
  <c r="X472" i="44" a="1"/>
  <c r="X472" i="44" s="1"/>
  <c r="X464" i="44" a="1"/>
  <c r="X464" i="44" s="1"/>
  <c r="X471" i="44" a="1"/>
  <c r="X471" i="44" s="1"/>
  <c r="X512" i="44" a="1"/>
  <c r="X512" i="44" s="1"/>
  <c r="X507" i="44" a="1"/>
  <c r="X507" i="44" s="1"/>
  <c r="X436" i="44" a="1"/>
  <c r="X436" i="44" s="1"/>
  <c r="X506" i="44" a="1"/>
  <c r="X506" i="44" s="1"/>
  <c r="X466" i="44" a="1"/>
  <c r="X466" i="44" s="1"/>
  <c r="AA497" i="44" a="1"/>
  <c r="AA497" i="44" s="1"/>
  <c r="AA491" i="44" a="1"/>
  <c r="AA491" i="44" s="1"/>
  <c r="AA489" i="44" a="1"/>
  <c r="AA489" i="44" s="1"/>
  <c r="AA490" i="44" a="1"/>
  <c r="AA490" i="44" s="1"/>
  <c r="AA467" i="44" a="1"/>
  <c r="AA467" i="44" s="1"/>
  <c r="AV71" i="59"/>
  <c r="AV72" i="59"/>
  <c r="AV74" i="59"/>
  <c r="AV70" i="59"/>
  <c r="AV73" i="59"/>
  <c r="AV69" i="59"/>
  <c r="AV66" i="59"/>
  <c r="AV65" i="59"/>
  <c r="AV63" i="59"/>
  <c r="AV68" i="59"/>
  <c r="AV67" i="59"/>
  <c r="AU67" i="59"/>
  <c r="AU66" i="59"/>
  <c r="AU62" i="59"/>
  <c r="AU64" i="59"/>
  <c r="AU60" i="59"/>
  <c r="AU61" i="59"/>
  <c r="AU65" i="59"/>
  <c r="AU59" i="59"/>
  <c r="AU57" i="59"/>
  <c r="AU56" i="59"/>
  <c r="AU63" i="59"/>
  <c r="AU58" i="59"/>
  <c r="AU68" i="59"/>
  <c r="AC305" i="44" a="1"/>
  <c r="AC305" i="44" s="1"/>
  <c r="AK86" i="33"/>
  <c r="AU51" i="59"/>
  <c r="AU53" i="59"/>
  <c r="AL50" i="33"/>
  <c r="AJ85" i="33"/>
  <c r="AL87" i="33"/>
  <c r="AM87" i="33" s="1"/>
  <c r="AU55" i="59"/>
  <c r="AU52" i="59"/>
  <c r="AU54" i="59"/>
  <c r="AT51" i="59"/>
  <c r="O35" i="44"/>
  <c r="N32" i="59"/>
  <c r="X433" i="44" a="1"/>
  <c r="X433" i="44" s="1"/>
  <c r="X435" i="44" a="1"/>
  <c r="X435" i="44" s="1"/>
  <c r="X181" i="44" a="1"/>
  <c r="X181" i="44" s="1"/>
  <c r="X388" i="44" a="1"/>
  <c r="X388" i="44" s="1"/>
  <c r="X389" i="44" a="1"/>
  <c r="X389" i="44" s="1"/>
  <c r="X427" i="44" a="1"/>
  <c r="X427" i="44" s="1"/>
  <c r="X429" i="44" a="1"/>
  <c r="X429" i="44" s="1"/>
  <c r="X426" i="44" a="1"/>
  <c r="X426" i="44" s="1"/>
  <c r="X407" i="44" a="1"/>
  <c r="X407" i="44" s="1"/>
  <c r="X412" i="44" a="1"/>
  <c r="X412" i="44" s="1"/>
  <c r="X404" i="44" a="1"/>
  <c r="X404" i="44" s="1"/>
  <c r="X374" i="44" a="1"/>
  <c r="X374" i="44" s="1"/>
  <c r="X413" i="44" a="1"/>
  <c r="X413" i="44" s="1"/>
  <c r="X409" i="44" a="1"/>
  <c r="X409" i="44" s="1"/>
  <c r="X414" i="44" a="1"/>
  <c r="X414" i="44" s="1"/>
  <c r="X428" i="44" a="1"/>
  <c r="X428" i="44" s="1"/>
  <c r="X406" i="44" a="1"/>
  <c r="X406" i="44" s="1"/>
  <c r="X400" i="44" a="1"/>
  <c r="X400" i="44" s="1"/>
  <c r="X339" i="44" a="1"/>
  <c r="X339" i="44" s="1"/>
  <c r="X421" i="44" a="1"/>
  <c r="X421" i="44" s="1"/>
  <c r="X415" i="44" a="1"/>
  <c r="X415" i="44" s="1"/>
  <c r="X422" i="44" a="1"/>
  <c r="X422" i="44" s="1"/>
  <c r="X430" i="44" a="1"/>
  <c r="X430" i="44" s="1"/>
  <c r="Y405" i="44" a="1"/>
  <c r="Y405" i="44" s="1"/>
  <c r="Y408" i="44" a="1"/>
  <c r="Y408" i="44" s="1"/>
  <c r="Y341" i="44" a="1"/>
  <c r="Y341" i="44" s="1"/>
  <c r="Z417" i="44" a="1"/>
  <c r="Z417" i="44" s="1"/>
  <c r="Z411" i="44" a="1"/>
  <c r="Z411" i="44" s="1"/>
  <c r="X380" i="44" a="1"/>
  <c r="X380" i="44" s="1"/>
  <c r="X348" i="44" a="1"/>
  <c r="X348" i="44" s="1"/>
  <c r="X344" i="44" a="1"/>
  <c r="X344" i="44" s="1"/>
  <c r="X381" i="44" a="1"/>
  <c r="X381" i="44" s="1"/>
  <c r="X353" i="44" a="1"/>
  <c r="X353" i="44" s="1"/>
  <c r="X345" i="44" a="1"/>
  <c r="X345" i="44" s="1"/>
  <c r="X378" i="44" a="1"/>
  <c r="X378" i="44" s="1"/>
  <c r="X354" i="44" a="1"/>
  <c r="X354" i="44" s="1"/>
  <c r="X379" i="44" a="1"/>
  <c r="X379" i="44" s="1"/>
  <c r="X352" i="44" a="1"/>
  <c r="X352" i="44" s="1"/>
  <c r="X351" i="44" a="1"/>
  <c r="X351" i="44" s="1"/>
  <c r="X347" i="44" a="1"/>
  <c r="X347" i="44" s="1"/>
  <c r="X343" i="44" a="1"/>
  <c r="X343" i="44" s="1"/>
  <c r="X350" i="44" a="1"/>
  <c r="X350" i="44" s="1"/>
  <c r="X346" i="44" a="1"/>
  <c r="X346" i="44" s="1"/>
  <c r="X349" i="44" a="1"/>
  <c r="X349" i="44" s="1"/>
  <c r="X342" i="44" a="1"/>
  <c r="X342" i="44" s="1"/>
  <c r="AA417" i="44" a="1"/>
  <c r="AA417" i="44" s="1"/>
  <c r="AA411" i="44" a="1"/>
  <c r="AA411" i="44" s="1"/>
  <c r="X399" i="44" a="1"/>
  <c r="X399" i="44" s="1"/>
  <c r="X385" i="44" a="1"/>
  <c r="X385" i="44" s="1"/>
  <c r="X364" i="44" a="1"/>
  <c r="X364" i="44" s="1"/>
  <c r="X376" i="44" a="1"/>
  <c r="X376" i="44" s="1"/>
  <c r="X369" i="44" a="1"/>
  <c r="X369" i="44" s="1"/>
  <c r="X372" i="44" a="1"/>
  <c r="X372" i="44" s="1"/>
  <c r="X383" i="44" a="1"/>
  <c r="X383" i="44" s="1"/>
  <c r="X361" i="44" a="1"/>
  <c r="X361" i="44" s="1"/>
  <c r="X367" i="44" a="1"/>
  <c r="X367" i="44" s="1"/>
  <c r="X362" i="44" a="1"/>
  <c r="X362" i="44" s="1"/>
  <c r="X375" i="44" a="1"/>
  <c r="X375" i="44" s="1"/>
  <c r="X373" i="44" a="1"/>
  <c r="X373" i="44" s="1"/>
  <c r="X365" i="44" a="1"/>
  <c r="X365" i="44" s="1"/>
  <c r="X384" i="44" a="1"/>
  <c r="X384" i="44" s="1"/>
  <c r="X382" i="44" a="1"/>
  <c r="X382" i="44" s="1"/>
  <c r="X370" i="44" a="1"/>
  <c r="X370" i="44" s="1"/>
  <c r="X368" i="44" a="1"/>
  <c r="X368" i="44" s="1"/>
  <c r="X363" i="44" a="1"/>
  <c r="X363" i="44" s="1"/>
  <c r="X359" i="44" a="1"/>
  <c r="X359" i="44" s="1"/>
  <c r="X355" i="44" a="1"/>
  <c r="X355" i="44" s="1"/>
  <c r="X356" i="44" a="1"/>
  <c r="X356" i="44" s="1"/>
  <c r="X357" i="44" a="1"/>
  <c r="X357" i="44" s="1"/>
  <c r="X366" i="44" a="1"/>
  <c r="X366" i="44" s="1"/>
  <c r="X360" i="44" a="1"/>
  <c r="X360" i="44" s="1"/>
  <c r="X377" i="44" a="1"/>
  <c r="X377" i="44" s="1"/>
  <c r="X358" i="44" a="1"/>
  <c r="X358" i="44" s="1"/>
  <c r="X371" i="44" a="1"/>
  <c r="X371" i="44" s="1"/>
  <c r="X240" i="44" a="1"/>
  <c r="X240" i="44" s="1"/>
  <c r="X418" i="44" a="1"/>
  <c r="X418" i="44" s="1"/>
  <c r="X234" i="44" a="1"/>
  <c r="X234" i="44" s="1"/>
  <c r="X431" i="44" a="1"/>
  <c r="X431" i="44" s="1"/>
  <c r="X416" i="44" a="1"/>
  <c r="X416" i="44" s="1"/>
  <c r="X397" i="44" a="1"/>
  <c r="X397" i="44" s="1"/>
  <c r="X396" i="44" a="1"/>
  <c r="X396" i="44" s="1"/>
  <c r="X403" i="44" a="1"/>
  <c r="X403" i="44" s="1"/>
  <c r="X423" i="44" a="1"/>
  <c r="X423" i="44" s="1"/>
  <c r="Y424" i="44" a="1"/>
  <c r="Y424" i="44" s="1"/>
  <c r="Y425" i="44" a="1"/>
  <c r="Y425" i="44" s="1"/>
  <c r="Y420" i="44" a="1"/>
  <c r="Y420" i="44" s="1"/>
  <c r="X391" i="44" a="1"/>
  <c r="X391" i="44" s="1"/>
  <c r="X402" i="44" a="1"/>
  <c r="X402" i="44" s="1"/>
  <c r="X395" i="44" a="1"/>
  <c r="X395" i="44" s="1"/>
  <c r="X393" i="44" a="1"/>
  <c r="X393" i="44" s="1"/>
  <c r="X394" i="44" a="1"/>
  <c r="X394" i="44" s="1"/>
  <c r="X387" i="44" a="1"/>
  <c r="X387" i="44" s="1"/>
  <c r="X386" i="44" a="1"/>
  <c r="X386" i="44" s="1"/>
  <c r="X401" i="44" a="1"/>
  <c r="X401" i="44" s="1"/>
  <c r="X286" i="44" a="1"/>
  <c r="X286" i="44" s="1"/>
  <c r="X420" i="44" a="1"/>
  <c r="X420" i="44" s="1"/>
  <c r="X424" i="44" a="1"/>
  <c r="X424" i="44" s="1"/>
  <c r="X425" i="44" a="1"/>
  <c r="X425" i="44" s="1"/>
  <c r="Y398" i="44" a="1"/>
  <c r="Y398" i="44" s="1"/>
  <c r="Y410" i="44" a="1"/>
  <c r="Y410" i="44" s="1"/>
  <c r="X319" i="44" a="1"/>
  <c r="X319" i="44" s="1"/>
  <c r="X311" i="44" a="1"/>
  <c r="X311" i="44" s="1"/>
  <c r="X302" i="44" a="1"/>
  <c r="X302" i="44" s="1"/>
  <c r="X316" i="44" a="1"/>
  <c r="X316" i="44" s="1"/>
  <c r="X307" i="44" a="1"/>
  <c r="X307" i="44" s="1"/>
  <c r="X298" i="44" a="1"/>
  <c r="X298" i="44" s="1"/>
  <c r="X222" i="44" a="1"/>
  <c r="X222" i="44" s="1"/>
  <c r="X226" i="44" a="1"/>
  <c r="X226" i="44" s="1"/>
  <c r="AA317" i="44" a="1"/>
  <c r="AA317" i="44" s="1"/>
  <c r="AA299" i="44" a="1"/>
  <c r="AA299" i="44" s="1"/>
  <c r="AA322" i="44" a="1"/>
  <c r="AA322" i="44" s="1"/>
  <c r="AA312" i="44" a="1"/>
  <c r="AA312" i="44" s="1"/>
  <c r="AA308" i="44" a="1"/>
  <c r="AA308" i="44" s="1"/>
  <c r="AA303" i="44" a="1"/>
  <c r="AA303" i="44" s="1"/>
  <c r="AA320" i="44" a="1"/>
  <c r="AA320" i="44" s="1"/>
  <c r="Z322" i="44" a="1"/>
  <c r="Z322" i="44" s="1"/>
  <c r="Z299" i="44" a="1"/>
  <c r="Z299" i="44" s="1"/>
  <c r="Z317" i="44" a="1"/>
  <c r="Z317" i="44" s="1"/>
  <c r="Z308" i="44" a="1"/>
  <c r="Z308" i="44" s="1"/>
  <c r="Z312" i="44" a="1"/>
  <c r="Z312" i="44" s="1"/>
  <c r="Z303" i="44" a="1"/>
  <c r="Z303" i="44" s="1"/>
  <c r="Z320" i="44" a="1"/>
  <c r="Z320" i="44" s="1"/>
  <c r="X230" i="44" a="1"/>
  <c r="X230" i="44" s="1"/>
  <c r="X177" i="44" a="1"/>
  <c r="X177" i="44" s="1"/>
  <c r="M31" i="44"/>
  <c r="AC323" i="44" a="1"/>
  <c r="AC323" i="44" s="1"/>
  <c r="AC321" i="44" a="1"/>
  <c r="AC321" i="44" s="1"/>
  <c r="X296" i="44" a="1"/>
  <c r="X296" i="44" s="1"/>
  <c r="X295" i="44" a="1"/>
  <c r="X295" i="44" s="1"/>
  <c r="X336" i="44" a="1"/>
  <c r="X336" i="44" s="1"/>
  <c r="X335" i="44" a="1"/>
  <c r="X335" i="44" s="1"/>
  <c r="X285" i="44" a="1"/>
  <c r="X285" i="44" s="1"/>
  <c r="X237" i="44" a="1"/>
  <c r="X237" i="44" s="1"/>
  <c r="X284" i="44" a="1"/>
  <c r="X284" i="44" s="1"/>
  <c r="X236" i="44" a="1"/>
  <c r="X236" i="44" s="1"/>
  <c r="X218" i="44" a="1"/>
  <c r="X218" i="44" s="1"/>
  <c r="X269" i="44" a="1"/>
  <c r="X269" i="44" s="1"/>
  <c r="X270" i="44" a="1"/>
  <c r="X270" i="44" s="1"/>
  <c r="X241" i="44" a="1"/>
  <c r="X241" i="44" s="1"/>
  <c r="X268" i="44" a="1"/>
  <c r="X268" i="44" s="1"/>
  <c r="X182" i="44" a="1"/>
  <c r="X182" i="44" s="1"/>
  <c r="X228" i="44" a="1"/>
  <c r="X228" i="44" s="1"/>
  <c r="X223" i="44" a="1"/>
  <c r="X223" i="44" s="1"/>
  <c r="X136" i="44" a="1"/>
  <c r="X136" i="44" s="1"/>
  <c r="X232" i="44" a="1"/>
  <c r="X232" i="44" s="1"/>
  <c r="X224" i="44" a="1"/>
  <c r="X224" i="44" s="1"/>
  <c r="X214" i="44" a="1"/>
  <c r="X214" i="44" s="1"/>
  <c r="X137" i="44" a="1"/>
  <c r="X137" i="44" s="1"/>
  <c r="X231" i="44" a="1"/>
  <c r="X231" i="44" s="1"/>
  <c r="X227" i="44" a="1"/>
  <c r="X227" i="44" s="1"/>
  <c r="X180" i="44" a="1"/>
  <c r="X180" i="44" s="1"/>
  <c r="X213" i="44" a="1"/>
  <c r="X213" i="44" s="1"/>
  <c r="X138" i="44" a="1"/>
  <c r="X138" i="44" s="1"/>
  <c r="X135" i="44" a="1"/>
  <c r="X135" i="44" s="1"/>
  <c r="X212" i="44" a="1"/>
  <c r="X212" i="44" s="1"/>
  <c r="X146" i="44" a="1"/>
  <c r="X146" i="44" s="1"/>
  <c r="X168" i="44" a="1"/>
  <c r="X168" i="44" s="1"/>
  <c r="X158" i="44" a="1"/>
  <c r="X158" i="44" s="1"/>
  <c r="X333" i="44" a="1"/>
  <c r="X333" i="44" s="1"/>
  <c r="X279" i="44" a="1"/>
  <c r="X279" i="44" s="1"/>
  <c r="X294" i="44" a="1"/>
  <c r="X294" i="44" s="1"/>
  <c r="X329" i="44" a="1"/>
  <c r="X329" i="44" s="1"/>
  <c r="X283" i="44" a="1"/>
  <c r="X283" i="44" s="1"/>
  <c r="X290" i="44" a="1"/>
  <c r="X290" i="44" s="1"/>
  <c r="X151" i="44" a="1"/>
  <c r="X151" i="44" s="1"/>
  <c r="X174" i="44" a="1"/>
  <c r="X174" i="44" s="1"/>
  <c r="X164" i="44" a="1"/>
  <c r="X164" i="44" s="1"/>
  <c r="X152" i="44" a="1"/>
  <c r="X152" i="44" s="1"/>
  <c r="X173" i="44" a="1"/>
  <c r="X173" i="44" s="1"/>
  <c r="X165" i="44" a="1"/>
  <c r="X165" i="44" s="1"/>
  <c r="X293" i="44" a="1"/>
  <c r="X293" i="44" s="1"/>
  <c r="X289" i="44" a="1"/>
  <c r="X289" i="44" s="1"/>
  <c r="X281" i="44" a="1"/>
  <c r="X281" i="44" s="1"/>
  <c r="X277" i="44" a="1"/>
  <c r="X277" i="44" s="1"/>
  <c r="X328" i="44" a="1"/>
  <c r="X328" i="44" s="1"/>
  <c r="X331" i="44" a="1"/>
  <c r="X331" i="44" s="1"/>
  <c r="X288" i="44" a="1"/>
  <c r="X288" i="44" s="1"/>
  <c r="X278" i="44" a="1"/>
  <c r="X278" i="44" s="1"/>
  <c r="X327" i="44" a="1"/>
  <c r="X327" i="44" s="1"/>
  <c r="X292" i="44" a="1"/>
  <c r="X292" i="44" s="1"/>
  <c r="X332" i="44" a="1"/>
  <c r="X332" i="44" s="1"/>
  <c r="X282" i="44" a="1"/>
  <c r="X282" i="44" s="1"/>
  <c r="X150" i="44" a="1"/>
  <c r="X150" i="44" s="1"/>
  <c r="X172" i="44" a="1"/>
  <c r="X172" i="44" s="1"/>
  <c r="X171" i="44" a="1"/>
  <c r="X171" i="44" s="1"/>
  <c r="X163" i="44" a="1"/>
  <c r="X163" i="44" s="1"/>
  <c r="X162" i="44" a="1"/>
  <c r="X162" i="44" s="1"/>
  <c r="X149" i="44" a="1"/>
  <c r="X149" i="44" s="1"/>
  <c r="X334" i="44" a="1"/>
  <c r="X334" i="44" s="1"/>
  <c r="X338" i="44" a="1"/>
  <c r="X338" i="44" s="1"/>
  <c r="X309" i="44" a="1"/>
  <c r="X309" i="44" s="1"/>
  <c r="Y340" i="44" a="1"/>
  <c r="Y340" i="44" s="1"/>
  <c r="Y324" i="44" a="1"/>
  <c r="Y324" i="44" s="1"/>
  <c r="Y286" i="44" a="1"/>
  <c r="Y286" i="44" s="1"/>
  <c r="Y178" i="44" a="1"/>
  <c r="Y178" i="44" s="1"/>
  <c r="Y179" i="44" a="1"/>
  <c r="Y179" i="44" s="1"/>
  <c r="Z321" i="44" a="1"/>
  <c r="Z321" i="44" s="1"/>
  <c r="Z323" i="44" a="1"/>
  <c r="Z323" i="44" s="1"/>
  <c r="AA324" i="44" a="1"/>
  <c r="AA324" i="44" s="1"/>
  <c r="X326" i="44" a="1"/>
  <c r="X326" i="44" s="1"/>
  <c r="X280" i="44" a="1"/>
  <c r="X280" i="44" s="1"/>
  <c r="X330" i="44" a="1"/>
  <c r="X330" i="44" s="1"/>
  <c r="X291" i="44" a="1"/>
  <c r="X291" i="44" s="1"/>
  <c r="X276" i="44" a="1"/>
  <c r="X276" i="44" s="1"/>
  <c r="X287" i="44" a="1"/>
  <c r="X287" i="44" s="1"/>
  <c r="X148" i="44" a="1"/>
  <c r="X148" i="44" s="1"/>
  <c r="X147" i="44" a="1"/>
  <c r="X147" i="44" s="1"/>
  <c r="X170" i="44" a="1"/>
  <c r="X170" i="44" s="1"/>
  <c r="X160" i="44" a="1"/>
  <c r="X160" i="44" s="1"/>
  <c r="X159" i="44" a="1"/>
  <c r="X159" i="44" s="1"/>
  <c r="X169" i="44" a="1"/>
  <c r="X169" i="44" s="1"/>
  <c r="X161" i="44" a="1"/>
  <c r="X161" i="44" s="1"/>
  <c r="X144" i="44" a="1"/>
  <c r="X144" i="44" s="1"/>
  <c r="X143" i="44" a="1"/>
  <c r="X143" i="44" s="1"/>
  <c r="X156" i="44" a="1"/>
  <c r="X156" i="44" s="1"/>
  <c r="X155" i="44" a="1"/>
  <c r="X155" i="44" s="1"/>
  <c r="X145" i="44" a="1"/>
  <c r="X145" i="44" s="1"/>
  <c r="X157" i="44" a="1"/>
  <c r="X157" i="44" s="1"/>
  <c r="X325" i="44" a="1"/>
  <c r="X325" i="44" s="1"/>
  <c r="X337" i="44" a="1"/>
  <c r="X337" i="44" s="1"/>
  <c r="X245" i="44" a="1"/>
  <c r="X245" i="44" s="1"/>
  <c r="X248" i="44" a="1"/>
  <c r="X248" i="44" s="1"/>
  <c r="X247" i="44" a="1"/>
  <c r="X247" i="44" s="1"/>
  <c r="X252" i="44" a="1"/>
  <c r="X252" i="44" s="1"/>
  <c r="X251" i="44" a="1"/>
  <c r="X251" i="44" s="1"/>
  <c r="X273" i="44" a="1"/>
  <c r="X273" i="44" s="1"/>
  <c r="X253" i="44" a="1"/>
  <c r="X253" i="44" s="1"/>
  <c r="X249" i="44" a="1"/>
  <c r="X249" i="44" s="1"/>
  <c r="X244" i="44" a="1"/>
  <c r="X244" i="44" s="1"/>
  <c r="X250" i="44" a="1"/>
  <c r="X250" i="44" s="1"/>
  <c r="X246" i="44" a="1"/>
  <c r="X246" i="44" s="1"/>
  <c r="X243" i="44" a="1"/>
  <c r="X243" i="44" s="1"/>
  <c r="X274" i="44" a="1"/>
  <c r="X274" i="44" s="1"/>
  <c r="X242" i="44" a="1"/>
  <c r="X242" i="44" s="1"/>
  <c r="X188" i="44" a="1"/>
  <c r="X188" i="44" s="1"/>
  <c r="X184" i="44" a="1"/>
  <c r="X184" i="44" s="1"/>
  <c r="X109" i="44" a="1"/>
  <c r="X109" i="44" s="1"/>
  <c r="X104" i="44" a="1"/>
  <c r="X104" i="44" s="1"/>
  <c r="X217" i="44" a="1"/>
  <c r="X217" i="44" s="1"/>
  <c r="X215" i="44" a="1"/>
  <c r="X215" i="44" s="1"/>
  <c r="X187" i="44" a="1"/>
  <c r="X187" i="44" s="1"/>
  <c r="X108" i="44" a="1"/>
  <c r="X108" i="44" s="1"/>
  <c r="X105" i="44" a="1"/>
  <c r="X105" i="44" s="1"/>
  <c r="X189" i="44" a="1"/>
  <c r="X189" i="44" s="1"/>
  <c r="X106" i="44" a="1"/>
  <c r="X106" i="44" s="1"/>
  <c r="X216" i="44" a="1"/>
  <c r="X216" i="44" s="1"/>
  <c r="X186" i="44" a="1"/>
  <c r="X186" i="44" s="1"/>
  <c r="X185" i="44" a="1"/>
  <c r="X185" i="44" s="1"/>
  <c r="X183" i="44" a="1"/>
  <c r="X183" i="44" s="1"/>
  <c r="X107" i="44" a="1"/>
  <c r="X107" i="44" s="1"/>
  <c r="X256" i="44" a="1"/>
  <c r="X256" i="44" s="1"/>
  <c r="X255" i="44" a="1"/>
  <c r="X255" i="44" s="1"/>
  <c r="X261" i="44" a="1"/>
  <c r="X261" i="44" s="1"/>
  <c r="X272" i="44" a="1"/>
  <c r="X272" i="44" s="1"/>
  <c r="X264" i="44" a="1"/>
  <c r="X264" i="44" s="1"/>
  <c r="X275" i="44" a="1"/>
  <c r="X275" i="44" s="1"/>
  <c r="X267" i="44" a="1"/>
  <c r="X267" i="44" s="1"/>
  <c r="X259" i="44" a="1"/>
  <c r="X259" i="44" s="1"/>
  <c r="X262" i="44" a="1"/>
  <c r="X262" i="44" s="1"/>
  <c r="X265" i="44" a="1"/>
  <c r="X265" i="44" s="1"/>
  <c r="X257" i="44" a="1"/>
  <c r="X257" i="44" s="1"/>
  <c r="X254" i="44" a="1"/>
  <c r="X254" i="44" s="1"/>
  <c r="X271" i="44" a="1"/>
  <c r="X271" i="44" s="1"/>
  <c r="X263" i="44" a="1"/>
  <c r="X263" i="44" s="1"/>
  <c r="X266" i="44" a="1"/>
  <c r="X266" i="44" s="1"/>
  <c r="X260" i="44" a="1"/>
  <c r="X260" i="44" s="1"/>
  <c r="X258" i="44" a="1"/>
  <c r="X258" i="44" s="1"/>
  <c r="X204" i="44" a="1"/>
  <c r="X204" i="44" s="1"/>
  <c r="X200" i="44" a="1"/>
  <c r="X200" i="44" s="1"/>
  <c r="X199" i="44" a="1"/>
  <c r="X199" i="44" s="1"/>
  <c r="X198" i="44" a="1"/>
  <c r="X198" i="44" s="1"/>
  <c r="X196" i="44" a="1"/>
  <c r="X196" i="44" s="1"/>
  <c r="X195" i="44" a="1"/>
  <c r="X195" i="44" s="1"/>
  <c r="X192" i="44" a="1"/>
  <c r="X192" i="44" s="1"/>
  <c r="X190" i="44" a="1"/>
  <c r="X190" i="44" s="1"/>
  <c r="X153" i="44" a="1"/>
  <c r="X153" i="44" s="1"/>
  <c r="X140" i="44" a="1"/>
  <c r="X140" i="44" s="1"/>
  <c r="X131" i="44" a="1"/>
  <c r="X131" i="44" s="1"/>
  <c r="X126" i="44" a="1"/>
  <c r="X126" i="44" s="1"/>
  <c r="X122" i="44" a="1"/>
  <c r="X122" i="44" s="1"/>
  <c r="X118" i="44" a="1"/>
  <c r="X118" i="44" s="1"/>
  <c r="X115" i="44" a="1"/>
  <c r="X115" i="44" s="1"/>
  <c r="X111" i="44" a="1"/>
  <c r="X111" i="44" s="1"/>
  <c r="X219" i="44" a="1"/>
  <c r="X219" i="44" s="1"/>
  <c r="X211" i="44" a="1"/>
  <c r="X211" i="44" s="1"/>
  <c r="X210" i="44" a="1"/>
  <c r="X210" i="44" s="1"/>
  <c r="X207" i="44" a="1"/>
  <c r="X207" i="44" s="1"/>
  <c r="X201" i="44" a="1"/>
  <c r="X201" i="44" s="1"/>
  <c r="X191" i="44" a="1"/>
  <c r="X191" i="44" s="1"/>
  <c r="X142" i="44" a="1"/>
  <c r="X142" i="44" s="1"/>
  <c r="X141" i="44" a="1"/>
  <c r="X141" i="44" s="1"/>
  <c r="X132" i="44" a="1"/>
  <c r="X132" i="44" s="1"/>
  <c r="X121" i="44" a="1"/>
  <c r="X121" i="44" s="1"/>
  <c r="X119" i="44" a="1"/>
  <c r="X119" i="44" s="1"/>
  <c r="X117" i="44" a="1"/>
  <c r="X117" i="44" s="1"/>
  <c r="X220" i="44" a="1"/>
  <c r="X220" i="44" s="1"/>
  <c r="X114" i="44" a="1"/>
  <c r="X114" i="44" s="1"/>
  <c r="X110" i="44" a="1"/>
  <c r="X110" i="44" s="1"/>
  <c r="X205" i="44" a="1"/>
  <c r="X205" i="44" s="1"/>
  <c r="X202" i="44" a="1"/>
  <c r="X202" i="44" s="1"/>
  <c r="X175" i="44" a="1"/>
  <c r="X175" i="44" s="1"/>
  <c r="X166" i="44" a="1"/>
  <c r="X166" i="44" s="1"/>
  <c r="X133" i="44" a="1"/>
  <c r="X133" i="44" s="1"/>
  <c r="X129" i="44" a="1"/>
  <c r="X129" i="44" s="1"/>
  <c r="X124" i="44" a="1"/>
  <c r="X124" i="44" s="1"/>
  <c r="X120" i="44" a="1"/>
  <c r="X120" i="44" s="1"/>
  <c r="X116" i="44" a="1"/>
  <c r="X116" i="44" s="1"/>
  <c r="X113" i="44" a="1"/>
  <c r="X113" i="44" s="1"/>
  <c r="X221" i="44" a="1"/>
  <c r="X221" i="44" s="1"/>
  <c r="X209" i="44" a="1"/>
  <c r="X209" i="44" s="1"/>
  <c r="X206" i="44" a="1"/>
  <c r="X206" i="44" s="1"/>
  <c r="X197" i="44" a="1"/>
  <c r="X197" i="44" s="1"/>
  <c r="X139" i="44" a="1"/>
  <c r="X139" i="44" s="1"/>
  <c r="X134" i="44" a="1"/>
  <c r="X134" i="44" s="1"/>
  <c r="X127" i="44" a="1"/>
  <c r="X127" i="44" s="1"/>
  <c r="X125" i="44" a="1"/>
  <c r="X125" i="44" s="1"/>
  <c r="X123" i="44" a="1"/>
  <c r="X123" i="44" s="1"/>
  <c r="X208" i="44" a="1"/>
  <c r="X208" i="44" s="1"/>
  <c r="X203" i="44" a="1"/>
  <c r="X203" i="44" s="1"/>
  <c r="X194" i="44" a="1"/>
  <c r="X194" i="44" s="1"/>
  <c r="X193" i="44" a="1"/>
  <c r="X193" i="44" s="1"/>
  <c r="X130" i="44" a="1"/>
  <c r="X130" i="44" s="1"/>
  <c r="X128" i="44" a="1"/>
  <c r="X128" i="44" s="1"/>
  <c r="X112" i="44" a="1"/>
  <c r="X112" i="44" s="1"/>
  <c r="X239" i="44" a="1"/>
  <c r="X239" i="44" s="1"/>
  <c r="X235" i="44" a="1"/>
  <c r="X235" i="44" s="1"/>
  <c r="X297" i="44" a="1"/>
  <c r="X297" i="44" s="1"/>
  <c r="X315" i="44" a="1"/>
  <c r="X315" i="44" s="1"/>
  <c r="X301" i="44" a="1"/>
  <c r="X301" i="44" s="1"/>
  <c r="X306" i="44" a="1"/>
  <c r="X306" i="44" s="1"/>
  <c r="X238" i="44" a="1"/>
  <c r="X238" i="44" s="1"/>
  <c r="X310" i="44" a="1"/>
  <c r="X310" i="44" s="1"/>
  <c r="X318" i="44" a="1"/>
  <c r="X318" i="44" s="1"/>
  <c r="X225" i="44" a="1"/>
  <c r="X225" i="44" s="1"/>
  <c r="X229" i="44" a="1"/>
  <c r="X229" i="44" s="1"/>
  <c r="X233" i="44" a="1"/>
  <c r="X233" i="44" s="1"/>
  <c r="X176" i="44" a="1"/>
  <c r="X176" i="44" s="1"/>
  <c r="X167" i="44" a="1"/>
  <c r="X167" i="44" s="1"/>
  <c r="X154" i="44" a="1"/>
  <c r="X154" i="44" s="1"/>
  <c r="Y285" i="44" a="1"/>
  <c r="Y285" i="44" s="1"/>
  <c r="Y296" i="44" a="1"/>
  <c r="Y296" i="44" s="1"/>
  <c r="Y336" i="44" a="1"/>
  <c r="Y336" i="44" s="1"/>
  <c r="AA323" i="44" a="1"/>
  <c r="AA323" i="44" s="1"/>
  <c r="AA321" i="44" a="1"/>
  <c r="AA321" i="44" s="1"/>
  <c r="AK48" i="33"/>
  <c r="H16" i="36" s="1"/>
  <c r="N33" i="44"/>
  <c r="N50" i="44"/>
  <c r="M16" i="44"/>
  <c r="AK33" i="33"/>
  <c r="M22" i="44"/>
  <c r="AK39" i="33"/>
  <c r="M18" i="44"/>
  <c r="AK35" i="33"/>
  <c r="M24" i="44"/>
  <c r="AK41" i="33"/>
  <c r="M21" i="44"/>
  <c r="AK38" i="33"/>
  <c r="M25" i="44"/>
  <c r="AK42" i="33"/>
  <c r="M27" i="44"/>
  <c r="AA514" i="44" s="1" a="1"/>
  <c r="AA514" i="44" s="1"/>
  <c r="AK44" i="33"/>
  <c r="M32" i="44"/>
  <c r="AK49" i="33"/>
  <c r="H17" i="36" s="1"/>
  <c r="M23" i="44"/>
  <c r="AK40" i="33"/>
  <c r="M17" i="44"/>
  <c r="AK34" i="33"/>
  <c r="M15" i="44"/>
  <c r="AK32" i="33"/>
  <c r="M20" i="44"/>
  <c r="AA465" i="44" s="1" a="1"/>
  <c r="AA465" i="44" s="1"/>
  <c r="AK37" i="33"/>
  <c r="M19" i="44"/>
  <c r="AK36" i="33"/>
  <c r="K28" i="44"/>
  <c r="AI45" i="33"/>
  <c r="AJ45" i="33" s="1"/>
  <c r="K30" i="44"/>
  <c r="AI47" i="33"/>
  <c r="AJ47" i="33" s="1"/>
  <c r="K26" i="44"/>
  <c r="AI43" i="33"/>
  <c r="AJ43" i="33" s="1"/>
  <c r="K29" i="44"/>
  <c r="AI46" i="33"/>
  <c r="AJ46" i="33" s="1"/>
  <c r="L32" i="44"/>
  <c r="Y31" i="33"/>
  <c r="Z31" i="33" s="1"/>
  <c r="AA31" i="33" s="1"/>
  <c r="AB31" i="33" s="1"/>
  <c r="AC31" i="33" s="1"/>
  <c r="AD31" i="33" s="1"/>
  <c r="AE31" i="33" s="1"/>
  <c r="AF31" i="33" s="1"/>
  <c r="L17" i="44"/>
  <c r="K17" i="44"/>
  <c r="L19" i="44"/>
  <c r="K19" i="44"/>
  <c r="L18" i="44"/>
  <c r="K18" i="44"/>
  <c r="L15" i="44"/>
  <c r="K15" i="44"/>
  <c r="L20" i="44"/>
  <c r="Z465" i="44" s="1" a="1"/>
  <c r="Z465" i="44" s="1"/>
  <c r="K20" i="44"/>
  <c r="L16" i="44"/>
  <c r="K16" i="44"/>
  <c r="L24" i="44"/>
  <c r="K24" i="44"/>
  <c r="L25" i="44"/>
  <c r="Z509" i="44" s="1" a="1"/>
  <c r="Z509" i="44" s="1"/>
  <c r="K25" i="44"/>
  <c r="L23" i="44"/>
  <c r="K23" i="44"/>
  <c r="AI30" i="33"/>
  <c r="K13" i="44"/>
  <c r="L21" i="44"/>
  <c r="K21" i="44"/>
  <c r="L22" i="44"/>
  <c r="K22" i="44"/>
  <c r="Y392" i="44" s="1" a="1"/>
  <c r="Y392" i="44" s="1"/>
  <c r="H29" i="21" l="1"/>
  <c r="O148" i="59"/>
  <c r="J44" i="61" s="1"/>
  <c r="O154" i="59"/>
  <c r="J45" i="61" s="1"/>
  <c r="Y449" i="44" a="1"/>
  <c r="Y449" i="44" s="1"/>
  <c r="Y486" i="44" a="1"/>
  <c r="Y486" i="44" s="1"/>
  <c r="Y485" i="44" a="1"/>
  <c r="Y485" i="44" s="1"/>
  <c r="Y447" i="44" a="1"/>
  <c r="Y447" i="44" s="1"/>
  <c r="Y441" i="44" a="1"/>
  <c r="Y441" i="44" s="1"/>
  <c r="Y438" i="44" a="1"/>
  <c r="Y438" i="44" s="1"/>
  <c r="Y443" i="44" a="1"/>
  <c r="Y443" i="44" s="1"/>
  <c r="Y445" i="44" a="1"/>
  <c r="Y445" i="44" s="1"/>
  <c r="Y448" i="44" a="1"/>
  <c r="Y448" i="44" s="1"/>
  <c r="Y446" i="44" a="1"/>
  <c r="Y446" i="44" s="1"/>
  <c r="Y439" i="44" a="1"/>
  <c r="Y439" i="44" s="1"/>
  <c r="Y444" i="44" a="1"/>
  <c r="Y444" i="44" s="1"/>
  <c r="Y442" i="44" a="1"/>
  <c r="Y442" i="44" s="1"/>
  <c r="Y440" i="44" a="1"/>
  <c r="Y440" i="44" s="1"/>
  <c r="Y437" i="44" a="1"/>
  <c r="Y437" i="44" s="1"/>
  <c r="Y432" i="44" a="1"/>
  <c r="Y432" i="44" s="1"/>
  <c r="Y509" i="44" a="1"/>
  <c r="Y509" i="44" s="1"/>
  <c r="Y471" i="44" a="1"/>
  <c r="Y471" i="44" s="1"/>
  <c r="Y464" i="44" a="1"/>
  <c r="Y464" i="44" s="1"/>
  <c r="Y512" i="44" a="1"/>
  <c r="Y512" i="44" s="1"/>
  <c r="Y506" i="44" a="1"/>
  <c r="Y506" i="44" s="1"/>
  <c r="Y466" i="44" a="1"/>
  <c r="Y466" i="44" s="1"/>
  <c r="Y507" i="44" a="1"/>
  <c r="Y507" i="44" s="1"/>
  <c r="Y436" i="44" a="1"/>
  <c r="Y436" i="44" s="1"/>
  <c r="AA511" i="44" a="1"/>
  <c r="AA511" i="44" s="1"/>
  <c r="AA500" i="44" a="1"/>
  <c r="AA500" i="44" s="1"/>
  <c r="AA434" i="44" a="1"/>
  <c r="AA434" i="44" s="1"/>
  <c r="AA501" i="44" a="1"/>
  <c r="AA501" i="44" s="1"/>
  <c r="AA498" i="44" a="1"/>
  <c r="AA498" i="44" s="1"/>
  <c r="AA513" i="44" a="1"/>
  <c r="AA513" i="44" s="1"/>
  <c r="AA495" i="44" a="1"/>
  <c r="AA495" i="44" s="1"/>
  <c r="AA492" i="44" a="1"/>
  <c r="AA492" i="44" s="1"/>
  <c r="AA494" i="44" a="1"/>
  <c r="AA494" i="44" s="1"/>
  <c r="AA477" i="44" a="1"/>
  <c r="AA477" i="44" s="1"/>
  <c r="AA476" i="44" a="1"/>
  <c r="AA476" i="44" s="1"/>
  <c r="AB491" i="44" a="1"/>
  <c r="AB491" i="44" s="1"/>
  <c r="AB497" i="44" a="1"/>
  <c r="AB497" i="44" s="1"/>
  <c r="AB489" i="44" a="1"/>
  <c r="AB489" i="44" s="1"/>
  <c r="AB490" i="44" a="1"/>
  <c r="AB490" i="44" s="1"/>
  <c r="AB467" i="44" a="1"/>
  <c r="AB467" i="44" s="1"/>
  <c r="Z454" i="44" a="1"/>
  <c r="Z454" i="44" s="1"/>
  <c r="Z456" i="44" a="1"/>
  <c r="Z456" i="44" s="1"/>
  <c r="Z487" i="44" a="1"/>
  <c r="Z487" i="44" s="1"/>
  <c r="Z481" i="44" a="1"/>
  <c r="Z481" i="44" s="1"/>
  <c r="Z478" i="44" a="1"/>
  <c r="Z478" i="44" s="1"/>
  <c r="Z484" i="44" a="1"/>
  <c r="Z484" i="44" s="1"/>
  <c r="Z461" i="44" a="1"/>
  <c r="Z461" i="44" s="1"/>
  <c r="Z482" i="44" a="1"/>
  <c r="Z482" i="44" s="1"/>
  <c r="Z451" i="44" a="1"/>
  <c r="Z451" i="44" s="1"/>
  <c r="Z450" i="44" a="1"/>
  <c r="Z450" i="44" s="1"/>
  <c r="Z462" i="44" a="1"/>
  <c r="Z462" i="44" s="1"/>
  <c r="Z480" i="44" a="1"/>
  <c r="Z480" i="44" s="1"/>
  <c r="Z458" i="44" a="1"/>
  <c r="Z458" i="44" s="1"/>
  <c r="Z460" i="44" a="1"/>
  <c r="Z460" i="44" s="1"/>
  <c r="Z455" i="44" a="1"/>
  <c r="Z455" i="44" s="1"/>
  <c r="Z453" i="44" a="1"/>
  <c r="Z453" i="44" s="1"/>
  <c r="Z479" i="44" a="1"/>
  <c r="Z479" i="44" s="1"/>
  <c r="Z452" i="44" a="1"/>
  <c r="Z452" i="44" s="1"/>
  <c r="Z459" i="44" a="1"/>
  <c r="Z459" i="44" s="1"/>
  <c r="Z457" i="44" a="1"/>
  <c r="Z457" i="44" s="1"/>
  <c r="Z463" i="44" a="1"/>
  <c r="Z463" i="44" s="1"/>
  <c r="Z470" i="44" a="1"/>
  <c r="Z470" i="44" s="1"/>
  <c r="Z472" i="44" a="1"/>
  <c r="Z472" i="44" s="1"/>
  <c r="AA432" i="44" a="1"/>
  <c r="AA432" i="44" s="1"/>
  <c r="AA509" i="44" a="1"/>
  <c r="AA509" i="44" s="1"/>
  <c r="Z471" i="44" a="1"/>
  <c r="Z471" i="44" s="1"/>
  <c r="Z464" i="44" a="1"/>
  <c r="Z464" i="44" s="1"/>
  <c r="Z434" i="44" a="1"/>
  <c r="Z434" i="44" s="1"/>
  <c r="Z494" i="44" a="1"/>
  <c r="Z494" i="44" s="1"/>
  <c r="Z492" i="44" a="1"/>
  <c r="Z492" i="44" s="1"/>
  <c r="Z495" i="44" a="1"/>
  <c r="Z495" i="44" s="1"/>
  <c r="Z498" i="44" a="1"/>
  <c r="Z498" i="44" s="1"/>
  <c r="Z477" i="44" a="1"/>
  <c r="Z477" i="44" s="1"/>
  <c r="Z501" i="44" a="1"/>
  <c r="Z501" i="44" s="1"/>
  <c r="Z513" i="44" a="1"/>
  <c r="Z513" i="44" s="1"/>
  <c r="Z476" i="44" a="1"/>
  <c r="Z476" i="44" s="1"/>
  <c r="AA464" i="44" a="1"/>
  <c r="AA464" i="44" s="1"/>
  <c r="AA471" i="44" a="1"/>
  <c r="AA471" i="44" s="1"/>
  <c r="AA472" i="44" a="1"/>
  <c r="AA472" i="44" s="1"/>
  <c r="AA470" i="44" a="1"/>
  <c r="AA470" i="44" s="1"/>
  <c r="AA503" i="44" a="1"/>
  <c r="AA503" i="44" s="1"/>
  <c r="AA508" i="44" a="1"/>
  <c r="AA508" i="44" s="1"/>
  <c r="AA510" i="44" a="1"/>
  <c r="AA510" i="44" s="1"/>
  <c r="AA502" i="44" a="1"/>
  <c r="AA502" i="44" s="1"/>
  <c r="AA455" i="44" a="1"/>
  <c r="AA455" i="44" s="1"/>
  <c r="AA456" i="44" a="1"/>
  <c r="AA456" i="44" s="1"/>
  <c r="AA454" i="44" a="1"/>
  <c r="AA454" i="44" s="1"/>
  <c r="AA463" i="44" a="1"/>
  <c r="AA463" i="44" s="1"/>
  <c r="AA479" i="44" a="1"/>
  <c r="AA479" i="44" s="1"/>
  <c r="AA460" i="44" a="1"/>
  <c r="AA460" i="44" s="1"/>
  <c r="AA458" i="44" a="1"/>
  <c r="AA458" i="44" s="1"/>
  <c r="AA462" i="44" a="1"/>
  <c r="AA462" i="44" s="1"/>
  <c r="AA484" i="44" a="1"/>
  <c r="AA484" i="44" s="1"/>
  <c r="AA487" i="44" a="1"/>
  <c r="AA487" i="44" s="1"/>
  <c r="AA482" i="44" a="1"/>
  <c r="AA482" i="44" s="1"/>
  <c r="AA450" i="44" a="1"/>
  <c r="AA450" i="44" s="1"/>
  <c r="AA457" i="44" a="1"/>
  <c r="AA457" i="44" s="1"/>
  <c r="AA480" i="44" a="1"/>
  <c r="AA480" i="44" s="1"/>
  <c r="AA478" i="44" a="1"/>
  <c r="AA478" i="44" s="1"/>
  <c r="AA452" i="44" a="1"/>
  <c r="AA452" i="44" s="1"/>
  <c r="AA481" i="44" a="1"/>
  <c r="AA481" i="44" s="1"/>
  <c r="AA461" i="44" a="1"/>
  <c r="AA461" i="44" s="1"/>
  <c r="AA459" i="44" a="1"/>
  <c r="AA459" i="44" s="1"/>
  <c r="AA453" i="44" a="1"/>
  <c r="AA453" i="44" s="1"/>
  <c r="AA451" i="44" a="1"/>
  <c r="AA451" i="44" s="1"/>
  <c r="Y479" i="44" a="1"/>
  <c r="Y479" i="44" s="1"/>
  <c r="Y459" i="44" a="1"/>
  <c r="Y459" i="44" s="1"/>
  <c r="Y463" i="44" a="1"/>
  <c r="Y463" i="44" s="1"/>
  <c r="Y455" i="44" a="1"/>
  <c r="Y455" i="44" s="1"/>
  <c r="Y482" i="44" a="1"/>
  <c r="Y482" i="44" s="1"/>
  <c r="Y452" i="44" a="1"/>
  <c r="Y452" i="44" s="1"/>
  <c r="Y454" i="44" a="1"/>
  <c r="Y454" i="44" s="1"/>
  <c r="Y462" i="44" a="1"/>
  <c r="Y462" i="44" s="1"/>
  <c r="Y480" i="44" a="1"/>
  <c r="Y480" i="44" s="1"/>
  <c r="Y460" i="44" a="1"/>
  <c r="Y460" i="44" s="1"/>
  <c r="Y484" i="44" a="1"/>
  <c r="Y484" i="44" s="1"/>
  <c r="Y487" i="44" a="1"/>
  <c r="Y487" i="44" s="1"/>
  <c r="Y451" i="44" a="1"/>
  <c r="Y451" i="44" s="1"/>
  <c r="Y478" i="44" a="1"/>
  <c r="Y478" i="44" s="1"/>
  <c r="Y456" i="44" a="1"/>
  <c r="Y456" i="44" s="1"/>
  <c r="Y481" i="44" a="1"/>
  <c r="Y481" i="44" s="1"/>
  <c r="Y458" i="44" a="1"/>
  <c r="Y458" i="44" s="1"/>
  <c r="Y461" i="44" a="1"/>
  <c r="Y461" i="44" s="1"/>
  <c r="Y453" i="44" a="1"/>
  <c r="Y453" i="44" s="1"/>
  <c r="Y450" i="44" a="1"/>
  <c r="Y450" i="44" s="1"/>
  <c r="Y457" i="44" a="1"/>
  <c r="Y457" i="44" s="1"/>
  <c r="Y470" i="44" a="1"/>
  <c r="Y470" i="44" s="1"/>
  <c r="Y472" i="44" a="1"/>
  <c r="Y472" i="44" s="1"/>
  <c r="Y295" i="44" a="1"/>
  <c r="Y295" i="44" s="1"/>
  <c r="Y465" i="44" a="1"/>
  <c r="Y465" i="44" s="1"/>
  <c r="Y504" i="44" a="1"/>
  <c r="Y504" i="44" s="1"/>
  <c r="Y493" i="44" a="1"/>
  <c r="Y493" i="44" s="1"/>
  <c r="Y499" i="44" a="1"/>
  <c r="Y499" i="44" s="1"/>
  <c r="Y475" i="44" a="1"/>
  <c r="Y475" i="44" s="1"/>
  <c r="Y483" i="44" a="1"/>
  <c r="Y483" i="44" s="1"/>
  <c r="Y488" i="44" a="1"/>
  <c r="Y488" i="44" s="1"/>
  <c r="Y505" i="44" a="1"/>
  <c r="Y505" i="44" s="1"/>
  <c r="Y496" i="44" a="1"/>
  <c r="Y496" i="44" s="1"/>
  <c r="Y468" i="44" a="1"/>
  <c r="Y468" i="44" s="1"/>
  <c r="Y469" i="44" a="1"/>
  <c r="Y469" i="44" s="1"/>
  <c r="H23" i="39"/>
  <c r="AH19" i="47"/>
  <c r="AM76" i="47" s="1" a="1"/>
  <c r="AM76" i="47" s="1"/>
  <c r="J46" i="61" s="1"/>
  <c r="AH25" i="54"/>
  <c r="AM155" i="54" s="1" a="1"/>
  <c r="AM155" i="54" s="1"/>
  <c r="P50" i="44"/>
  <c r="O151" i="59"/>
  <c r="O50" i="44"/>
  <c r="H45" i="21"/>
  <c r="O33" i="44"/>
  <c r="AL49" i="33"/>
  <c r="AK85" i="33"/>
  <c r="AL86" i="33"/>
  <c r="AM86" i="33" s="1"/>
  <c r="H22" i="39" s="1"/>
  <c r="Y433" i="44" a="1"/>
  <c r="Y433" i="44" s="1"/>
  <c r="Y435" i="44" a="1"/>
  <c r="Y435" i="44" s="1"/>
  <c r="Z418" i="44" a="1"/>
  <c r="Z418" i="44" s="1"/>
  <c r="Z432" i="44" a="1"/>
  <c r="Z432" i="44" s="1"/>
  <c r="Y393" i="44" a="1"/>
  <c r="Y393" i="44" s="1"/>
  <c r="Y401" i="44" a="1"/>
  <c r="Y401" i="44" s="1"/>
  <c r="Y402" i="44" a="1"/>
  <c r="Y402" i="44" s="1"/>
  <c r="Y386" i="44" a="1"/>
  <c r="Y386" i="44" s="1"/>
  <c r="Y394" i="44" a="1"/>
  <c r="Y394" i="44" s="1"/>
  <c r="Y391" i="44" a="1"/>
  <c r="Y391" i="44" s="1"/>
  <c r="Y395" i="44" a="1"/>
  <c r="Y395" i="44" s="1"/>
  <c r="Y387" i="44" a="1"/>
  <c r="Y387" i="44" s="1"/>
  <c r="Y237" i="44" a="1"/>
  <c r="Y237" i="44" s="1"/>
  <c r="Y419" i="44" a="1"/>
  <c r="Y419" i="44" s="1"/>
  <c r="Y181" i="44" a="1"/>
  <c r="Y181" i="44" s="1"/>
  <c r="Y406" i="44" a="1"/>
  <c r="Y406" i="44" s="1"/>
  <c r="Y413" i="44" a="1"/>
  <c r="Y413" i="44" s="1"/>
  <c r="Y414" i="44" a="1"/>
  <c r="Y414" i="44" s="1"/>
  <c r="Y429" i="44" a="1"/>
  <c r="Y429" i="44" s="1"/>
  <c r="Y426" i="44" a="1"/>
  <c r="Y426" i="44" s="1"/>
  <c r="Y400" i="44" a="1"/>
  <c r="Y400" i="44" s="1"/>
  <c r="Y404" i="44" a="1"/>
  <c r="Y404" i="44" s="1"/>
  <c r="Y428" i="44" a="1"/>
  <c r="Y428" i="44" s="1"/>
  <c r="Y409" i="44" a="1"/>
  <c r="Y409" i="44" s="1"/>
  <c r="Y374" i="44" a="1"/>
  <c r="Y374" i="44" s="1"/>
  <c r="Y427" i="44" a="1"/>
  <c r="Y427" i="44" s="1"/>
  <c r="Y389" i="44" a="1"/>
  <c r="Y389" i="44" s="1"/>
  <c r="Y388" i="44" a="1"/>
  <c r="Y388" i="44" s="1"/>
  <c r="Y407" i="44" a="1"/>
  <c r="Y407" i="44" s="1"/>
  <c r="Y412" i="44" a="1"/>
  <c r="Y412" i="44" s="1"/>
  <c r="AA179" i="44" a="1"/>
  <c r="AA179" i="44" s="1"/>
  <c r="AA405" i="44" a="1"/>
  <c r="AA405" i="44" s="1"/>
  <c r="AA408" i="44" a="1"/>
  <c r="AA408" i="44" s="1"/>
  <c r="AA341" i="44" a="1"/>
  <c r="AA341" i="44" s="1"/>
  <c r="Y363" i="44" a="1"/>
  <c r="Y363" i="44" s="1"/>
  <c r="Y356" i="44" a="1"/>
  <c r="Y356" i="44" s="1"/>
  <c r="Y373" i="44" a="1"/>
  <c r="Y373" i="44" s="1"/>
  <c r="Y376" i="44" a="1"/>
  <c r="Y376" i="44" s="1"/>
  <c r="Y359" i="44" a="1"/>
  <c r="Y359" i="44" s="1"/>
  <c r="Y364" i="44" a="1"/>
  <c r="Y364" i="44" s="1"/>
  <c r="Y383" i="44" a="1"/>
  <c r="Y383" i="44" s="1"/>
  <c r="Y377" i="44" a="1"/>
  <c r="Y377" i="44" s="1"/>
  <c r="Y371" i="44" a="1"/>
  <c r="Y371" i="44" s="1"/>
  <c r="Y382" i="44" a="1"/>
  <c r="Y382" i="44" s="1"/>
  <c r="Y358" i="44" a="1"/>
  <c r="Y358" i="44" s="1"/>
  <c r="Y367" i="44" a="1"/>
  <c r="Y367" i="44" s="1"/>
  <c r="Y368" i="44" a="1"/>
  <c r="Y368" i="44" s="1"/>
  <c r="Y357" i="44" a="1"/>
  <c r="Y357" i="44" s="1"/>
  <c r="Y375" i="44" a="1"/>
  <c r="Y375" i="44" s="1"/>
  <c r="Y355" i="44" a="1"/>
  <c r="Y355" i="44" s="1"/>
  <c r="Y370" i="44" a="1"/>
  <c r="Y370" i="44" s="1"/>
  <c r="Y384" i="44" a="1"/>
  <c r="Y384" i="44" s="1"/>
  <c r="Y369" i="44" a="1"/>
  <c r="Y369" i="44" s="1"/>
  <c r="Y372" i="44" a="1"/>
  <c r="Y372" i="44" s="1"/>
  <c r="Y360" i="44" a="1"/>
  <c r="Y360" i="44" s="1"/>
  <c r="Y366" i="44" a="1"/>
  <c r="Y366" i="44" s="1"/>
  <c r="Y365" i="44" a="1"/>
  <c r="Y365" i="44" s="1"/>
  <c r="Y362" i="44" a="1"/>
  <c r="Y362" i="44" s="1"/>
  <c r="Y361" i="44" a="1"/>
  <c r="Y361" i="44" s="1"/>
  <c r="Y399" i="44" a="1"/>
  <c r="Y399" i="44" s="1"/>
  <c r="Y385" i="44" a="1"/>
  <c r="Y385" i="44" s="1"/>
  <c r="Z358" i="44" a="1"/>
  <c r="Z358" i="44" s="1"/>
  <c r="Z373" i="44" a="1"/>
  <c r="Z373" i="44" s="1"/>
  <c r="Z368" i="44" a="1"/>
  <c r="Z368" i="44" s="1"/>
  <c r="Z369" i="44" a="1"/>
  <c r="Z369" i="44" s="1"/>
  <c r="Z377" i="44" a="1"/>
  <c r="Z377" i="44" s="1"/>
  <c r="Z384" i="44" a="1"/>
  <c r="Z384" i="44" s="1"/>
  <c r="Z372" i="44" a="1"/>
  <c r="Z372" i="44" s="1"/>
  <c r="Z371" i="44" a="1"/>
  <c r="Z371" i="44" s="1"/>
  <c r="Z360" i="44" a="1"/>
  <c r="Z360" i="44" s="1"/>
  <c r="Z382" i="44" a="1"/>
  <c r="Z382" i="44" s="1"/>
  <c r="Z370" i="44" a="1"/>
  <c r="Z370" i="44" s="1"/>
  <c r="Z359" i="44" a="1"/>
  <c r="Z359" i="44" s="1"/>
  <c r="Z383" i="44" a="1"/>
  <c r="Z383" i="44" s="1"/>
  <c r="Z361" i="44" a="1"/>
  <c r="Z361" i="44" s="1"/>
  <c r="Z365" i="44" a="1"/>
  <c r="Z365" i="44" s="1"/>
  <c r="Z357" i="44" a="1"/>
  <c r="Z357" i="44" s="1"/>
  <c r="Z364" i="44" a="1"/>
  <c r="Z364" i="44" s="1"/>
  <c r="Z363" i="44" a="1"/>
  <c r="Z363" i="44" s="1"/>
  <c r="Z355" i="44" a="1"/>
  <c r="Z355" i="44" s="1"/>
  <c r="Z362" i="44" a="1"/>
  <c r="Z362" i="44" s="1"/>
  <c r="Z356" i="44" a="1"/>
  <c r="Z356" i="44" s="1"/>
  <c r="Z367" i="44" a="1"/>
  <c r="Z367" i="44" s="1"/>
  <c r="Z375" i="44" a="1"/>
  <c r="Z375" i="44" s="1"/>
  <c r="Z376" i="44" a="1"/>
  <c r="Z376" i="44" s="1"/>
  <c r="Z366" i="44" a="1"/>
  <c r="Z366" i="44" s="1"/>
  <c r="Z385" i="44" a="1"/>
  <c r="Z385" i="44" s="1"/>
  <c r="Z399" i="44" a="1"/>
  <c r="Z399" i="44" s="1"/>
  <c r="Z401" i="44" a="1"/>
  <c r="Z401" i="44" s="1"/>
  <c r="Z395" i="44" a="1"/>
  <c r="Z395" i="44" s="1"/>
  <c r="Z386" i="44" a="1"/>
  <c r="Z386" i="44" s="1"/>
  <c r="Z393" i="44" a="1"/>
  <c r="Z393" i="44" s="1"/>
  <c r="Z394" i="44" a="1"/>
  <c r="Z394" i="44" s="1"/>
  <c r="Z387" i="44" a="1"/>
  <c r="Z387" i="44" s="1"/>
  <c r="Z402" i="44" a="1"/>
  <c r="Z402" i="44" s="1"/>
  <c r="Z391" i="44" a="1"/>
  <c r="Z391" i="44" s="1"/>
  <c r="AA286" i="44" a="1"/>
  <c r="AA286" i="44" s="1"/>
  <c r="AA424" i="44" a="1"/>
  <c r="AA424" i="44" s="1"/>
  <c r="AA420" i="44" a="1"/>
  <c r="AA420" i="44" s="1"/>
  <c r="AA425" i="44" a="1"/>
  <c r="AA425" i="44" s="1"/>
  <c r="AA371" i="44" a="1"/>
  <c r="AA371" i="44" s="1"/>
  <c r="AA367" i="44" a="1"/>
  <c r="AA367" i="44" s="1"/>
  <c r="AA375" i="44" a="1"/>
  <c r="AA375" i="44" s="1"/>
  <c r="AA356" i="44" a="1"/>
  <c r="AA356" i="44" s="1"/>
  <c r="AA373" i="44" a="1"/>
  <c r="AA373" i="44" s="1"/>
  <c r="AA376" i="44" a="1"/>
  <c r="AA376" i="44" s="1"/>
  <c r="AA361" i="44" a="1"/>
  <c r="AA361" i="44" s="1"/>
  <c r="AA360" i="44" a="1"/>
  <c r="AA360" i="44" s="1"/>
  <c r="AA365" i="44" a="1"/>
  <c r="AA365" i="44" s="1"/>
  <c r="AA370" i="44" a="1"/>
  <c r="AA370" i="44" s="1"/>
  <c r="AA363" i="44" a="1"/>
  <c r="AA363" i="44" s="1"/>
  <c r="AA359" i="44" a="1"/>
  <c r="AA359" i="44" s="1"/>
  <c r="AA355" i="44" a="1"/>
  <c r="AA355" i="44" s="1"/>
  <c r="AA362" i="44" a="1"/>
  <c r="AA362" i="44" s="1"/>
  <c r="AA382" i="44" a="1"/>
  <c r="AA382" i="44" s="1"/>
  <c r="AA384" i="44" a="1"/>
  <c r="AA384" i="44" s="1"/>
  <c r="AA383" i="44" a="1"/>
  <c r="AA383" i="44" s="1"/>
  <c r="AA377" i="44" a="1"/>
  <c r="AA377" i="44" s="1"/>
  <c r="AA366" i="44" a="1"/>
  <c r="AA366" i="44" s="1"/>
  <c r="AA358" i="44" a="1"/>
  <c r="AA358" i="44" s="1"/>
  <c r="AA364" i="44" a="1"/>
  <c r="AA364" i="44" s="1"/>
  <c r="AA369" i="44" a="1"/>
  <c r="AA369" i="44" s="1"/>
  <c r="AA372" i="44" a="1"/>
  <c r="AA372" i="44" s="1"/>
  <c r="AA357" i="44" a="1"/>
  <c r="AA357" i="44" s="1"/>
  <c r="AA368" i="44" a="1"/>
  <c r="AA368" i="44" s="1"/>
  <c r="AA401" i="44" a="1"/>
  <c r="AA401" i="44" s="1"/>
  <c r="AA386" i="44" a="1"/>
  <c r="AA386" i="44" s="1"/>
  <c r="AA387" i="44" a="1"/>
  <c r="AA387" i="44" s="1"/>
  <c r="AA395" i="44" a="1"/>
  <c r="AA395" i="44" s="1"/>
  <c r="AA394" i="44" a="1"/>
  <c r="AA394" i="44" s="1"/>
  <c r="AA402" i="44" a="1"/>
  <c r="AA402" i="44" s="1"/>
  <c r="AA393" i="44" a="1"/>
  <c r="AA393" i="44" s="1"/>
  <c r="AA391" i="44" a="1"/>
  <c r="AA391" i="44" s="1"/>
  <c r="AB411" i="44" a="1"/>
  <c r="AB411" i="44" s="1"/>
  <c r="AB417" i="44" a="1"/>
  <c r="AB417" i="44" s="1"/>
  <c r="Y335" i="44" a="1"/>
  <c r="Y335" i="44" s="1"/>
  <c r="Y422" i="44" a="1"/>
  <c r="Y422" i="44" s="1"/>
  <c r="Y430" i="44" a="1"/>
  <c r="Y430" i="44" s="1"/>
  <c r="Y421" i="44" a="1"/>
  <c r="Y421" i="44" s="1"/>
  <c r="Y415" i="44" a="1"/>
  <c r="Y415" i="44" s="1"/>
  <c r="Y351" i="44" a="1"/>
  <c r="Y351" i="44" s="1"/>
  <c r="Y343" i="44" a="1"/>
  <c r="Y343" i="44" s="1"/>
  <c r="Y348" i="44" a="1"/>
  <c r="Y348" i="44" s="1"/>
  <c r="Y381" i="44" a="1"/>
  <c r="Y381" i="44" s="1"/>
  <c r="Y353" i="44" a="1"/>
  <c r="Y353" i="44" s="1"/>
  <c r="Y347" i="44" a="1"/>
  <c r="Y347" i="44" s="1"/>
  <c r="Y344" i="44" a="1"/>
  <c r="Y344" i="44" s="1"/>
  <c r="Y345" i="44" a="1"/>
  <c r="Y345" i="44" s="1"/>
  <c r="Y380" i="44" a="1"/>
  <c r="Y380" i="44" s="1"/>
  <c r="Y342" i="44" a="1"/>
  <c r="Y342" i="44" s="1"/>
  <c r="Y352" i="44" a="1"/>
  <c r="Y352" i="44" s="1"/>
  <c r="Y378" i="44" a="1"/>
  <c r="Y378" i="44" s="1"/>
  <c r="Y354" i="44" a="1"/>
  <c r="Y354" i="44" s="1"/>
  <c r="Y350" i="44" a="1"/>
  <c r="Y350" i="44" s="1"/>
  <c r="Y379" i="44" a="1"/>
  <c r="Y379" i="44" s="1"/>
  <c r="Y346" i="44" a="1"/>
  <c r="Y346" i="44" s="1"/>
  <c r="Y349" i="44" a="1"/>
  <c r="Y349" i="44" s="1"/>
  <c r="Y240" i="44" a="1"/>
  <c r="Y240" i="44" s="1"/>
  <c r="Y418" i="44" a="1"/>
  <c r="Y418" i="44" s="1"/>
  <c r="Y177" i="44" a="1"/>
  <c r="Y177" i="44" s="1"/>
  <c r="Y397" i="44" a="1"/>
  <c r="Y397" i="44" s="1"/>
  <c r="Y431" i="44" a="1"/>
  <c r="Y431" i="44" s="1"/>
  <c r="Y403" i="44" a="1"/>
  <c r="Y403" i="44" s="1"/>
  <c r="Y396" i="44" a="1"/>
  <c r="Y396" i="44" s="1"/>
  <c r="Y423" i="44" a="1"/>
  <c r="Y423" i="44" s="1"/>
  <c r="Y416" i="44" a="1"/>
  <c r="Y416" i="44" s="1"/>
  <c r="Z222" i="44" a="1"/>
  <c r="Z222" i="44" s="1"/>
  <c r="Z392" i="44" a="1"/>
  <c r="Z392" i="44" s="1"/>
  <c r="Z398" i="44" a="1"/>
  <c r="Z398" i="44" s="1"/>
  <c r="Z410" i="44" a="1"/>
  <c r="Z410" i="44" s="1"/>
  <c r="AA410" i="44" a="1"/>
  <c r="AA410" i="44" s="1"/>
  <c r="AA398" i="44" a="1"/>
  <c r="AA398" i="44" s="1"/>
  <c r="AA240" i="44" a="1"/>
  <c r="AA240" i="44" s="1"/>
  <c r="AA418" i="44" a="1"/>
  <c r="AA418" i="44" s="1"/>
  <c r="AA399" i="44" a="1"/>
  <c r="AA399" i="44" s="1"/>
  <c r="AA385" i="44" a="1"/>
  <c r="AA385" i="44" s="1"/>
  <c r="AA222" i="44" a="1"/>
  <c r="AA222" i="44" s="1"/>
  <c r="AA392" i="44" a="1"/>
  <c r="AA392" i="44" s="1"/>
  <c r="Y284" i="44" a="1"/>
  <c r="Y284" i="44" s="1"/>
  <c r="AA340" i="44" a="1"/>
  <c r="AA340" i="44" s="1"/>
  <c r="Y230" i="44" a="1"/>
  <c r="Y230" i="44" s="1"/>
  <c r="Y234" i="44" a="1"/>
  <c r="Y234" i="44" s="1"/>
  <c r="Y339" i="44" a="1"/>
  <c r="Y339" i="44" s="1"/>
  <c r="AA178" i="44" a="1"/>
  <c r="AA178" i="44" s="1"/>
  <c r="AB322" i="44" a="1"/>
  <c r="AB322" i="44" s="1"/>
  <c r="AB308" i="44" a="1"/>
  <c r="AB308" i="44" s="1"/>
  <c r="AB303" i="44" a="1"/>
  <c r="AB303" i="44" s="1"/>
  <c r="AB317" i="44" a="1"/>
  <c r="AB317" i="44" s="1"/>
  <c r="AB299" i="44" a="1"/>
  <c r="AB299" i="44" s="1"/>
  <c r="AB312" i="44" a="1"/>
  <c r="AB312" i="44" s="1"/>
  <c r="AB320" i="44" a="1"/>
  <c r="AB320" i="44" s="1"/>
  <c r="Y226" i="44" a="1"/>
  <c r="Y226" i="44" s="1"/>
  <c r="Y222" i="44" a="1"/>
  <c r="Y222" i="44" s="1"/>
  <c r="Y311" i="44" a="1"/>
  <c r="Y311" i="44" s="1"/>
  <c r="Y307" i="44" a="1"/>
  <c r="Y307" i="44" s="1"/>
  <c r="Y302" i="44" a="1"/>
  <c r="Y302" i="44" s="1"/>
  <c r="Y319" i="44" a="1"/>
  <c r="Y319" i="44" s="1"/>
  <c r="Y316" i="44" a="1"/>
  <c r="Y316" i="44" s="1"/>
  <c r="Y298" i="44" a="1"/>
  <c r="Y298" i="44" s="1"/>
  <c r="AM145" i="54" a="1"/>
  <c r="AM145" i="54" s="1"/>
  <c r="Y261" i="44" a="1"/>
  <c r="Y261" i="44" s="1"/>
  <c r="Y272" i="44" a="1"/>
  <c r="Y272" i="44" s="1"/>
  <c r="Y264" i="44" a="1"/>
  <c r="Y264" i="44" s="1"/>
  <c r="Y256" i="44" a="1"/>
  <c r="Y256" i="44" s="1"/>
  <c r="Y271" i="44" a="1"/>
  <c r="Y271" i="44" s="1"/>
  <c r="Y263" i="44" a="1"/>
  <c r="Y263" i="44" s="1"/>
  <c r="Y254" i="44" a="1"/>
  <c r="Y254" i="44" s="1"/>
  <c r="Y265" i="44" a="1"/>
  <c r="Y265" i="44" s="1"/>
  <c r="Y257" i="44" a="1"/>
  <c r="Y257" i="44" s="1"/>
  <c r="Y275" i="44" a="1"/>
  <c r="Y275" i="44" s="1"/>
  <c r="Y267" i="44" a="1"/>
  <c r="Y267" i="44" s="1"/>
  <c r="Y259" i="44" a="1"/>
  <c r="Y259" i="44" s="1"/>
  <c r="Y266" i="44" a="1"/>
  <c r="Y266" i="44" s="1"/>
  <c r="Y258" i="44" a="1"/>
  <c r="Y258" i="44" s="1"/>
  <c r="Y260" i="44" a="1"/>
  <c r="Y260" i="44" s="1"/>
  <c r="Y255" i="44" a="1"/>
  <c r="Y255" i="44" s="1"/>
  <c r="Y262" i="44" a="1"/>
  <c r="Y262" i="44" s="1"/>
  <c r="Y220" i="44" a="1"/>
  <c r="Y220" i="44" s="1"/>
  <c r="Y221" i="44" a="1"/>
  <c r="Y221" i="44" s="1"/>
  <c r="Y211" i="44" a="1"/>
  <c r="Y211" i="44" s="1"/>
  <c r="Y210" i="44" a="1"/>
  <c r="Y210" i="44" s="1"/>
  <c r="Y209" i="44" a="1"/>
  <c r="Y209" i="44" s="1"/>
  <c r="Y207" i="44" a="1"/>
  <c r="Y207" i="44" s="1"/>
  <c r="Y206" i="44" a="1"/>
  <c r="Y206" i="44" s="1"/>
  <c r="Y202" i="44" a="1"/>
  <c r="Y202" i="44" s="1"/>
  <c r="Y201" i="44" a="1"/>
  <c r="Y201" i="44" s="1"/>
  <c r="Y198" i="44" a="1"/>
  <c r="Y198" i="44" s="1"/>
  <c r="Y197" i="44" a="1"/>
  <c r="Y197" i="44" s="1"/>
  <c r="Y166" i="44" a="1"/>
  <c r="Y166" i="44" s="1"/>
  <c r="Y141" i="44" a="1"/>
  <c r="Y141" i="44" s="1"/>
  <c r="Y139" i="44" a="1"/>
  <c r="Y139" i="44" s="1"/>
  <c r="Y132" i="44" a="1"/>
  <c r="Y132" i="44" s="1"/>
  <c r="Y130" i="44" a="1"/>
  <c r="Y130" i="44" s="1"/>
  <c r="Y128" i="44" a="1"/>
  <c r="Y128" i="44" s="1"/>
  <c r="Y127" i="44" a="1"/>
  <c r="Y127" i="44" s="1"/>
  <c r="Y125" i="44" a="1"/>
  <c r="Y125" i="44" s="1"/>
  <c r="Y120" i="44" a="1"/>
  <c r="Y120" i="44" s="1"/>
  <c r="Y119" i="44" a="1"/>
  <c r="Y119" i="44" s="1"/>
  <c r="Y117" i="44" a="1"/>
  <c r="Y117" i="44" s="1"/>
  <c r="Y114" i="44" a="1"/>
  <c r="Y114" i="44" s="1"/>
  <c r="Y112" i="44" a="1"/>
  <c r="Y112" i="44" s="1"/>
  <c r="Y110" i="44" a="1"/>
  <c r="Y110" i="44" s="1"/>
  <c r="Y111" i="44" a="1"/>
  <c r="Y111" i="44" s="1"/>
  <c r="Y219" i="44" a="1"/>
  <c r="Y219" i="44" s="1"/>
  <c r="Y204" i="44" a="1"/>
  <c r="Y204" i="44" s="1"/>
  <c r="Y200" i="44" a="1"/>
  <c r="Y200" i="44" s="1"/>
  <c r="Y190" i="44" a="1"/>
  <c r="Y190" i="44" s="1"/>
  <c r="Y175" i="44" a="1"/>
  <c r="Y175" i="44" s="1"/>
  <c r="Y203" i="44" a="1"/>
  <c r="Y203" i="44" s="1"/>
  <c r="Y199" i="44" a="1"/>
  <c r="Y199" i="44" s="1"/>
  <c r="Y142" i="44" a="1"/>
  <c r="Y142" i="44" s="1"/>
  <c r="Y121" i="44" a="1"/>
  <c r="Y121" i="44" s="1"/>
  <c r="Y208" i="44" a="1"/>
  <c r="Y208" i="44" s="1"/>
  <c r="Y194" i="44" a="1"/>
  <c r="Y194" i="44" s="1"/>
  <c r="Y191" i="44" a="1"/>
  <c r="Y191" i="44" s="1"/>
  <c r="Y140" i="44" a="1"/>
  <c r="Y140" i="44" s="1"/>
  <c r="Y131" i="44" a="1"/>
  <c r="Y131" i="44" s="1"/>
  <c r="Y126" i="44" a="1"/>
  <c r="Y126" i="44" s="1"/>
  <c r="Y124" i="44" a="1"/>
  <c r="Y124" i="44" s="1"/>
  <c r="Y122" i="44" a="1"/>
  <c r="Y122" i="44" s="1"/>
  <c r="Y118" i="44" a="1"/>
  <c r="Y118" i="44" s="1"/>
  <c r="Y115" i="44" a="1"/>
  <c r="Y115" i="44" s="1"/>
  <c r="Y193" i="44" a="1"/>
  <c r="Y193" i="44" s="1"/>
  <c r="Y192" i="44" a="1"/>
  <c r="Y192" i="44" s="1"/>
  <c r="Y133" i="44" a="1"/>
  <c r="Y133" i="44" s="1"/>
  <c r="Y129" i="44" a="1"/>
  <c r="Y129" i="44" s="1"/>
  <c r="Y113" i="44" a="1"/>
  <c r="Y113" i="44" s="1"/>
  <c r="Y205" i="44" a="1"/>
  <c r="Y205" i="44" s="1"/>
  <c r="Y196" i="44" a="1"/>
  <c r="Y196" i="44" s="1"/>
  <c r="Y195" i="44" a="1"/>
  <c r="Y195" i="44" s="1"/>
  <c r="Y153" i="44" a="1"/>
  <c r="Y153" i="44" s="1"/>
  <c r="Y134" i="44" a="1"/>
  <c r="Y134" i="44" s="1"/>
  <c r="Y123" i="44" a="1"/>
  <c r="Y123" i="44" s="1"/>
  <c r="Y116" i="44" a="1"/>
  <c r="Y116" i="44" s="1"/>
  <c r="Y337" i="44" a="1"/>
  <c r="Y337" i="44" s="1"/>
  <c r="Y325" i="44" a="1"/>
  <c r="Y325" i="44" s="1"/>
  <c r="Y279" i="44" a="1"/>
  <c r="Y279" i="44" s="1"/>
  <c r="Y294" i="44" a="1"/>
  <c r="Y294" i="44" s="1"/>
  <c r="Y329" i="44" a="1"/>
  <c r="Y329" i="44" s="1"/>
  <c r="Y290" i="44" a="1"/>
  <c r="Y290" i="44" s="1"/>
  <c r="Y283" i="44" a="1"/>
  <c r="Y283" i="44" s="1"/>
  <c r="Y333" i="44" a="1"/>
  <c r="Y333" i="44" s="1"/>
  <c r="Y174" i="44" a="1"/>
  <c r="Y174" i="44" s="1"/>
  <c r="Y152" i="44" a="1"/>
  <c r="Y152" i="44" s="1"/>
  <c r="Y165" i="44" a="1"/>
  <c r="Y165" i="44" s="1"/>
  <c r="Y164" i="44" a="1"/>
  <c r="Y164" i="44" s="1"/>
  <c r="Y173" i="44" a="1"/>
  <c r="Y173" i="44" s="1"/>
  <c r="Y151" i="44" a="1"/>
  <c r="Y151" i="44" s="1"/>
  <c r="Y287" i="44" a="1"/>
  <c r="Y287" i="44" s="1"/>
  <c r="Y330" i="44" a="1"/>
  <c r="Y330" i="44" s="1"/>
  <c r="Y280" i="44" a="1"/>
  <c r="Y280" i="44" s="1"/>
  <c r="Y326" i="44" a="1"/>
  <c r="Y326" i="44" s="1"/>
  <c r="Y276" i="44" a="1"/>
  <c r="Y276" i="44" s="1"/>
  <c r="Y291" i="44" a="1"/>
  <c r="Y291" i="44" s="1"/>
  <c r="Y170" i="44" a="1"/>
  <c r="Y170" i="44" s="1"/>
  <c r="Y147" i="44" a="1"/>
  <c r="Y147" i="44" s="1"/>
  <c r="Y161" i="44" a="1"/>
  <c r="Y161" i="44" s="1"/>
  <c r="Y160" i="44" a="1"/>
  <c r="Y160" i="44" s="1"/>
  <c r="Y148" i="44" a="1"/>
  <c r="Y148" i="44" s="1"/>
  <c r="Y169" i="44" a="1"/>
  <c r="Y169" i="44" s="1"/>
  <c r="Y159" i="44" a="1"/>
  <c r="Y159" i="44" s="1"/>
  <c r="Y158" i="44" a="1"/>
  <c r="Y158" i="44" s="1"/>
  <c r="Y168" i="44" a="1"/>
  <c r="Y168" i="44" s="1"/>
  <c r="Y146" i="44" a="1"/>
  <c r="Y146" i="44" s="1"/>
  <c r="Y338" i="44" a="1"/>
  <c r="Y338" i="44" s="1"/>
  <c r="Y309" i="44" a="1"/>
  <c r="Y309" i="44" s="1"/>
  <c r="Y334" i="44" a="1"/>
  <c r="Y334" i="44" s="1"/>
  <c r="Y318" i="44" a="1"/>
  <c r="Y318" i="44" s="1"/>
  <c r="Y310" i="44" a="1"/>
  <c r="Y310" i="44" s="1"/>
  <c r="Y301" i="44" a="1"/>
  <c r="Y301" i="44" s="1"/>
  <c r="Y238" i="44" a="1"/>
  <c r="Y238" i="44" s="1"/>
  <c r="Y297" i="44" a="1"/>
  <c r="Y297" i="44" s="1"/>
  <c r="Y306" i="44" a="1"/>
  <c r="Y306" i="44" s="1"/>
  <c r="Y315" i="44" a="1"/>
  <c r="Y315" i="44" s="1"/>
  <c r="Y154" i="44" a="1"/>
  <c r="Y154" i="44" s="1"/>
  <c r="Y233" i="44" a="1"/>
  <c r="Y233" i="44" s="1"/>
  <c r="Y176" i="44" a="1"/>
  <c r="Y176" i="44" s="1"/>
  <c r="Y229" i="44" a="1"/>
  <c r="Y229" i="44" s="1"/>
  <c r="Y225" i="44" a="1"/>
  <c r="Y225" i="44" s="1"/>
  <c r="Y167" i="44" a="1"/>
  <c r="Y167" i="44" s="1"/>
  <c r="AA294" i="44" a="1"/>
  <c r="AA294" i="44" s="1"/>
  <c r="AA333" i="44" a="1"/>
  <c r="AA333" i="44" s="1"/>
  <c r="AA279" i="44" a="1"/>
  <c r="AA279" i="44" s="1"/>
  <c r="AA329" i="44" a="1"/>
  <c r="AA329" i="44" s="1"/>
  <c r="AA283" i="44" a="1"/>
  <c r="AA283" i="44" s="1"/>
  <c r="AA290" i="44" a="1"/>
  <c r="AA290" i="44" s="1"/>
  <c r="AA174" i="44" a="1"/>
  <c r="AA174" i="44" s="1"/>
  <c r="AA164" i="44" a="1"/>
  <c r="AA164" i="44" s="1"/>
  <c r="AA152" i="44" a="1"/>
  <c r="AA152" i="44" s="1"/>
  <c r="AA173" i="44" a="1"/>
  <c r="AA173" i="44" s="1"/>
  <c r="AA165" i="44" a="1"/>
  <c r="AA165" i="44" s="1"/>
  <c r="AA151" i="44" a="1"/>
  <c r="AA151" i="44" s="1"/>
  <c r="AA158" i="44" a="1"/>
  <c r="AA158" i="44" s="1"/>
  <c r="AA146" i="44" a="1"/>
  <c r="AA146" i="44" s="1"/>
  <c r="AA235" i="44" a="1"/>
  <c r="AA235" i="44" s="1"/>
  <c r="AA325" i="44" a="1"/>
  <c r="AA325" i="44" s="1"/>
  <c r="AA337" i="44" a="1"/>
  <c r="AA337" i="44" s="1"/>
  <c r="Z265" i="44" a="1"/>
  <c r="Z265" i="44" s="1"/>
  <c r="Z257" i="44" a="1"/>
  <c r="Z257" i="44" s="1"/>
  <c r="Z267" i="44" a="1"/>
  <c r="Z267" i="44" s="1"/>
  <c r="Z259" i="44" a="1"/>
  <c r="Z259" i="44" s="1"/>
  <c r="Z262" i="44" a="1"/>
  <c r="Z262" i="44" s="1"/>
  <c r="Z260" i="44" a="1"/>
  <c r="Z260" i="44" s="1"/>
  <c r="Z261" i="44" a="1"/>
  <c r="Z261" i="44" s="1"/>
  <c r="Z263" i="44" a="1"/>
  <c r="Z263" i="44" s="1"/>
  <c r="Z255" i="44" a="1"/>
  <c r="Z255" i="44" s="1"/>
  <c r="Z272" i="44" a="1"/>
  <c r="Z272" i="44" s="1"/>
  <c r="Z264" i="44" a="1"/>
  <c r="Z264" i="44" s="1"/>
  <c r="Z256" i="44" a="1"/>
  <c r="Z256" i="44" s="1"/>
  <c r="Z258" i="44" a="1"/>
  <c r="Z258" i="44" s="1"/>
  <c r="Z266" i="44" a="1"/>
  <c r="Z266" i="44" s="1"/>
  <c r="Z221" i="44" a="1"/>
  <c r="Z221" i="44" s="1"/>
  <c r="Z210" i="44" a="1"/>
  <c r="Z210" i="44" s="1"/>
  <c r="Z208" i="44" a="1"/>
  <c r="Z208" i="44" s="1"/>
  <c r="Z206" i="44" a="1"/>
  <c r="Z206" i="44" s="1"/>
  <c r="Z200" i="44" a="1"/>
  <c r="Z200" i="44" s="1"/>
  <c r="Z194" i="44" a="1"/>
  <c r="Z194" i="44" s="1"/>
  <c r="Z192" i="44" a="1"/>
  <c r="Z192" i="44" s="1"/>
  <c r="Z175" i="44" a="1"/>
  <c r="Z175" i="44" s="1"/>
  <c r="Z142" i="44" a="1"/>
  <c r="Z142" i="44" s="1"/>
  <c r="Z140" i="44" a="1"/>
  <c r="Z140" i="44" s="1"/>
  <c r="Z134" i="44" a="1"/>
  <c r="Z134" i="44" s="1"/>
  <c r="Z132" i="44" a="1"/>
  <c r="Z132" i="44" s="1"/>
  <c r="Z130" i="44" a="1"/>
  <c r="Z130" i="44" s="1"/>
  <c r="Z128" i="44" a="1"/>
  <c r="Z128" i="44" s="1"/>
  <c r="Z126" i="44" a="1"/>
  <c r="Z126" i="44" s="1"/>
  <c r="Z124" i="44" a="1"/>
  <c r="Z124" i="44" s="1"/>
  <c r="Z122" i="44" a="1"/>
  <c r="Z122" i="44" s="1"/>
  <c r="Z116" i="44" a="1"/>
  <c r="Z116" i="44" s="1"/>
  <c r="Z114" i="44" a="1"/>
  <c r="Z114" i="44" s="1"/>
  <c r="Z209" i="44" a="1"/>
  <c r="Z209" i="44" s="1"/>
  <c r="Z207" i="44" a="1"/>
  <c r="Z207" i="44" s="1"/>
  <c r="Z199" i="44" a="1"/>
  <c r="Z199" i="44" s="1"/>
  <c r="Z198" i="44" a="1"/>
  <c r="Z198" i="44" s="1"/>
  <c r="Z197" i="44" a="1"/>
  <c r="Z197" i="44" s="1"/>
  <c r="Z195" i="44" a="1"/>
  <c r="Z195" i="44" s="1"/>
  <c r="Z153" i="44" a="1"/>
  <c r="Z153" i="44" s="1"/>
  <c r="Z123" i="44" a="1"/>
  <c r="Z123" i="44" s="1"/>
  <c r="Z119" i="44" a="1"/>
  <c r="Z119" i="44" s="1"/>
  <c r="Z193" i="44" a="1"/>
  <c r="Z193" i="44" s="1"/>
  <c r="Z133" i="44" a="1"/>
  <c r="Z133" i="44" s="1"/>
  <c r="Z125" i="44" a="1"/>
  <c r="Z125" i="44" s="1"/>
  <c r="Z118" i="44" a="1"/>
  <c r="Z118" i="44" s="1"/>
  <c r="Z111" i="44" a="1"/>
  <c r="Z111" i="44" s="1"/>
  <c r="Z220" i="44" a="1"/>
  <c r="Z220" i="44" s="1"/>
  <c r="Z204" i="44" a="1"/>
  <c r="Z204" i="44" s="1"/>
  <c r="Z201" i="44" a="1"/>
  <c r="Z201" i="44" s="1"/>
  <c r="Z196" i="44" a="1"/>
  <c r="Z196" i="44" s="1"/>
  <c r="Z166" i="44" a="1"/>
  <c r="Z166" i="44" s="1"/>
  <c r="Z117" i="44" a="1"/>
  <c r="Z117" i="44" s="1"/>
  <c r="Z112" i="44" a="1"/>
  <c r="Z112" i="44" s="1"/>
  <c r="Z211" i="44" a="1"/>
  <c r="Z211" i="44" s="1"/>
  <c r="Z205" i="44" a="1"/>
  <c r="Z205" i="44" s="1"/>
  <c r="Z203" i="44" a="1"/>
  <c r="Z203" i="44" s="1"/>
  <c r="Z202" i="44" a="1"/>
  <c r="Z202" i="44" s="1"/>
  <c r="Z191" i="44" a="1"/>
  <c r="Z191" i="44" s="1"/>
  <c r="Z141" i="44" a="1"/>
  <c r="Z141" i="44" s="1"/>
  <c r="Z131" i="44" a="1"/>
  <c r="Z131" i="44" s="1"/>
  <c r="Z127" i="44" a="1"/>
  <c r="Z127" i="44" s="1"/>
  <c r="Z115" i="44" a="1"/>
  <c r="Z115" i="44" s="1"/>
  <c r="Z129" i="44" a="1"/>
  <c r="Z129" i="44" s="1"/>
  <c r="Z121" i="44" a="1"/>
  <c r="Z121" i="44" s="1"/>
  <c r="Z120" i="44" a="1"/>
  <c r="Z120" i="44" s="1"/>
  <c r="Z113" i="44" a="1"/>
  <c r="Z113" i="44" s="1"/>
  <c r="Z329" i="44" a="1"/>
  <c r="Z329" i="44" s="1"/>
  <c r="Z290" i="44" a="1"/>
  <c r="Z290" i="44" s="1"/>
  <c r="Z279" i="44" a="1"/>
  <c r="Z279" i="44" s="1"/>
  <c r="Z333" i="44" a="1"/>
  <c r="Z333" i="44" s="1"/>
  <c r="Z294" i="44" a="1"/>
  <c r="Z294" i="44" s="1"/>
  <c r="Z283" i="44" a="1"/>
  <c r="Z283" i="44" s="1"/>
  <c r="Z173" i="44" a="1"/>
  <c r="Z173" i="44" s="1"/>
  <c r="Z165" i="44" a="1"/>
  <c r="Z165" i="44" s="1"/>
  <c r="Z164" i="44" a="1"/>
  <c r="Z164" i="44" s="1"/>
  <c r="Z174" i="44" a="1"/>
  <c r="Z174" i="44" s="1"/>
  <c r="Z152" i="44" a="1"/>
  <c r="Z152" i="44" s="1"/>
  <c r="Z151" i="44" a="1"/>
  <c r="Z151" i="44" s="1"/>
  <c r="Z280" i="44" a="1"/>
  <c r="Z280" i="44" s="1"/>
  <c r="Z326" i="44" a="1"/>
  <c r="Z326" i="44" s="1"/>
  <c r="Z276" i="44" a="1"/>
  <c r="Z276" i="44" s="1"/>
  <c r="Z291" i="44" a="1"/>
  <c r="Z291" i="44" s="1"/>
  <c r="Z330" i="44" a="1"/>
  <c r="Z330" i="44" s="1"/>
  <c r="Z169" i="44" a="1"/>
  <c r="Z169" i="44" s="1"/>
  <c r="Z161" i="44" a="1"/>
  <c r="Z161" i="44" s="1"/>
  <c r="Z160" i="44" a="1"/>
  <c r="Z160" i="44" s="1"/>
  <c r="Z159" i="44" a="1"/>
  <c r="Z159" i="44" s="1"/>
  <c r="Z148" i="44" a="1"/>
  <c r="Z148" i="44" s="1"/>
  <c r="Z170" i="44" a="1"/>
  <c r="Z170" i="44" s="1"/>
  <c r="Z147" i="44" a="1"/>
  <c r="Z147" i="44" s="1"/>
  <c r="Z146" i="44" a="1"/>
  <c r="Z146" i="44" s="1"/>
  <c r="Z158" i="44" a="1"/>
  <c r="Z158" i="44" s="1"/>
  <c r="AB321" i="44" a="1"/>
  <c r="AB321" i="44" s="1"/>
  <c r="AB323" i="44" a="1"/>
  <c r="AB323" i="44" s="1"/>
  <c r="Y249" i="44" a="1"/>
  <c r="Y249" i="44" s="1"/>
  <c r="Y253" i="44" a="1"/>
  <c r="Y253" i="44" s="1"/>
  <c r="Y245" i="44" a="1"/>
  <c r="Y245" i="44" s="1"/>
  <c r="Y246" i="44" a="1"/>
  <c r="Y246" i="44" s="1"/>
  <c r="Y273" i="44" a="1"/>
  <c r="Y273" i="44" s="1"/>
  <c r="Y252" i="44" a="1"/>
  <c r="Y252" i="44" s="1"/>
  <c r="Y244" i="44" a="1"/>
  <c r="Y244" i="44" s="1"/>
  <c r="Y251" i="44" a="1"/>
  <c r="Y251" i="44" s="1"/>
  <c r="Y243" i="44" a="1"/>
  <c r="Y243" i="44" s="1"/>
  <c r="Y274" i="44" a="1"/>
  <c r="Y274" i="44" s="1"/>
  <c r="Y250" i="44" a="1"/>
  <c r="Y250" i="44" s="1"/>
  <c r="Y242" i="44" a="1"/>
  <c r="Y242" i="44" s="1"/>
  <c r="Y248" i="44" a="1"/>
  <c r="Y248" i="44" s="1"/>
  <c r="Y247" i="44" a="1"/>
  <c r="Y247" i="44" s="1"/>
  <c r="Y217" i="44" a="1"/>
  <c r="Y217" i="44" s="1"/>
  <c r="Y215" i="44" a="1"/>
  <c r="Y215" i="44" s="1"/>
  <c r="Y188" i="44" a="1"/>
  <c r="Y188" i="44" s="1"/>
  <c r="Y108" i="44" a="1"/>
  <c r="Y108" i="44" s="1"/>
  <c r="Y105" i="44" a="1"/>
  <c r="Y105" i="44" s="1"/>
  <c r="Y107" i="44" a="1"/>
  <c r="Y107" i="44" s="1"/>
  <c r="Y104" i="44" a="1"/>
  <c r="Y104" i="44" s="1"/>
  <c r="Y189" i="44" a="1"/>
  <c r="Y189" i="44" s="1"/>
  <c r="Y216" i="44" a="1"/>
  <c r="Y216" i="44" s="1"/>
  <c r="Y186" i="44" a="1"/>
  <c r="Y186" i="44" s="1"/>
  <c r="Y187" i="44" a="1"/>
  <c r="Y187" i="44" s="1"/>
  <c r="Y185" i="44" a="1"/>
  <c r="Y185" i="44" s="1"/>
  <c r="Y184" i="44" a="1"/>
  <c r="Y184" i="44" s="1"/>
  <c r="Y183" i="44" a="1"/>
  <c r="Y183" i="44" s="1"/>
  <c r="Y109" i="44" a="1"/>
  <c r="Y109" i="44" s="1"/>
  <c r="Y106" i="44" a="1"/>
  <c r="Y106" i="44" s="1"/>
  <c r="Y239" i="44" a="1"/>
  <c r="Y239" i="44" s="1"/>
  <c r="Y235" i="44" a="1"/>
  <c r="Y235" i="44" s="1"/>
  <c r="Y145" i="44" a="1"/>
  <c r="Y145" i="44" s="1"/>
  <c r="Y143" i="44" a="1"/>
  <c r="Y143" i="44" s="1"/>
  <c r="Y157" i="44" a="1"/>
  <c r="Y157" i="44" s="1"/>
  <c r="Y156" i="44" a="1"/>
  <c r="Y156" i="44" s="1"/>
  <c r="Y144" i="44" a="1"/>
  <c r="Y144" i="44" s="1"/>
  <c r="Y155" i="44" a="1"/>
  <c r="Y155" i="44" s="1"/>
  <c r="Y292" i="44" a="1"/>
  <c r="Y292" i="44" s="1"/>
  <c r="Y332" i="44" a="1"/>
  <c r="Y332" i="44" s="1"/>
  <c r="Y278" i="44" a="1"/>
  <c r="Y278" i="44" s="1"/>
  <c r="Y327" i="44" a="1"/>
  <c r="Y327" i="44" s="1"/>
  <c r="Y293" i="44" a="1"/>
  <c r="Y293" i="44" s="1"/>
  <c r="Y277" i="44" a="1"/>
  <c r="Y277" i="44" s="1"/>
  <c r="Y282" i="44" a="1"/>
  <c r="Y282" i="44" s="1"/>
  <c r="Y289" i="44" a="1"/>
  <c r="Y289" i="44" s="1"/>
  <c r="Y281" i="44" a="1"/>
  <c r="Y281" i="44" s="1"/>
  <c r="Y288" i="44" a="1"/>
  <c r="Y288" i="44" s="1"/>
  <c r="Y328" i="44" a="1"/>
  <c r="Y328" i="44" s="1"/>
  <c r="Y331" i="44" a="1"/>
  <c r="Y331" i="44" s="1"/>
  <c r="Y162" i="44" a="1"/>
  <c r="Y162" i="44" s="1"/>
  <c r="Y149" i="44" a="1"/>
  <c r="Y149" i="44" s="1"/>
  <c r="Y171" i="44" a="1"/>
  <c r="Y171" i="44" s="1"/>
  <c r="Y172" i="44" a="1"/>
  <c r="Y172" i="44" s="1"/>
  <c r="Y163" i="44" a="1"/>
  <c r="Y163" i="44" s="1"/>
  <c r="Y150" i="44" a="1"/>
  <c r="Y150" i="44" s="1"/>
  <c r="Y236" i="44" a="1"/>
  <c r="Y236" i="44" s="1"/>
  <c r="Y218" i="44" a="1"/>
  <c r="Y218" i="44" s="1"/>
  <c r="Y269" i="44" a="1"/>
  <c r="Y269" i="44" s="1"/>
  <c r="Y241" i="44" a="1"/>
  <c r="Y241" i="44" s="1"/>
  <c r="Y268" i="44" a="1"/>
  <c r="Y268" i="44" s="1"/>
  <c r="Y270" i="44" a="1"/>
  <c r="Y270" i="44" s="1"/>
  <c r="Y182" i="44" a="1"/>
  <c r="Y182" i="44" s="1"/>
  <c r="Y228" i="44" a="1"/>
  <c r="Y228" i="44" s="1"/>
  <c r="Y214" i="44" a="1"/>
  <c r="Y214" i="44" s="1"/>
  <c r="Y213" i="44" a="1"/>
  <c r="Y213" i="44" s="1"/>
  <c r="Y180" i="44" a="1"/>
  <c r="Y180" i="44" s="1"/>
  <c r="Y137" i="44" a="1"/>
  <c r="Y137" i="44" s="1"/>
  <c r="Y135" i="44" a="1"/>
  <c r="Y135" i="44" s="1"/>
  <c r="Y232" i="44" a="1"/>
  <c r="Y232" i="44" s="1"/>
  <c r="Y223" i="44" a="1"/>
  <c r="Y223" i="44" s="1"/>
  <c r="Y138" i="44" a="1"/>
  <c r="Y138" i="44" s="1"/>
  <c r="Y224" i="44" a="1"/>
  <c r="Y224" i="44" s="1"/>
  <c r="Y212" i="44" a="1"/>
  <c r="Y212" i="44" s="1"/>
  <c r="Y136" i="44" a="1"/>
  <c r="Y136" i="44" s="1"/>
  <c r="Y231" i="44" a="1"/>
  <c r="Y231" i="44" s="1"/>
  <c r="Y227" i="44" a="1"/>
  <c r="Y227" i="44" s="1"/>
  <c r="AA278" i="44" a="1"/>
  <c r="AA278" i="44" s="1"/>
  <c r="AA289" i="44" a="1"/>
  <c r="AA289" i="44" s="1"/>
  <c r="AA281" i="44" a="1"/>
  <c r="AA281" i="44" s="1"/>
  <c r="AA328" i="44" a="1"/>
  <c r="AA328" i="44" s="1"/>
  <c r="AA331" i="44" a="1"/>
  <c r="AA331" i="44" s="1"/>
  <c r="AA293" i="44" a="1"/>
  <c r="AA293" i="44" s="1"/>
  <c r="AA277" i="44" a="1"/>
  <c r="AA277" i="44" s="1"/>
  <c r="AA327" i="44" a="1"/>
  <c r="AA327" i="44" s="1"/>
  <c r="AA292" i="44" a="1"/>
  <c r="AA292" i="44" s="1"/>
  <c r="AA282" i="44" a="1"/>
  <c r="AA282" i="44" s="1"/>
  <c r="AA288" i="44" a="1"/>
  <c r="AA288" i="44" s="1"/>
  <c r="AA332" i="44" a="1"/>
  <c r="AA332" i="44" s="1"/>
  <c r="AA172" i="44" a="1"/>
  <c r="AA172" i="44" s="1"/>
  <c r="AA162" i="44" a="1"/>
  <c r="AA162" i="44" s="1"/>
  <c r="AA163" i="44" a="1"/>
  <c r="AA163" i="44" s="1"/>
  <c r="AA150" i="44" a="1"/>
  <c r="AA150" i="44" s="1"/>
  <c r="AA171" i="44" a="1"/>
  <c r="AA171" i="44" s="1"/>
  <c r="AA149" i="44" a="1"/>
  <c r="AA149" i="44" s="1"/>
  <c r="AA285" i="44" a="1"/>
  <c r="AA285" i="44" s="1"/>
  <c r="AA295" i="44" a="1"/>
  <c r="AA295" i="44" s="1"/>
  <c r="AA336" i="44" a="1"/>
  <c r="AA336" i="44" s="1"/>
  <c r="AA284" i="44" a="1"/>
  <c r="AA284" i="44" s="1"/>
  <c r="AA296" i="44" a="1"/>
  <c r="AA296" i="44" s="1"/>
  <c r="AA261" i="44" a="1"/>
  <c r="AA261" i="44" s="1"/>
  <c r="AA272" i="44" a="1"/>
  <c r="AA272" i="44" s="1"/>
  <c r="AA264" i="44" a="1"/>
  <c r="AA264" i="44" s="1"/>
  <c r="AA263" i="44" a="1"/>
  <c r="AA263" i="44" s="1"/>
  <c r="AA262" i="44" a="1"/>
  <c r="AA262" i="44" s="1"/>
  <c r="AA256" i="44" a="1"/>
  <c r="AA256" i="44" s="1"/>
  <c r="AA255" i="44" a="1"/>
  <c r="AA255" i="44" s="1"/>
  <c r="AA260" i="44" a="1"/>
  <c r="AA260" i="44" s="1"/>
  <c r="AA267" i="44" a="1"/>
  <c r="AA267" i="44" s="1"/>
  <c r="AA259" i="44" a="1"/>
  <c r="AA259" i="44" s="1"/>
  <c r="AA266" i="44" a="1"/>
  <c r="AA266" i="44" s="1"/>
  <c r="AA258" i="44" a="1"/>
  <c r="AA258" i="44" s="1"/>
  <c r="AA265" i="44" a="1"/>
  <c r="AA265" i="44" s="1"/>
  <c r="AA257" i="44" a="1"/>
  <c r="AA257" i="44" s="1"/>
  <c r="AA220" i="44" a="1"/>
  <c r="AA220" i="44" s="1"/>
  <c r="AA203" i="44" a="1"/>
  <c r="AA203" i="44" s="1"/>
  <c r="AA166" i="44" a="1"/>
  <c r="AA166" i="44" s="1"/>
  <c r="AA120" i="44" a="1"/>
  <c r="AA120" i="44" s="1"/>
  <c r="AA118" i="44" a="1"/>
  <c r="AA118" i="44" s="1"/>
  <c r="AA194" i="44" a="1"/>
  <c r="AA194" i="44" s="1"/>
  <c r="AA122" i="44" a="1"/>
  <c r="AA122" i="44" s="1"/>
  <c r="AA116" i="44" a="1"/>
  <c r="AA116" i="44" s="1"/>
  <c r="AA111" i="44" a="1"/>
  <c r="AA111" i="44" s="1"/>
  <c r="AA209" i="44" a="1"/>
  <c r="AA209" i="44" s="1"/>
  <c r="AA198" i="44" a="1"/>
  <c r="AA198" i="44" s="1"/>
  <c r="AA197" i="44" a="1"/>
  <c r="AA197" i="44" s="1"/>
  <c r="AA141" i="44" a="1"/>
  <c r="AA141" i="44" s="1"/>
  <c r="AA132" i="44" a="1"/>
  <c r="AA132" i="44" s="1"/>
  <c r="AA129" i="44" a="1"/>
  <c r="AA129" i="44" s="1"/>
  <c r="AA125" i="44" a="1"/>
  <c r="AA125" i="44" s="1"/>
  <c r="AA123" i="44" a="1"/>
  <c r="AA123" i="44" s="1"/>
  <c r="AA115" i="44" a="1"/>
  <c r="AA115" i="44" s="1"/>
  <c r="AA113" i="44" a="1"/>
  <c r="AA113" i="44" s="1"/>
  <c r="AA210" i="44" a="1"/>
  <c r="AA210" i="44" s="1"/>
  <c r="AA208" i="44" a="1"/>
  <c r="AA208" i="44" s="1"/>
  <c r="AA206" i="44" a="1"/>
  <c r="AA206" i="44" s="1"/>
  <c r="AA204" i="44" a="1"/>
  <c r="AA204" i="44" s="1"/>
  <c r="AA200" i="44" a="1"/>
  <c r="AA200" i="44" s="1"/>
  <c r="AA199" i="44" a="1"/>
  <c r="AA199" i="44" s="1"/>
  <c r="AA196" i="44" a="1"/>
  <c r="AA196" i="44" s="1"/>
  <c r="AA195" i="44" a="1"/>
  <c r="AA195" i="44" s="1"/>
  <c r="AA193" i="44" a="1"/>
  <c r="AA193" i="44" s="1"/>
  <c r="AA192" i="44" a="1"/>
  <c r="AA192" i="44" s="1"/>
  <c r="AA153" i="44" a="1"/>
  <c r="AA153" i="44" s="1"/>
  <c r="AA142" i="44" a="1"/>
  <c r="AA142" i="44" s="1"/>
  <c r="AA140" i="44" a="1"/>
  <c r="AA140" i="44" s="1"/>
  <c r="AA134" i="44" a="1"/>
  <c r="AA134" i="44" s="1"/>
  <c r="AA128" i="44" a="1"/>
  <c r="AA128" i="44" s="1"/>
  <c r="AA126" i="44" a="1"/>
  <c r="AA126" i="44" s="1"/>
  <c r="AA121" i="44" a="1"/>
  <c r="AA121" i="44" s="1"/>
  <c r="AA112" i="44" a="1"/>
  <c r="AA112" i="44" s="1"/>
  <c r="AA175" i="44" a="1"/>
  <c r="AA175" i="44" s="1"/>
  <c r="AA130" i="44" a="1"/>
  <c r="AA130" i="44" s="1"/>
  <c r="AA124" i="44" a="1"/>
  <c r="AA124" i="44" s="1"/>
  <c r="AA114" i="44" a="1"/>
  <c r="AA114" i="44" s="1"/>
  <c r="AA221" i="44" a="1"/>
  <c r="AA221" i="44" s="1"/>
  <c r="AA211" i="44" a="1"/>
  <c r="AA211" i="44" s="1"/>
  <c r="AA207" i="44" a="1"/>
  <c r="AA207" i="44" s="1"/>
  <c r="AA205" i="44" a="1"/>
  <c r="AA205" i="44" s="1"/>
  <c r="AA202" i="44" a="1"/>
  <c r="AA202" i="44" s="1"/>
  <c r="AA201" i="44" a="1"/>
  <c r="AA201" i="44" s="1"/>
  <c r="AA191" i="44" a="1"/>
  <c r="AA191" i="44" s="1"/>
  <c r="AA133" i="44" a="1"/>
  <c r="AA133" i="44" s="1"/>
  <c r="AA131" i="44" a="1"/>
  <c r="AA131" i="44" s="1"/>
  <c r="AA127" i="44" a="1"/>
  <c r="AA127" i="44" s="1"/>
  <c r="AA119" i="44" a="1"/>
  <c r="AA119" i="44" s="1"/>
  <c r="AA117" i="44" a="1"/>
  <c r="AA117" i="44" s="1"/>
  <c r="AA287" i="44" a="1"/>
  <c r="AA287" i="44" s="1"/>
  <c r="AA326" i="44" a="1"/>
  <c r="AA326" i="44" s="1"/>
  <c r="AA276" i="44" a="1"/>
  <c r="AA276" i="44" s="1"/>
  <c r="AA330" i="44" a="1"/>
  <c r="AA330" i="44" s="1"/>
  <c r="AA280" i="44" a="1"/>
  <c r="AA280" i="44" s="1"/>
  <c r="AA291" i="44" a="1"/>
  <c r="AA291" i="44" s="1"/>
  <c r="AA170" i="44" a="1"/>
  <c r="AA170" i="44" s="1"/>
  <c r="AA160" i="44" a="1"/>
  <c r="AA160" i="44" s="1"/>
  <c r="AA159" i="44" a="1"/>
  <c r="AA159" i="44" s="1"/>
  <c r="AA147" i="44" a="1"/>
  <c r="AA147" i="44" s="1"/>
  <c r="AA169" i="44" a="1"/>
  <c r="AA169" i="44" s="1"/>
  <c r="AA161" i="44" a="1"/>
  <c r="AA161" i="44" s="1"/>
  <c r="AA148" i="44" a="1"/>
  <c r="AA148" i="44" s="1"/>
  <c r="AA156" i="44" a="1"/>
  <c r="AA156" i="44" s="1"/>
  <c r="AA157" i="44" a="1"/>
  <c r="AA157" i="44" s="1"/>
  <c r="AA144" i="44" a="1"/>
  <c r="AA144" i="44" s="1"/>
  <c r="AA145" i="44" a="1"/>
  <c r="AA145" i="44" s="1"/>
  <c r="AA143" i="44" a="1"/>
  <c r="AA143" i="44" s="1"/>
  <c r="Z157" i="44" a="1"/>
  <c r="Z157" i="44" s="1"/>
  <c r="Z156" i="44" a="1"/>
  <c r="Z156" i="44" s="1"/>
  <c r="Z144" i="44" a="1"/>
  <c r="Z144" i="44" s="1"/>
  <c r="Z145" i="44" a="1"/>
  <c r="Z145" i="44" s="1"/>
  <c r="Z143" i="44" a="1"/>
  <c r="Z143" i="44" s="1"/>
  <c r="Z288" i="44" a="1"/>
  <c r="Z288" i="44" s="1"/>
  <c r="Z293" i="44" a="1"/>
  <c r="Z293" i="44" s="1"/>
  <c r="Z277" i="44" a="1"/>
  <c r="Z277" i="44" s="1"/>
  <c r="Z289" i="44" a="1"/>
  <c r="Z289" i="44" s="1"/>
  <c r="Z281" i="44" a="1"/>
  <c r="Z281" i="44" s="1"/>
  <c r="Z292" i="44" a="1"/>
  <c r="Z292" i="44" s="1"/>
  <c r="Z282" i="44" a="1"/>
  <c r="Z282" i="44" s="1"/>
  <c r="Z278" i="44" a="1"/>
  <c r="Z278" i="44" s="1"/>
  <c r="Z331" i="44" a="1"/>
  <c r="Z331" i="44" s="1"/>
  <c r="Z332" i="44" a="1"/>
  <c r="Z332" i="44" s="1"/>
  <c r="Z328" i="44" a="1"/>
  <c r="Z328" i="44" s="1"/>
  <c r="Z327" i="44" a="1"/>
  <c r="Z327" i="44" s="1"/>
  <c r="Z172" i="44" a="1"/>
  <c r="Z172" i="44" s="1"/>
  <c r="Z171" i="44" a="1"/>
  <c r="Z171" i="44" s="1"/>
  <c r="Z163" i="44" a="1"/>
  <c r="Z163" i="44" s="1"/>
  <c r="Z150" i="44" a="1"/>
  <c r="Z150" i="44" s="1"/>
  <c r="Z149" i="44" a="1"/>
  <c r="Z149" i="44" s="1"/>
  <c r="Z162" i="44" a="1"/>
  <c r="Z162" i="44" s="1"/>
  <c r="N31" i="44"/>
  <c r="AL48" i="33"/>
  <c r="N19" i="44"/>
  <c r="AL36" i="33"/>
  <c r="O19" i="44" s="1"/>
  <c r="N15" i="44"/>
  <c r="AL32" i="33"/>
  <c r="O15" i="44" s="1"/>
  <c r="N23" i="44"/>
  <c r="AL40" i="33"/>
  <c r="O23" i="44" s="1"/>
  <c r="N27" i="44"/>
  <c r="AB514" i="44" s="1" a="1"/>
  <c r="AB514" i="44" s="1"/>
  <c r="AL44" i="33"/>
  <c r="O27" i="44" s="1"/>
  <c r="AC514" i="44" s="1" a="1"/>
  <c r="AC514" i="44" s="1"/>
  <c r="N21" i="44"/>
  <c r="AL38" i="33"/>
  <c r="O21" i="44" s="1"/>
  <c r="N18" i="44"/>
  <c r="AL35" i="33"/>
  <c r="O18" i="44" s="1"/>
  <c r="N16" i="44"/>
  <c r="AL33" i="33"/>
  <c r="O16" i="44" s="1"/>
  <c r="N20" i="44"/>
  <c r="AB465" i="44" s="1" a="1"/>
  <c r="AB465" i="44" s="1"/>
  <c r="AL37" i="33"/>
  <c r="O20" i="44" s="1"/>
  <c r="AC465" i="44" s="1" a="1"/>
  <c r="AC465" i="44" s="1"/>
  <c r="N17" i="44"/>
  <c r="AL34" i="33"/>
  <c r="O17" i="44" s="1"/>
  <c r="N25" i="44"/>
  <c r="AB509" i="44" s="1" a="1"/>
  <c r="AB509" i="44" s="1"/>
  <c r="AL42" i="33"/>
  <c r="O25" i="44" s="1"/>
  <c r="AC509" i="44" s="1" a="1"/>
  <c r="AC509" i="44" s="1"/>
  <c r="N24" i="44"/>
  <c r="AL41" i="33"/>
  <c r="O24" i="44" s="1"/>
  <c r="N22" i="44"/>
  <c r="AB392" i="44" s="1" a="1"/>
  <c r="AB392" i="44" s="1"/>
  <c r="AL39" i="33"/>
  <c r="O22" i="44" s="1"/>
  <c r="AC392" i="44" s="1" a="1"/>
  <c r="AC392" i="44" s="1"/>
  <c r="H27" i="21"/>
  <c r="H28" i="21"/>
  <c r="H17" i="21"/>
  <c r="N32" i="44"/>
  <c r="M28" i="44"/>
  <c r="AK45" i="33"/>
  <c r="M26" i="44"/>
  <c r="AK43" i="33"/>
  <c r="M29" i="44"/>
  <c r="AK46" i="33"/>
  <c r="M30" i="44"/>
  <c r="AK47" i="33"/>
  <c r="L13" i="44"/>
  <c r="AJ30" i="33"/>
  <c r="H30" i="21"/>
  <c r="H43" i="21"/>
  <c r="AG31" i="33"/>
  <c r="L31" i="44"/>
  <c r="L30" i="44"/>
  <c r="AM90" i="39" l="1"/>
  <c r="AM91" i="39"/>
  <c r="K44" i="61"/>
  <c r="AB508" i="44" a="1"/>
  <c r="AB508" i="44" s="1"/>
  <c r="AB502" i="44" a="1"/>
  <c r="AB502" i="44" s="1"/>
  <c r="AB510" i="44" a="1"/>
  <c r="AB510" i="44" s="1"/>
  <c r="AB503" i="44" a="1"/>
  <c r="AB503" i="44" s="1"/>
  <c r="AB500" i="44" a="1"/>
  <c r="AB500" i="44" s="1"/>
  <c r="AB511" i="44" a="1"/>
  <c r="AB511" i="44" s="1"/>
  <c r="AC479" i="44" a="1"/>
  <c r="AC479" i="44" s="1"/>
  <c r="AC484" i="44" a="1"/>
  <c r="AC484" i="44" s="1"/>
  <c r="AC456" i="44" a="1"/>
  <c r="AC456" i="44" s="1"/>
  <c r="AC480" i="44" a="1"/>
  <c r="AC480" i="44" s="1"/>
  <c r="AC462" i="44" a="1"/>
  <c r="AC462" i="44" s="1"/>
  <c r="AC463" i="44" a="1"/>
  <c r="AC463" i="44" s="1"/>
  <c r="AC455" i="44" a="1"/>
  <c r="AC455" i="44" s="1"/>
  <c r="AC454" i="44" a="1"/>
  <c r="AC454" i="44" s="1"/>
  <c r="AC482" i="44" a="1"/>
  <c r="AC482" i="44" s="1"/>
  <c r="AC460" i="44" a="1"/>
  <c r="AC460" i="44" s="1"/>
  <c r="AC487" i="44" a="1"/>
  <c r="AC487" i="44" s="1"/>
  <c r="AC459" i="44" a="1"/>
  <c r="AC459" i="44" s="1"/>
  <c r="AC457" i="44" a="1"/>
  <c r="AC457" i="44" s="1"/>
  <c r="AC451" i="44" a="1"/>
  <c r="AC451" i="44" s="1"/>
  <c r="AC478" i="44" a="1"/>
  <c r="AC478" i="44" s="1"/>
  <c r="AC450" i="44" a="1"/>
  <c r="AC450" i="44" s="1"/>
  <c r="AC481" i="44" a="1"/>
  <c r="AC481" i="44" s="1"/>
  <c r="AC458" i="44" a="1"/>
  <c r="AC458" i="44" s="1"/>
  <c r="AC461" i="44" a="1"/>
  <c r="AC461" i="44" s="1"/>
  <c r="AC452" i="44" a="1"/>
  <c r="AC452" i="44" s="1"/>
  <c r="AC453" i="44" a="1"/>
  <c r="AC453" i="44" s="1"/>
  <c r="AC464" i="44" a="1"/>
  <c r="AC464" i="44" s="1"/>
  <c r="AC471" i="44" a="1"/>
  <c r="AC471" i="44" s="1"/>
  <c r="AC497" i="44" a="1"/>
  <c r="AC497" i="44" s="1"/>
  <c r="AC489" i="44" a="1"/>
  <c r="AC489" i="44" s="1"/>
  <c r="AC491" i="44" a="1"/>
  <c r="AC491" i="44" s="1"/>
  <c r="AC467" i="44" a="1"/>
  <c r="AC467" i="44" s="1"/>
  <c r="AC490" i="44" a="1"/>
  <c r="AC490" i="44" s="1"/>
  <c r="Z440" i="44" a="1"/>
  <c r="Z440" i="44" s="1"/>
  <c r="Z449" i="44" a="1"/>
  <c r="Z449" i="44" s="1"/>
  <c r="Z486" i="44" a="1"/>
  <c r="Z486" i="44" s="1"/>
  <c r="Z485" i="44" a="1"/>
  <c r="Z485" i="44" s="1"/>
  <c r="Z438" i="44" a="1"/>
  <c r="Z438" i="44" s="1"/>
  <c r="Z442" i="44" a="1"/>
  <c r="Z442" i="44" s="1"/>
  <c r="Z443" i="44" a="1"/>
  <c r="Z443" i="44" s="1"/>
  <c r="Z439" i="44" a="1"/>
  <c r="Z439" i="44" s="1"/>
  <c r="Z448" i="44" a="1"/>
  <c r="Z448" i="44" s="1"/>
  <c r="Z444" i="44" a="1"/>
  <c r="Z444" i="44" s="1"/>
  <c r="Z446" i="44" a="1"/>
  <c r="Z446" i="44" s="1"/>
  <c r="Z441" i="44" a="1"/>
  <c r="Z441" i="44" s="1"/>
  <c r="Z447" i="44" a="1"/>
  <c r="Z447" i="44" s="1"/>
  <c r="Z445" i="44" a="1"/>
  <c r="Z445" i="44" s="1"/>
  <c r="Z437" i="44" a="1"/>
  <c r="Z437" i="44" s="1"/>
  <c r="AC472" i="44" a="1"/>
  <c r="AC472" i="44" s="1"/>
  <c r="AC470" i="44" a="1"/>
  <c r="AC470" i="44" s="1"/>
  <c r="AA512" i="44" a="1"/>
  <c r="AA512" i="44" s="1"/>
  <c r="AA506" i="44" a="1"/>
  <c r="AA506" i="44" s="1"/>
  <c r="AA507" i="44" a="1"/>
  <c r="AA507" i="44" s="1"/>
  <c r="AA436" i="44" a="1"/>
  <c r="AA436" i="44" s="1"/>
  <c r="AA466" i="44" a="1"/>
  <c r="AA466" i="44" s="1"/>
  <c r="AA496" i="44" a="1"/>
  <c r="AA496" i="44" s="1"/>
  <c r="AA505" i="44" a="1"/>
  <c r="AA505" i="44" s="1"/>
  <c r="AA493" i="44" a="1"/>
  <c r="AA493" i="44" s="1"/>
  <c r="AA499" i="44" a="1"/>
  <c r="AA499" i="44" s="1"/>
  <c r="AA504" i="44" a="1"/>
  <c r="AA504" i="44" s="1"/>
  <c r="AA475" i="44" a="1"/>
  <c r="AA475" i="44" s="1"/>
  <c r="AA483" i="44" a="1"/>
  <c r="AA483" i="44" s="1"/>
  <c r="AA488" i="44" a="1"/>
  <c r="AA488" i="44" s="1"/>
  <c r="AA468" i="44" a="1"/>
  <c r="AA468" i="44" s="1"/>
  <c r="AA469" i="44" a="1"/>
  <c r="AA469" i="44" s="1"/>
  <c r="AB478" i="44" a="1"/>
  <c r="AB478" i="44" s="1"/>
  <c r="AB481" i="44" a="1"/>
  <c r="AB481" i="44" s="1"/>
  <c r="AB487" i="44" a="1"/>
  <c r="AB487" i="44" s="1"/>
  <c r="AB461" i="44" a="1"/>
  <c r="AB461" i="44" s="1"/>
  <c r="AB452" i="44" a="1"/>
  <c r="AB452" i="44" s="1"/>
  <c r="AB453" i="44" a="1"/>
  <c r="AB453" i="44" s="1"/>
  <c r="AB484" i="44" a="1"/>
  <c r="AB484" i="44" s="1"/>
  <c r="AB458" i="44" a="1"/>
  <c r="AB458" i="44" s="1"/>
  <c r="AB459" i="44" a="1"/>
  <c r="AB459" i="44" s="1"/>
  <c r="AB463" i="44" a="1"/>
  <c r="AB463" i="44" s="1"/>
  <c r="AB454" i="44" a="1"/>
  <c r="AB454" i="44" s="1"/>
  <c r="AB451" i="44" a="1"/>
  <c r="AB451" i="44" s="1"/>
  <c r="AB450" i="44" a="1"/>
  <c r="AB450" i="44" s="1"/>
  <c r="AB456" i="44" a="1"/>
  <c r="AB456" i="44" s="1"/>
  <c r="AB480" i="44" a="1"/>
  <c r="AB480" i="44" s="1"/>
  <c r="AB457" i="44" a="1"/>
  <c r="AB457" i="44" s="1"/>
  <c r="AB460" i="44" a="1"/>
  <c r="AB460" i="44" s="1"/>
  <c r="AB455" i="44" a="1"/>
  <c r="AB455" i="44" s="1"/>
  <c r="AB482" i="44" a="1"/>
  <c r="AB482" i="44" s="1"/>
  <c r="AB479" i="44" a="1"/>
  <c r="AB479" i="44" s="1"/>
  <c r="AB462" i="44" a="1"/>
  <c r="AB462" i="44" s="1"/>
  <c r="AB470" i="44" a="1"/>
  <c r="AB470" i="44" s="1"/>
  <c r="AB472" i="44" a="1"/>
  <c r="AB472" i="44" s="1"/>
  <c r="AB464" i="44" a="1"/>
  <c r="AB464" i="44" s="1"/>
  <c r="AB471" i="44" a="1"/>
  <c r="AB471" i="44" s="1"/>
  <c r="Z511" i="44" a="1"/>
  <c r="Z511" i="44" s="1"/>
  <c r="Z500" i="44" a="1"/>
  <c r="Z500" i="44" s="1"/>
  <c r="AB434" i="44" a="1"/>
  <c r="AB434" i="44" s="1"/>
  <c r="AB498" i="44" a="1"/>
  <c r="AB498" i="44" s="1"/>
  <c r="AB477" i="44" a="1"/>
  <c r="AB477" i="44" s="1"/>
  <c r="AB494" i="44" a="1"/>
  <c r="AB494" i="44" s="1"/>
  <c r="AB495" i="44" a="1"/>
  <c r="AB495" i="44" s="1"/>
  <c r="AB492" i="44" a="1"/>
  <c r="AB492" i="44" s="1"/>
  <c r="AB476" i="44" a="1"/>
  <c r="AB476" i="44" s="1"/>
  <c r="AB513" i="44" a="1"/>
  <c r="AB513" i="44" s="1"/>
  <c r="AB501" i="44" a="1"/>
  <c r="AB501" i="44" s="1"/>
  <c r="AC508" i="44" a="1"/>
  <c r="AC508" i="44" s="1"/>
  <c r="AC510" i="44" a="1"/>
  <c r="AC510" i="44" s="1"/>
  <c r="AC502" i="44" a="1"/>
  <c r="AC502" i="44" s="1"/>
  <c r="AC503" i="44" a="1"/>
  <c r="AC503" i="44" s="1"/>
  <c r="AM93" i="47" a="1"/>
  <c r="AM93" i="47" s="1"/>
  <c r="AM181" i="54" a="1"/>
  <c r="AM181" i="54" s="1"/>
  <c r="AM197" i="54" a="1"/>
  <c r="AM197" i="54" s="1"/>
  <c r="J43" i="61" s="1"/>
  <c r="AM81" i="39"/>
  <c r="AM71" i="39"/>
  <c r="AM158" i="54"/>
  <c r="J42" i="61" s="1"/>
  <c r="O32" i="44"/>
  <c r="K19" i="21"/>
  <c r="AC308" i="44" a="1"/>
  <c r="AC308" i="44" s="1"/>
  <c r="AC317" i="44" a="1"/>
  <c r="AC317" i="44" s="1"/>
  <c r="AC417" i="44" a="1"/>
  <c r="AC417" i="44" s="1"/>
  <c r="AC303" i="44" a="1"/>
  <c r="AC303" i="44" s="1"/>
  <c r="AC411" i="44" a="1"/>
  <c r="AC411" i="44" s="1"/>
  <c r="AC299" i="44" a="1"/>
  <c r="AC299" i="44" s="1"/>
  <c r="AC320" i="44" a="1"/>
  <c r="AC320" i="44" s="1"/>
  <c r="AC312" i="44" a="1"/>
  <c r="AC312" i="44" s="1"/>
  <c r="AC322" i="44" a="1"/>
  <c r="AC322" i="44" s="1"/>
  <c r="O31" i="44"/>
  <c r="AC340" i="44" s="1" a="1"/>
  <c r="AC340" i="44" s="1"/>
  <c r="AL85" i="33"/>
  <c r="AM85" i="33" s="1"/>
  <c r="H21" i="39" s="1"/>
  <c r="AB418" i="44" a="1"/>
  <c r="AB418" i="44" s="1"/>
  <c r="AB432" i="44" a="1"/>
  <c r="AB432" i="44" s="1"/>
  <c r="AA435" i="44" a="1"/>
  <c r="AA435" i="44" s="1"/>
  <c r="AA433" i="44" a="1"/>
  <c r="AA433" i="44" s="1"/>
  <c r="AC418" i="44" a="1"/>
  <c r="AC418" i="44" s="1"/>
  <c r="AC432" i="44" a="1"/>
  <c r="AC432" i="44" s="1"/>
  <c r="AC399" i="44" a="1"/>
  <c r="AC399" i="44" s="1"/>
  <c r="AC385" i="44" a="1"/>
  <c r="AC385" i="44" s="1"/>
  <c r="Z325" i="44" a="1"/>
  <c r="Z325" i="44" s="1"/>
  <c r="Z405" i="44" a="1"/>
  <c r="Z405" i="44" s="1"/>
  <c r="Z341" i="44" a="1"/>
  <c r="Z341" i="44" s="1"/>
  <c r="Z408" i="44" a="1"/>
  <c r="Z408" i="44" s="1"/>
  <c r="AA181" i="44" a="1"/>
  <c r="AA181" i="44" s="1"/>
  <c r="AA407" i="44" a="1"/>
  <c r="AA407" i="44" s="1"/>
  <c r="AA413" i="44" a="1"/>
  <c r="AA413" i="44" s="1"/>
  <c r="AA429" i="44" a="1"/>
  <c r="AA429" i="44" s="1"/>
  <c r="AA406" i="44" a="1"/>
  <c r="AA406" i="44" s="1"/>
  <c r="AA389" i="44" a="1"/>
  <c r="AA389" i="44" s="1"/>
  <c r="AA374" i="44" a="1"/>
  <c r="AA374" i="44" s="1"/>
  <c r="AA412" i="44" a="1"/>
  <c r="AA412" i="44" s="1"/>
  <c r="AA427" i="44" a="1"/>
  <c r="AA427" i="44" s="1"/>
  <c r="AA426" i="44" a="1"/>
  <c r="AA426" i="44" s="1"/>
  <c r="AA428" i="44" a="1"/>
  <c r="AA428" i="44" s="1"/>
  <c r="AA414" i="44" a="1"/>
  <c r="AA414" i="44" s="1"/>
  <c r="AA400" i="44" a="1"/>
  <c r="AA400" i="44" s="1"/>
  <c r="AA404" i="44" a="1"/>
  <c r="AA404" i="44" s="1"/>
  <c r="AA388" i="44" a="1"/>
  <c r="AA388" i="44" s="1"/>
  <c r="AA409" i="44" a="1"/>
  <c r="AA409" i="44" s="1"/>
  <c r="AB385" i="44" a="1"/>
  <c r="AB385" i="44" s="1"/>
  <c r="AB399" i="44" a="1"/>
  <c r="AB399" i="44" s="1"/>
  <c r="AB384" i="44" a="1"/>
  <c r="AB384" i="44" s="1"/>
  <c r="AB368" i="44" a="1"/>
  <c r="AB368" i="44" s="1"/>
  <c r="AB372" i="44" a="1"/>
  <c r="AB372" i="44" s="1"/>
  <c r="AB373" i="44" a="1"/>
  <c r="AB373" i="44" s="1"/>
  <c r="AB376" i="44" a="1"/>
  <c r="AB376" i="44" s="1"/>
  <c r="AB357" i="44" a="1"/>
  <c r="AB357" i="44" s="1"/>
  <c r="AB383" i="44" a="1"/>
  <c r="AB383" i="44" s="1"/>
  <c r="AB366" i="44" a="1"/>
  <c r="AB366" i="44" s="1"/>
  <c r="AB367" i="44" a="1"/>
  <c r="AB367" i="44" s="1"/>
  <c r="AB358" i="44" a="1"/>
  <c r="AB358" i="44" s="1"/>
  <c r="AB377" i="44" a="1"/>
  <c r="AB377" i="44" s="1"/>
  <c r="AB375" i="44" a="1"/>
  <c r="AB375" i="44" s="1"/>
  <c r="AB356" i="44" a="1"/>
  <c r="AB356" i="44" s="1"/>
  <c r="AB369" i="44" a="1"/>
  <c r="AB369" i="44" s="1"/>
  <c r="AB371" i="44" a="1"/>
  <c r="AB371" i="44" s="1"/>
  <c r="AB360" i="44" a="1"/>
  <c r="AB360" i="44" s="1"/>
  <c r="AB365" i="44" a="1"/>
  <c r="AB365" i="44" s="1"/>
  <c r="AB361" i="44" a="1"/>
  <c r="AB361" i="44" s="1"/>
  <c r="AB364" i="44" a="1"/>
  <c r="AB364" i="44" s="1"/>
  <c r="AB382" i="44" a="1"/>
  <c r="AB382" i="44" s="1"/>
  <c r="AB363" i="44" a="1"/>
  <c r="AB363" i="44" s="1"/>
  <c r="AB362" i="44" a="1"/>
  <c r="AB362" i="44" s="1"/>
  <c r="AB359" i="44" a="1"/>
  <c r="AB359" i="44" s="1"/>
  <c r="AB370" i="44" a="1"/>
  <c r="AB370" i="44" s="1"/>
  <c r="AB355" i="44" a="1"/>
  <c r="AB355" i="44" s="1"/>
  <c r="Z190" i="44" a="1"/>
  <c r="Z190" i="44" s="1"/>
  <c r="Z350" i="44" a="1"/>
  <c r="Z350" i="44" s="1"/>
  <c r="Z346" i="44" a="1"/>
  <c r="Z346" i="44" s="1"/>
  <c r="Z380" i="44" a="1"/>
  <c r="Z380" i="44" s="1"/>
  <c r="Z354" i="44" a="1"/>
  <c r="Z354" i="44" s="1"/>
  <c r="Z379" i="44" a="1"/>
  <c r="Z379" i="44" s="1"/>
  <c r="Z349" i="44" a="1"/>
  <c r="Z349" i="44" s="1"/>
  <c r="Z351" i="44" a="1"/>
  <c r="Z351" i="44" s="1"/>
  <c r="Z343" i="44" a="1"/>
  <c r="Z343" i="44" s="1"/>
  <c r="Z342" i="44" a="1"/>
  <c r="Z342" i="44" s="1"/>
  <c r="Z381" i="44" a="1"/>
  <c r="Z381" i="44" s="1"/>
  <c r="Z353" i="44" a="1"/>
  <c r="Z353" i="44" s="1"/>
  <c r="Z378" i="44" a="1"/>
  <c r="Z378" i="44" s="1"/>
  <c r="Z352" i="44" a="1"/>
  <c r="Z352" i="44" s="1"/>
  <c r="Z344" i="44" a="1"/>
  <c r="Z344" i="44" s="1"/>
  <c r="Z347" i="44" a="1"/>
  <c r="Z347" i="44" s="1"/>
  <c r="Z345" i="44" a="1"/>
  <c r="Z345" i="44" s="1"/>
  <c r="Z348" i="44" a="1"/>
  <c r="Z348" i="44" s="1"/>
  <c r="AB410" i="44" a="1"/>
  <c r="AB410" i="44" s="1"/>
  <c r="AB398" i="44" a="1"/>
  <c r="AB398" i="44" s="1"/>
  <c r="AA239" i="44" a="1"/>
  <c r="AA239" i="44" s="1"/>
  <c r="AA416" i="44" a="1"/>
  <c r="AA416" i="44" s="1"/>
  <c r="AA397" i="44" a="1"/>
  <c r="AA397" i="44" s="1"/>
  <c r="AA403" i="44" a="1"/>
  <c r="AA403" i="44" s="1"/>
  <c r="AA431" i="44" a="1"/>
  <c r="AA431" i="44" s="1"/>
  <c r="AA396" i="44" a="1"/>
  <c r="AA396" i="44" s="1"/>
  <c r="AA423" i="44" a="1"/>
  <c r="AA423" i="44" s="1"/>
  <c r="AA237" i="44" a="1"/>
  <c r="AA237" i="44" s="1"/>
  <c r="AA419" i="44" a="1"/>
  <c r="AA419" i="44" s="1"/>
  <c r="AB401" i="44" a="1"/>
  <c r="AB401" i="44" s="1"/>
  <c r="AB402" i="44" a="1"/>
  <c r="AB402" i="44" s="1"/>
  <c r="AB387" i="44" a="1"/>
  <c r="AB387" i="44" s="1"/>
  <c r="AB394" i="44" a="1"/>
  <c r="AB394" i="44" s="1"/>
  <c r="AB391" i="44" a="1"/>
  <c r="AB391" i="44" s="1"/>
  <c r="AB395" i="44" a="1"/>
  <c r="AB395" i="44" s="1"/>
  <c r="AB393" i="44" a="1"/>
  <c r="AB393" i="44" s="1"/>
  <c r="AB386" i="44" a="1"/>
  <c r="AB386" i="44" s="1"/>
  <c r="AB420" i="44" a="1"/>
  <c r="AB420" i="44" s="1"/>
  <c r="AB425" i="44" a="1"/>
  <c r="AB425" i="44" s="1"/>
  <c r="AB424" i="44" a="1"/>
  <c r="AB424" i="44" s="1"/>
  <c r="AB408" i="44" a="1"/>
  <c r="AB408" i="44" s="1"/>
  <c r="AB341" i="44" a="1"/>
  <c r="AB341" i="44" s="1"/>
  <c r="AB405" i="44" a="1"/>
  <c r="AB405" i="44" s="1"/>
  <c r="AC371" i="44" a="1"/>
  <c r="AC371" i="44" s="1"/>
  <c r="AC367" i="44" a="1"/>
  <c r="AC367" i="44" s="1"/>
  <c r="AC364" i="44" a="1"/>
  <c r="AC364" i="44" s="1"/>
  <c r="AC383" i="44" a="1"/>
  <c r="AC383" i="44" s="1"/>
  <c r="AC370" i="44" a="1"/>
  <c r="AC370" i="44" s="1"/>
  <c r="AC360" i="44" a="1"/>
  <c r="AC360" i="44" s="1"/>
  <c r="AC363" i="44" a="1"/>
  <c r="AC363" i="44" s="1"/>
  <c r="AC355" i="44" a="1"/>
  <c r="AC355" i="44" s="1"/>
  <c r="AC365" i="44" a="1"/>
  <c r="AC365" i="44" s="1"/>
  <c r="AC356" i="44" a="1"/>
  <c r="AC356" i="44" s="1"/>
  <c r="AC373" i="44" a="1"/>
  <c r="AC373" i="44" s="1"/>
  <c r="AC361" i="44" a="1"/>
  <c r="AC361" i="44" s="1"/>
  <c r="AC368" i="44" a="1"/>
  <c r="AC368" i="44" s="1"/>
  <c r="AC377" i="44" a="1"/>
  <c r="AC377" i="44" s="1"/>
  <c r="AC375" i="44" a="1"/>
  <c r="AC375" i="44" s="1"/>
  <c r="AC357" i="44" a="1"/>
  <c r="AC357" i="44" s="1"/>
  <c r="AC382" i="44" a="1"/>
  <c r="AC382" i="44" s="1"/>
  <c r="AC366" i="44" a="1"/>
  <c r="AC366" i="44" s="1"/>
  <c r="AC359" i="44" a="1"/>
  <c r="AC359" i="44" s="1"/>
  <c r="AC362" i="44" a="1"/>
  <c r="AC362" i="44" s="1"/>
  <c r="AC376" i="44" a="1"/>
  <c r="AC376" i="44" s="1"/>
  <c r="AC358" i="44" a="1"/>
  <c r="AC358" i="44" s="1"/>
  <c r="AC372" i="44" a="1"/>
  <c r="AC372" i="44" s="1"/>
  <c r="AC384" i="44" a="1"/>
  <c r="AC384" i="44" s="1"/>
  <c r="AC369" i="44" a="1"/>
  <c r="AC369" i="44" s="1"/>
  <c r="AA339" i="44" a="1"/>
  <c r="AA339" i="44" s="1"/>
  <c r="AA430" i="44" a="1"/>
  <c r="AA430" i="44" s="1"/>
  <c r="AA422" i="44" a="1"/>
  <c r="AA422" i="44" s="1"/>
  <c r="AA421" i="44" a="1"/>
  <c r="AA421" i="44" s="1"/>
  <c r="AA415" i="44" a="1"/>
  <c r="AA415" i="44" s="1"/>
  <c r="Z239" i="44" a="1"/>
  <c r="Z239" i="44" s="1"/>
  <c r="Z397" i="44" a="1"/>
  <c r="Z397" i="44" s="1"/>
  <c r="Z396" i="44" a="1"/>
  <c r="Z396" i="44" s="1"/>
  <c r="Z423" i="44" a="1"/>
  <c r="Z423" i="44" s="1"/>
  <c r="Z416" i="44" a="1"/>
  <c r="Z416" i="44" s="1"/>
  <c r="Z431" i="44" a="1"/>
  <c r="Z431" i="44" s="1"/>
  <c r="Z403" i="44" a="1"/>
  <c r="Z403" i="44" s="1"/>
  <c r="AC393" i="44" a="1"/>
  <c r="AC393" i="44" s="1"/>
  <c r="AC387" i="44" a="1"/>
  <c r="AC387" i="44" s="1"/>
  <c r="AC386" i="44" a="1"/>
  <c r="AC386" i="44" s="1"/>
  <c r="AC391" i="44" a="1"/>
  <c r="AC391" i="44" s="1"/>
  <c r="AC401" i="44" a="1"/>
  <c r="AC401" i="44" s="1"/>
  <c r="AC394" i="44" a="1"/>
  <c r="AC394" i="44" s="1"/>
  <c r="AC395" i="44" a="1"/>
  <c r="AC395" i="44" s="1"/>
  <c r="AC402" i="44" a="1"/>
  <c r="AC402" i="44" s="1"/>
  <c r="AC425" i="44" a="1"/>
  <c r="AC425" i="44" s="1"/>
  <c r="AC424" i="44" a="1"/>
  <c r="AC424" i="44" s="1"/>
  <c r="AC420" i="44" a="1"/>
  <c r="AC420" i="44" s="1"/>
  <c r="AC405" i="44" a="1"/>
  <c r="AC405" i="44" s="1"/>
  <c r="AB222" i="44" a="1"/>
  <c r="AB222" i="44" s="1"/>
  <c r="Z110" i="44" a="1"/>
  <c r="Z110" i="44" s="1"/>
  <c r="AA271" i="44" a="1"/>
  <c r="AA271" i="44" s="1"/>
  <c r="Z254" i="44" a="1"/>
  <c r="Z254" i="44" s="1"/>
  <c r="Z275" i="44" a="1"/>
  <c r="Z275" i="44" s="1"/>
  <c r="Z235" i="44" a="1"/>
  <c r="Z235" i="44" s="1"/>
  <c r="Z168" i="44" a="1"/>
  <c r="Z168" i="44" s="1"/>
  <c r="AA168" i="44" a="1"/>
  <c r="AA168" i="44" s="1"/>
  <c r="AA177" i="44" a="1"/>
  <c r="AA177" i="44" s="1"/>
  <c r="Z155" i="44" a="1"/>
  <c r="Z155" i="44" s="1"/>
  <c r="AA219" i="44" a="1"/>
  <c r="AA219" i="44" s="1"/>
  <c r="Z287" i="44" a="1"/>
  <c r="Z287" i="44" s="1"/>
  <c r="AA234" i="44" a="1"/>
  <c r="AA234" i="44" s="1"/>
  <c r="AA311" i="44" a="1"/>
  <c r="AA311" i="44" s="1"/>
  <c r="AA307" i="44" a="1"/>
  <c r="AA307" i="44" s="1"/>
  <c r="AA319" i="44" a="1"/>
  <c r="AA319" i="44" s="1"/>
  <c r="AA230" i="44" a="1"/>
  <c r="AA230" i="44" s="1"/>
  <c r="AA302" i="44" a="1"/>
  <c r="AA302" i="44" s="1"/>
  <c r="AA298" i="44" a="1"/>
  <c r="AA298" i="44" s="1"/>
  <c r="AA226" i="44" a="1"/>
  <c r="AA226" i="44" s="1"/>
  <c r="AA316" i="44" a="1"/>
  <c r="AA316" i="44" s="1"/>
  <c r="Z311" i="44" a="1"/>
  <c r="Z311" i="44" s="1"/>
  <c r="Z298" i="44" a="1"/>
  <c r="Z298" i="44" s="1"/>
  <c r="Z307" i="44" a="1"/>
  <c r="Z307" i="44" s="1"/>
  <c r="Z302" i="44" a="1"/>
  <c r="Z302" i="44" s="1"/>
  <c r="Z316" i="44" a="1"/>
  <c r="Z316" i="44" s="1"/>
  <c r="Z319" i="44" a="1"/>
  <c r="Z319" i="44" s="1"/>
  <c r="AC222" i="44" a="1"/>
  <c r="AC222" i="44" s="1"/>
  <c r="AA155" i="44" a="1"/>
  <c r="AA155" i="44" s="1"/>
  <c r="AA139" i="44" a="1"/>
  <c r="AA139" i="44" s="1"/>
  <c r="AA335" i="44" a="1"/>
  <c r="AA335" i="44" s="1"/>
  <c r="Z177" i="44" a="1"/>
  <c r="Z177" i="44" s="1"/>
  <c r="AC325" i="44" a="1"/>
  <c r="AC325" i="44" s="1"/>
  <c r="AC337" i="44" a="1"/>
  <c r="AC337" i="44" s="1"/>
  <c r="AC272" i="44" a="1"/>
  <c r="AC272" i="44" s="1"/>
  <c r="AC256" i="44" a="1"/>
  <c r="AC256" i="44" s="1"/>
  <c r="AC263" i="44" a="1"/>
  <c r="AC263" i="44" s="1"/>
  <c r="AC265" i="44" a="1"/>
  <c r="AC265" i="44" s="1"/>
  <c r="AC259" i="44" a="1"/>
  <c r="AC259" i="44" s="1"/>
  <c r="AC266" i="44" a="1"/>
  <c r="AC266" i="44" s="1"/>
  <c r="AC261" i="44" a="1"/>
  <c r="AC261" i="44" s="1"/>
  <c r="AC264" i="44" a="1"/>
  <c r="AC264" i="44" s="1"/>
  <c r="AC255" i="44" a="1"/>
  <c r="AC255" i="44" s="1"/>
  <c r="AC262" i="44" a="1"/>
  <c r="AC262" i="44" s="1"/>
  <c r="AC257" i="44" a="1"/>
  <c r="AC257" i="44" s="1"/>
  <c r="AC260" i="44" a="1"/>
  <c r="AC260" i="44" s="1"/>
  <c r="AC267" i="44" a="1"/>
  <c r="AC267" i="44" s="1"/>
  <c r="AC258" i="44" a="1"/>
  <c r="AC258" i="44" s="1"/>
  <c r="AC210" i="44" a="1"/>
  <c r="AC210" i="44" s="1"/>
  <c r="AC206" i="44" a="1"/>
  <c r="AC206" i="44" s="1"/>
  <c r="AC202" i="44" a="1"/>
  <c r="AC202" i="44" s="1"/>
  <c r="AC198" i="44" a="1"/>
  <c r="AC198" i="44" s="1"/>
  <c r="AC194" i="44" a="1"/>
  <c r="AC194" i="44" s="1"/>
  <c r="AC140" i="44" a="1"/>
  <c r="AC140" i="44" s="1"/>
  <c r="AC132" i="44" a="1"/>
  <c r="AC132" i="44" s="1"/>
  <c r="AC128" i="44" a="1"/>
  <c r="AC128" i="44" s="1"/>
  <c r="AC124" i="44" a="1"/>
  <c r="AC124" i="44" s="1"/>
  <c r="AC120" i="44" a="1"/>
  <c r="AC120" i="44" s="1"/>
  <c r="AC116" i="44" a="1"/>
  <c r="AC116" i="44" s="1"/>
  <c r="AC112" i="44" a="1"/>
  <c r="AC112" i="44" s="1"/>
  <c r="AC209" i="44" a="1"/>
  <c r="AC209" i="44" s="1"/>
  <c r="AC205" i="44" a="1"/>
  <c r="AC205" i="44" s="1"/>
  <c r="AC201" i="44" a="1"/>
  <c r="AC201" i="44" s="1"/>
  <c r="AC197" i="44" a="1"/>
  <c r="AC197" i="44" s="1"/>
  <c r="AC193" i="44" a="1"/>
  <c r="AC193" i="44" s="1"/>
  <c r="AC175" i="44" a="1"/>
  <c r="AC175" i="44" s="1"/>
  <c r="AC131" i="44" a="1"/>
  <c r="AC131" i="44" s="1"/>
  <c r="AC127" i="44" a="1"/>
  <c r="AC127" i="44" s="1"/>
  <c r="AC123" i="44" a="1"/>
  <c r="AC123" i="44" s="1"/>
  <c r="AC119" i="44" a="1"/>
  <c r="AC119" i="44" s="1"/>
  <c r="AC115" i="44" a="1"/>
  <c r="AC115" i="44" s="1"/>
  <c r="AC111" i="44" a="1"/>
  <c r="AC111" i="44" s="1"/>
  <c r="AC220" i="44" a="1"/>
  <c r="AC220" i="44" s="1"/>
  <c r="AC221" i="44" a="1"/>
  <c r="AC221" i="44" s="1"/>
  <c r="AC208" i="44" a="1"/>
  <c r="AC208" i="44" s="1"/>
  <c r="AC204" i="44" a="1"/>
  <c r="AC204" i="44" s="1"/>
  <c r="AC200" i="44" a="1"/>
  <c r="AC200" i="44" s="1"/>
  <c r="AC196" i="44" a="1"/>
  <c r="AC196" i="44" s="1"/>
  <c r="AC192" i="44" a="1"/>
  <c r="AC192" i="44" s="1"/>
  <c r="AC166" i="44" a="1"/>
  <c r="AC166" i="44" s="1"/>
  <c r="AC142" i="44" a="1"/>
  <c r="AC142" i="44" s="1"/>
  <c r="AC134" i="44" a="1"/>
  <c r="AC134" i="44" s="1"/>
  <c r="AC130" i="44" a="1"/>
  <c r="AC130" i="44" s="1"/>
  <c r="AC126" i="44" a="1"/>
  <c r="AC126" i="44" s="1"/>
  <c r="AC122" i="44" a="1"/>
  <c r="AC122" i="44" s="1"/>
  <c r="AC118" i="44" a="1"/>
  <c r="AC118" i="44" s="1"/>
  <c r="AC114" i="44" a="1"/>
  <c r="AC114" i="44" s="1"/>
  <c r="AC211" i="44" a="1"/>
  <c r="AC211" i="44" s="1"/>
  <c r="AC207" i="44" a="1"/>
  <c r="AC207" i="44" s="1"/>
  <c r="AC203" i="44" a="1"/>
  <c r="AC203" i="44" s="1"/>
  <c r="AC199" i="44" a="1"/>
  <c r="AC199" i="44" s="1"/>
  <c r="AC195" i="44" a="1"/>
  <c r="AC195" i="44" s="1"/>
  <c r="AC191" i="44" a="1"/>
  <c r="AC191" i="44" s="1"/>
  <c r="AC153" i="44" a="1"/>
  <c r="AC153" i="44" s="1"/>
  <c r="AC141" i="44" a="1"/>
  <c r="AC141" i="44" s="1"/>
  <c r="AC133" i="44" a="1"/>
  <c r="AC133" i="44" s="1"/>
  <c r="AC129" i="44" a="1"/>
  <c r="AC129" i="44" s="1"/>
  <c r="AC125" i="44" a="1"/>
  <c r="AC125" i="44" s="1"/>
  <c r="AC121" i="44" a="1"/>
  <c r="AC121" i="44" s="1"/>
  <c r="AC117" i="44" a="1"/>
  <c r="AC117" i="44" s="1"/>
  <c r="AC113" i="44" a="1"/>
  <c r="AC113" i="44" s="1"/>
  <c r="AC158" i="44" a="1"/>
  <c r="AC158" i="44" s="1"/>
  <c r="AC146" i="44" a="1"/>
  <c r="AC146" i="44" s="1"/>
  <c r="AC156" i="44" a="1"/>
  <c r="AC156" i="44" s="1"/>
  <c r="AC144" i="44" a="1"/>
  <c r="AC144" i="44" s="1"/>
  <c r="AC143" i="44" a="1"/>
  <c r="AC143" i="44" s="1"/>
  <c r="AC157" i="44" a="1"/>
  <c r="AC157" i="44" s="1"/>
  <c r="AC145" i="44" a="1"/>
  <c r="AC145" i="44" s="1"/>
  <c r="AC288" i="44" a="1"/>
  <c r="AC288" i="44" s="1"/>
  <c r="AC327" i="44" a="1"/>
  <c r="AC327" i="44" s="1"/>
  <c r="AC281" i="44" a="1"/>
  <c r="AC281" i="44" s="1"/>
  <c r="AC332" i="44" a="1"/>
  <c r="AC332" i="44" s="1"/>
  <c r="AC282" i="44" a="1"/>
  <c r="AC282" i="44" s="1"/>
  <c r="AC293" i="44" a="1"/>
  <c r="AC293" i="44" s="1"/>
  <c r="AC277" i="44" a="1"/>
  <c r="AC277" i="44" s="1"/>
  <c r="AC328" i="44" a="1"/>
  <c r="AC328" i="44" s="1"/>
  <c r="AC278" i="44" a="1"/>
  <c r="AC278" i="44" s="1"/>
  <c r="AC289" i="44" a="1"/>
  <c r="AC289" i="44" s="1"/>
  <c r="AC292" i="44" a="1"/>
  <c r="AC292" i="44" s="1"/>
  <c r="AC331" i="44" a="1"/>
  <c r="AC331" i="44" s="1"/>
  <c r="AC172" i="44" a="1"/>
  <c r="AC172" i="44" s="1"/>
  <c r="AC171" i="44" a="1"/>
  <c r="AC171" i="44" s="1"/>
  <c r="AC163" i="44" a="1"/>
  <c r="AC163" i="44" s="1"/>
  <c r="AC162" i="44" a="1"/>
  <c r="AC162" i="44" s="1"/>
  <c r="AC150" i="44" a="1"/>
  <c r="AC150" i="44" s="1"/>
  <c r="AC149" i="44" a="1"/>
  <c r="AC149" i="44" s="1"/>
  <c r="AC329" i="44" a="1"/>
  <c r="AC329" i="44" s="1"/>
  <c r="AC279" i="44" a="1"/>
  <c r="AC279" i="44" s="1"/>
  <c r="AC294" i="44" a="1"/>
  <c r="AC294" i="44" s="1"/>
  <c r="AC333" i="44" a="1"/>
  <c r="AC333" i="44" s="1"/>
  <c r="AC283" i="44" a="1"/>
  <c r="AC283" i="44" s="1"/>
  <c r="AC290" i="44" a="1"/>
  <c r="AC290" i="44" s="1"/>
  <c r="AC164" i="44" a="1"/>
  <c r="AC164" i="44" s="1"/>
  <c r="AC152" i="44" a="1"/>
  <c r="AC152" i="44" s="1"/>
  <c r="AC151" i="44" a="1"/>
  <c r="AC151" i="44" s="1"/>
  <c r="AC174" i="44" a="1"/>
  <c r="AC174" i="44" s="1"/>
  <c r="AC173" i="44" a="1"/>
  <c r="AC173" i="44" s="1"/>
  <c r="AC165" i="44" a="1"/>
  <c r="AC165" i="44" s="1"/>
  <c r="AC326" i="44" a="1"/>
  <c r="AC326" i="44" s="1"/>
  <c r="AC291" i="44" a="1"/>
  <c r="AC291" i="44" s="1"/>
  <c r="AC280" i="44" a="1"/>
  <c r="AC280" i="44" s="1"/>
  <c r="AC330" i="44" a="1"/>
  <c r="AC330" i="44" s="1"/>
  <c r="AC276" i="44" a="1"/>
  <c r="AC276" i="44" s="1"/>
  <c r="AC160" i="44" a="1"/>
  <c r="AC160" i="44" s="1"/>
  <c r="AC148" i="44" a="1"/>
  <c r="AC148" i="44" s="1"/>
  <c r="AC159" i="44" a="1"/>
  <c r="AC159" i="44" s="1"/>
  <c r="AC147" i="44" a="1"/>
  <c r="AC147" i="44" s="1"/>
  <c r="AC170" i="44" a="1"/>
  <c r="AC170" i="44" s="1"/>
  <c r="AC169" i="44" a="1"/>
  <c r="AC169" i="44" s="1"/>
  <c r="AC161" i="44" a="1"/>
  <c r="AC161" i="44" s="1"/>
  <c r="AC285" i="44" a="1"/>
  <c r="AC285" i="44" s="1"/>
  <c r="AC295" i="44" a="1"/>
  <c r="AC295" i="44" s="1"/>
  <c r="AC336" i="44" a="1"/>
  <c r="AC336" i="44" s="1"/>
  <c r="AC284" i="44" a="1"/>
  <c r="AC284" i="44" s="1"/>
  <c r="AC296" i="44" a="1"/>
  <c r="AC296" i="44" s="1"/>
  <c r="AC240" i="44" a="1"/>
  <c r="AC240" i="44" s="1"/>
  <c r="AC286" i="44" a="1"/>
  <c r="AC286" i="44" s="1"/>
  <c r="AC324" i="44" a="1"/>
  <c r="AC324" i="44" s="1"/>
  <c r="AA301" i="44" a="1"/>
  <c r="AA301" i="44" s="1"/>
  <c r="AA297" i="44" a="1"/>
  <c r="AA297" i="44" s="1"/>
  <c r="AA318" i="44" a="1"/>
  <c r="AA318" i="44" s="1"/>
  <c r="AA310" i="44" a="1"/>
  <c r="AA310" i="44" s="1"/>
  <c r="AA306" i="44" a="1"/>
  <c r="AA306" i="44" s="1"/>
  <c r="AA238" i="44" a="1"/>
  <c r="AA238" i="44" s="1"/>
  <c r="AA315" i="44" a="1"/>
  <c r="AA315" i="44" s="1"/>
  <c r="AA176" i="44" a="1"/>
  <c r="AA176" i="44" s="1"/>
  <c r="AA154" i="44" a="1"/>
  <c r="AA154" i="44" s="1"/>
  <c r="AA229" i="44" a="1"/>
  <c r="AA229" i="44" s="1"/>
  <c r="AA167" i="44" a="1"/>
  <c r="AA167" i="44" s="1"/>
  <c r="AA225" i="44" a="1"/>
  <c r="AA225" i="44" s="1"/>
  <c r="AA233" i="44" a="1"/>
  <c r="AA233" i="44" s="1"/>
  <c r="AA236" i="44" a="1"/>
  <c r="AA236" i="44" s="1"/>
  <c r="AB337" i="44" a="1"/>
  <c r="AB337" i="44" s="1"/>
  <c r="AB325" i="44" a="1"/>
  <c r="AB325" i="44" s="1"/>
  <c r="AB146" i="44" a="1"/>
  <c r="AB146" i="44" s="1"/>
  <c r="AB158" i="44" a="1"/>
  <c r="AB158" i="44" s="1"/>
  <c r="AB156" i="44" a="1"/>
  <c r="AB156" i="44" s="1"/>
  <c r="AB145" i="44" a="1"/>
  <c r="AB145" i="44" s="1"/>
  <c r="AB157" i="44" a="1"/>
  <c r="AB157" i="44" s="1"/>
  <c r="AB144" i="44" a="1"/>
  <c r="AB144" i="44" s="1"/>
  <c r="AB143" i="44" a="1"/>
  <c r="AB143" i="44" s="1"/>
  <c r="AB260" i="44" a="1"/>
  <c r="AB260" i="44" s="1"/>
  <c r="AB255" i="44" a="1"/>
  <c r="AB255" i="44" s="1"/>
  <c r="AB266" i="44" a="1"/>
  <c r="AB266" i="44" s="1"/>
  <c r="AB258" i="44" a="1"/>
  <c r="AB258" i="44" s="1"/>
  <c r="AB265" i="44" a="1"/>
  <c r="AB265" i="44" s="1"/>
  <c r="AB257" i="44" a="1"/>
  <c r="AB257" i="44" s="1"/>
  <c r="AB263" i="44" a="1"/>
  <c r="AB263" i="44" s="1"/>
  <c r="AB272" i="44" a="1"/>
  <c r="AB272" i="44" s="1"/>
  <c r="AB264" i="44" a="1"/>
  <c r="AB264" i="44" s="1"/>
  <c r="AB256" i="44" a="1"/>
  <c r="AB256" i="44" s="1"/>
  <c r="AB262" i="44" a="1"/>
  <c r="AB262" i="44" s="1"/>
  <c r="AB261" i="44" a="1"/>
  <c r="AB261" i="44" s="1"/>
  <c r="AB267" i="44" a="1"/>
  <c r="AB267" i="44" s="1"/>
  <c r="AB259" i="44" a="1"/>
  <c r="AB259" i="44" s="1"/>
  <c r="AB202" i="44" a="1"/>
  <c r="AB202" i="44" s="1"/>
  <c r="AB194" i="44" a="1"/>
  <c r="AB194" i="44" s="1"/>
  <c r="AB191" i="44" a="1"/>
  <c r="AB191" i="44" s="1"/>
  <c r="AB142" i="44" a="1"/>
  <c r="AB142" i="44" s="1"/>
  <c r="AB134" i="44" a="1"/>
  <c r="AB134" i="44" s="1"/>
  <c r="AB123" i="44" a="1"/>
  <c r="AB123" i="44" s="1"/>
  <c r="AB116" i="44" a="1"/>
  <c r="AB116" i="44" s="1"/>
  <c r="AB112" i="44" a="1"/>
  <c r="AB112" i="44" s="1"/>
  <c r="AB205" i="44" a="1"/>
  <c r="AB205" i="44" s="1"/>
  <c r="AB193" i="44" a="1"/>
  <c r="AB193" i="44" s="1"/>
  <c r="AB153" i="44" a="1"/>
  <c r="AB153" i="44" s="1"/>
  <c r="AB140" i="44" a="1"/>
  <c r="AB140" i="44" s="1"/>
  <c r="AB133" i="44" a="1"/>
  <c r="AB133" i="44" s="1"/>
  <c r="AB131" i="44" a="1"/>
  <c r="AB131" i="44" s="1"/>
  <c r="AB129" i="44" a="1"/>
  <c r="AB129" i="44" s="1"/>
  <c r="AB126" i="44" a="1"/>
  <c r="AB126" i="44" s="1"/>
  <c r="AB115" i="44" a="1"/>
  <c r="AB115" i="44" s="1"/>
  <c r="AB113" i="44" a="1"/>
  <c r="AB113" i="44" s="1"/>
  <c r="AB211" i="44" a="1"/>
  <c r="AB211" i="44" s="1"/>
  <c r="AB210" i="44" a="1"/>
  <c r="AB210" i="44" s="1"/>
  <c r="AB207" i="44" a="1"/>
  <c r="AB207" i="44" s="1"/>
  <c r="AB206" i="44" a="1"/>
  <c r="AB206" i="44" s="1"/>
  <c r="AB204" i="44" a="1"/>
  <c r="AB204" i="44" s="1"/>
  <c r="AB201" i="44" a="1"/>
  <c r="AB201" i="44" s="1"/>
  <c r="AB200" i="44" a="1"/>
  <c r="AB200" i="44" s="1"/>
  <c r="AB192" i="44" a="1"/>
  <c r="AB192" i="44" s="1"/>
  <c r="AB175" i="44" a="1"/>
  <c r="AB175" i="44" s="1"/>
  <c r="AB127" i="44" a="1"/>
  <c r="AB127" i="44" s="1"/>
  <c r="AB122" i="44" a="1"/>
  <c r="AB122" i="44" s="1"/>
  <c r="AB119" i="44" a="1"/>
  <c r="AB119" i="44" s="1"/>
  <c r="AB220" i="44" a="1"/>
  <c r="AB220" i="44" s="1"/>
  <c r="AB221" i="44" a="1"/>
  <c r="AB221" i="44" s="1"/>
  <c r="AB203" i="44" a="1"/>
  <c r="AB203" i="44" s="1"/>
  <c r="AB198" i="44" a="1"/>
  <c r="AB198" i="44" s="1"/>
  <c r="AB132" i="44" a="1"/>
  <c r="AB132" i="44" s="1"/>
  <c r="AB130" i="44" a="1"/>
  <c r="AB130" i="44" s="1"/>
  <c r="AB128" i="44" a="1"/>
  <c r="AB128" i="44" s="1"/>
  <c r="AB125" i="44" a="1"/>
  <c r="AB125" i="44" s="1"/>
  <c r="AB120" i="44" a="1"/>
  <c r="AB120" i="44" s="1"/>
  <c r="AB114" i="44" a="1"/>
  <c r="AB114" i="44" s="1"/>
  <c r="AB208" i="44" a="1"/>
  <c r="AB208" i="44" s="1"/>
  <c r="AB199" i="44" a="1"/>
  <c r="AB199" i="44" s="1"/>
  <c r="AB196" i="44" a="1"/>
  <c r="AB196" i="44" s="1"/>
  <c r="AB195" i="44" a="1"/>
  <c r="AB195" i="44" s="1"/>
  <c r="AB166" i="44" a="1"/>
  <c r="AB166" i="44" s="1"/>
  <c r="AB121" i="44" a="1"/>
  <c r="AB121" i="44" s="1"/>
  <c r="AB118" i="44" a="1"/>
  <c r="AB118" i="44" s="1"/>
  <c r="AB117" i="44" a="1"/>
  <c r="AB117" i="44" s="1"/>
  <c r="AB209" i="44" a="1"/>
  <c r="AB209" i="44" s="1"/>
  <c r="AB197" i="44" a="1"/>
  <c r="AB197" i="44" s="1"/>
  <c r="AB141" i="44" a="1"/>
  <c r="AB141" i="44" s="1"/>
  <c r="AB124" i="44" a="1"/>
  <c r="AB124" i="44" s="1"/>
  <c r="AB111" i="44" a="1"/>
  <c r="AB111" i="44" s="1"/>
  <c r="AB293" i="44" a="1"/>
  <c r="AB293" i="44" s="1"/>
  <c r="AB277" i="44" a="1"/>
  <c r="AB277" i="44" s="1"/>
  <c r="AB288" i="44" a="1"/>
  <c r="AB288" i="44" s="1"/>
  <c r="AB292" i="44" a="1"/>
  <c r="AB292" i="44" s="1"/>
  <c r="AB328" i="44" a="1"/>
  <c r="AB328" i="44" s="1"/>
  <c r="AB278" i="44" a="1"/>
  <c r="AB278" i="44" s="1"/>
  <c r="AB327" i="44" a="1"/>
  <c r="AB327" i="44" s="1"/>
  <c r="AB332" i="44" a="1"/>
  <c r="AB332" i="44" s="1"/>
  <c r="AB289" i="44" a="1"/>
  <c r="AB289" i="44" s="1"/>
  <c r="AB281" i="44" a="1"/>
  <c r="AB281" i="44" s="1"/>
  <c r="AB331" i="44" a="1"/>
  <c r="AB331" i="44" s="1"/>
  <c r="AB282" i="44" a="1"/>
  <c r="AB282" i="44" s="1"/>
  <c r="AB150" i="44" a="1"/>
  <c r="AB150" i="44" s="1"/>
  <c r="AB171" i="44" a="1"/>
  <c r="AB171" i="44" s="1"/>
  <c r="AB163" i="44" a="1"/>
  <c r="AB163" i="44" s="1"/>
  <c r="AB149" i="44" a="1"/>
  <c r="AB149" i="44" s="1"/>
  <c r="AB172" i="44" a="1"/>
  <c r="AB172" i="44" s="1"/>
  <c r="AB162" i="44" a="1"/>
  <c r="AB162" i="44" s="1"/>
  <c r="Z301" i="44" a="1"/>
  <c r="Z301" i="44" s="1"/>
  <c r="Z318" i="44" a="1"/>
  <c r="Z318" i="44" s="1"/>
  <c r="Z306" i="44" a="1"/>
  <c r="Z306" i="44" s="1"/>
  <c r="Z315" i="44" a="1"/>
  <c r="Z315" i="44" s="1"/>
  <c r="Z176" i="44" a="1"/>
  <c r="Z176" i="44" s="1"/>
  <c r="Z167" i="44" a="1"/>
  <c r="Z167" i="44" s="1"/>
  <c r="Z154" i="44" a="1"/>
  <c r="Z154" i="44" s="1"/>
  <c r="Z240" i="44" a="1"/>
  <c r="Z240" i="44" s="1"/>
  <c r="Z340" i="44" a="1"/>
  <c r="Z340" i="44" s="1"/>
  <c r="Z324" i="44" a="1"/>
  <c r="Z324" i="44" s="1"/>
  <c r="Z226" i="44" a="1"/>
  <c r="Z226" i="44" s="1"/>
  <c r="Z230" i="44" a="1"/>
  <c r="Z230" i="44" s="1"/>
  <c r="Z179" i="44" a="1"/>
  <c r="Z179" i="44" s="1"/>
  <c r="Z234" i="44" a="1"/>
  <c r="Z234" i="44" s="1"/>
  <c r="Z178" i="44" a="1"/>
  <c r="Z178" i="44" s="1"/>
  <c r="AA334" i="44" a="1"/>
  <c r="AA334" i="44" s="1"/>
  <c r="AA338" i="44" a="1"/>
  <c r="AA338" i="44" s="1"/>
  <c r="AA309" i="44" a="1"/>
  <c r="AA309" i="44" s="1"/>
  <c r="AA269" i="44" a="1"/>
  <c r="AA269" i="44" s="1"/>
  <c r="AA270" i="44" a="1"/>
  <c r="AA270" i="44" s="1"/>
  <c r="AA268" i="44" a="1"/>
  <c r="AA268" i="44" s="1"/>
  <c r="AA241" i="44" a="1"/>
  <c r="AA241" i="44" s="1"/>
  <c r="AA182" i="44" a="1"/>
  <c r="AA182" i="44" s="1"/>
  <c r="AA228" i="44" a="1"/>
  <c r="AA228" i="44" s="1"/>
  <c r="AA224" i="44" a="1"/>
  <c r="AA224" i="44" s="1"/>
  <c r="AA213" i="44" a="1"/>
  <c r="AA213" i="44" s="1"/>
  <c r="AA137" i="44" a="1"/>
  <c r="AA137" i="44" s="1"/>
  <c r="AA135" i="44" a="1"/>
  <c r="AA135" i="44" s="1"/>
  <c r="AA231" i="44" a="1"/>
  <c r="AA231" i="44" s="1"/>
  <c r="AA223" i="44" a="1"/>
  <c r="AA223" i="44" s="1"/>
  <c r="AA214" i="44" a="1"/>
  <c r="AA214" i="44" s="1"/>
  <c r="AA212" i="44" a="1"/>
  <c r="AA212" i="44" s="1"/>
  <c r="AA138" i="44" a="1"/>
  <c r="AA138" i="44" s="1"/>
  <c r="AA136" i="44" a="1"/>
  <c r="AA136" i="44" s="1"/>
  <c r="AA232" i="44" a="1"/>
  <c r="AA232" i="44" s="1"/>
  <c r="AA227" i="44" a="1"/>
  <c r="AA227" i="44" s="1"/>
  <c r="AA180" i="44" a="1"/>
  <c r="AA180" i="44" s="1"/>
  <c r="AB235" i="44" a="1"/>
  <c r="AB235" i="44" s="1"/>
  <c r="AB329" i="44" a="1"/>
  <c r="AB329" i="44" s="1"/>
  <c r="AB283" i="44" a="1"/>
  <c r="AB283" i="44" s="1"/>
  <c r="AB294" i="44" a="1"/>
  <c r="AB294" i="44" s="1"/>
  <c r="AB333" i="44" a="1"/>
  <c r="AB333" i="44" s="1"/>
  <c r="AB290" i="44" a="1"/>
  <c r="AB290" i="44" s="1"/>
  <c r="AB279" i="44" a="1"/>
  <c r="AB279" i="44" s="1"/>
  <c r="AB174" i="44" a="1"/>
  <c r="AB174" i="44" s="1"/>
  <c r="AB173" i="44" a="1"/>
  <c r="AB173" i="44" s="1"/>
  <c r="AB164" i="44" a="1"/>
  <c r="AB164" i="44" s="1"/>
  <c r="AB151" i="44" a="1"/>
  <c r="AB151" i="44" s="1"/>
  <c r="AB165" i="44" a="1"/>
  <c r="AB165" i="44" s="1"/>
  <c r="AB152" i="44" a="1"/>
  <c r="AB152" i="44" s="1"/>
  <c r="AB326" i="44" a="1"/>
  <c r="AB326" i="44" s="1"/>
  <c r="AB276" i="44" a="1"/>
  <c r="AB276" i="44" s="1"/>
  <c r="AB291" i="44" a="1"/>
  <c r="AB291" i="44" s="1"/>
  <c r="AB287" i="44" a="1"/>
  <c r="AB287" i="44" s="1"/>
  <c r="AB330" i="44" a="1"/>
  <c r="AB330" i="44" s="1"/>
  <c r="AB280" i="44" a="1"/>
  <c r="AB280" i="44" s="1"/>
  <c r="AB170" i="44" a="1"/>
  <c r="AB170" i="44" s="1"/>
  <c r="AB169" i="44" a="1"/>
  <c r="AB169" i="44" s="1"/>
  <c r="AB160" i="44" a="1"/>
  <c r="AB160" i="44" s="1"/>
  <c r="AB159" i="44" a="1"/>
  <c r="AB159" i="44" s="1"/>
  <c r="AB161" i="44" a="1"/>
  <c r="AB161" i="44" s="1"/>
  <c r="AB148" i="44" a="1"/>
  <c r="AB148" i="44" s="1"/>
  <c r="AB147" i="44" a="1"/>
  <c r="AB147" i="44" s="1"/>
  <c r="AB285" i="44" a="1"/>
  <c r="AB285" i="44" s="1"/>
  <c r="AB336" i="44" a="1"/>
  <c r="AB336" i="44" s="1"/>
  <c r="AB284" i="44" a="1"/>
  <c r="AB284" i="44" s="1"/>
  <c r="AB296" i="44" a="1"/>
  <c r="AB296" i="44" s="1"/>
  <c r="AB295" i="44" a="1"/>
  <c r="AB295" i="44" s="1"/>
  <c r="AB286" i="44" a="1"/>
  <c r="AB286" i="44" s="1"/>
  <c r="AB240" i="44" a="1"/>
  <c r="AB240" i="44" s="1"/>
  <c r="AB340" i="44" a="1"/>
  <c r="AB340" i="44" s="1"/>
  <c r="AB324" i="44" a="1"/>
  <c r="AB324" i="44" s="1"/>
  <c r="AB179" i="44" a="1"/>
  <c r="AB179" i="44" s="1"/>
  <c r="AB178" i="44" a="1"/>
  <c r="AB178" i="44" s="1"/>
  <c r="Z273" i="44" a="1"/>
  <c r="Z273" i="44" s="1"/>
  <c r="Z253" i="44" a="1"/>
  <c r="Z253" i="44" s="1"/>
  <c r="Z245" i="44" a="1"/>
  <c r="Z245" i="44" s="1"/>
  <c r="Z243" i="44" a="1"/>
  <c r="Z243" i="44" s="1"/>
  <c r="Z246" i="44" a="1"/>
  <c r="Z246" i="44" s="1"/>
  <c r="Z248" i="44" a="1"/>
  <c r="Z248" i="44" s="1"/>
  <c r="Z247" i="44" a="1"/>
  <c r="Z247" i="44" s="1"/>
  <c r="Z250" i="44" a="1"/>
  <c r="Z250" i="44" s="1"/>
  <c r="Z249" i="44" a="1"/>
  <c r="Z249" i="44" s="1"/>
  <c r="Z244" i="44" a="1"/>
  <c r="Z244" i="44" s="1"/>
  <c r="Z274" i="44" a="1"/>
  <c r="Z274" i="44" s="1"/>
  <c r="Z252" i="44" a="1"/>
  <c r="Z252" i="44" s="1"/>
  <c r="Z251" i="44" a="1"/>
  <c r="Z251" i="44" s="1"/>
  <c r="Z216" i="44" a="1"/>
  <c r="Z216" i="44" s="1"/>
  <c r="Z186" i="44" a="1"/>
  <c r="Z186" i="44" s="1"/>
  <c r="Z184" i="44" a="1"/>
  <c r="Z184" i="44" s="1"/>
  <c r="Z108" i="44" a="1"/>
  <c r="Z108" i="44" s="1"/>
  <c r="Z109" i="44" a="1"/>
  <c r="Z109" i="44" s="1"/>
  <c r="Z217" i="44" a="1"/>
  <c r="Z217" i="44" s="1"/>
  <c r="Z187" i="44" a="1"/>
  <c r="Z187" i="44" s="1"/>
  <c r="Z185" i="44" a="1"/>
  <c r="Z185" i="44" s="1"/>
  <c r="Z105" i="44" a="1"/>
  <c r="Z105" i="44" s="1"/>
  <c r="Z189" i="44" a="1"/>
  <c r="Z189" i="44" s="1"/>
  <c r="Z188" i="44" a="1"/>
  <c r="Z188" i="44" s="1"/>
  <c r="Z107" i="44" a="1"/>
  <c r="Z107" i="44" s="1"/>
  <c r="Z106" i="44" a="1"/>
  <c r="Z106" i="44" s="1"/>
  <c r="Z104" i="44" a="1"/>
  <c r="Z104" i="44" s="1"/>
  <c r="N30" i="44"/>
  <c r="AL47" i="33"/>
  <c r="O30" i="44" s="1"/>
  <c r="N26" i="44"/>
  <c r="AL43" i="33"/>
  <c r="O26" i="44" s="1"/>
  <c r="N29" i="44"/>
  <c r="AL46" i="33"/>
  <c r="O29" i="44" s="1"/>
  <c r="N28" i="44"/>
  <c r="AL45" i="33"/>
  <c r="O28" i="44" s="1"/>
  <c r="M13" i="44"/>
  <c r="AK30" i="33"/>
  <c r="J14" i="44"/>
  <c r="X390" i="44" s="1" a="1"/>
  <c r="X390" i="44" s="1"/>
  <c r="AH31" i="33"/>
  <c r="AI31" i="33" s="1"/>
  <c r="AJ31" i="33" s="1"/>
  <c r="L29" i="44"/>
  <c r="J50" i="61" l="1"/>
  <c r="J61" i="21"/>
  <c r="J49" i="61"/>
  <c r="J60" i="21"/>
  <c r="J35" i="61"/>
  <c r="J46" i="21"/>
  <c r="K35" i="61"/>
  <c r="K46" i="21"/>
  <c r="J90" i="61"/>
  <c r="H61" i="21"/>
  <c r="J89" i="61"/>
  <c r="H60" i="21"/>
  <c r="J84" i="61"/>
  <c r="J85" i="61"/>
  <c r="K84" i="61"/>
  <c r="K46" i="61"/>
  <c r="J86" i="61"/>
  <c r="K42" i="61"/>
  <c r="Z512" i="44" a="1"/>
  <c r="Z512" i="44" s="1"/>
  <c r="Z507" i="44" a="1"/>
  <c r="Z507" i="44" s="1"/>
  <c r="Z506" i="44" a="1"/>
  <c r="Z506" i="44" s="1"/>
  <c r="Z436" i="44" a="1"/>
  <c r="Z436" i="44" s="1"/>
  <c r="Z466" i="44" a="1"/>
  <c r="Z466" i="44" s="1"/>
  <c r="AC504" i="44" a="1"/>
  <c r="AC504" i="44" s="1"/>
  <c r="AC505" i="44" a="1"/>
  <c r="AC505" i="44" s="1"/>
  <c r="AC483" i="44" a="1"/>
  <c r="AC483" i="44" s="1"/>
  <c r="AC488" i="44" a="1"/>
  <c r="AC488" i="44" s="1"/>
  <c r="AC475" i="44" a="1"/>
  <c r="AC475" i="44" s="1"/>
  <c r="AC496" i="44" a="1"/>
  <c r="AC496" i="44" s="1"/>
  <c r="AC493" i="44" a="1"/>
  <c r="AC493" i="44" s="1"/>
  <c r="AC499" i="44" a="1"/>
  <c r="AC499" i="44" s="1"/>
  <c r="AC468" i="44" a="1"/>
  <c r="AC468" i="44" s="1"/>
  <c r="AC469" i="44" a="1"/>
  <c r="AC469" i="44" s="1"/>
  <c r="AC178" i="44" a="1"/>
  <c r="AC178" i="44" s="1"/>
  <c r="AC476" i="44" a="1"/>
  <c r="AC476" i="44" s="1"/>
  <c r="AC501" i="44" a="1"/>
  <c r="AC501" i="44" s="1"/>
  <c r="AC492" i="44" a="1"/>
  <c r="AC492" i="44" s="1"/>
  <c r="AC513" i="44" a="1"/>
  <c r="AC513" i="44" s="1"/>
  <c r="AC498" i="44" a="1"/>
  <c r="AC498" i="44" s="1"/>
  <c r="AC495" i="44" a="1"/>
  <c r="AC495" i="44" s="1"/>
  <c r="AC477" i="44" a="1"/>
  <c r="AC477" i="44" s="1"/>
  <c r="AC494" i="44" a="1"/>
  <c r="AC494" i="44" s="1"/>
  <c r="AB499" i="44" a="1"/>
  <c r="AB499" i="44" s="1"/>
  <c r="AB496" i="44" a="1"/>
  <c r="AB496" i="44" s="1"/>
  <c r="AB483" i="44" a="1"/>
  <c r="AB483" i="44" s="1"/>
  <c r="AB504" i="44" a="1"/>
  <c r="AB504" i="44" s="1"/>
  <c r="AB469" i="44" a="1"/>
  <c r="AB469" i="44" s="1"/>
  <c r="AB488" i="44" a="1"/>
  <c r="AB488" i="44" s="1"/>
  <c r="AB505" i="44" a="1"/>
  <c r="AB505" i="44" s="1"/>
  <c r="AB475" i="44" a="1"/>
  <c r="AB475" i="44" s="1"/>
  <c r="AB493" i="44" a="1"/>
  <c r="AB493" i="44" s="1"/>
  <c r="AB468" i="44" a="1"/>
  <c r="AB468" i="44" s="1"/>
  <c r="AC341" i="44" a="1"/>
  <c r="AC341" i="44" s="1"/>
  <c r="AC500" i="44" a="1"/>
  <c r="AC500" i="44" s="1"/>
  <c r="AC511" i="44" a="1"/>
  <c r="AC511" i="44" s="1"/>
  <c r="AA443" i="44" a="1"/>
  <c r="AA443" i="44" s="1"/>
  <c r="AA449" i="44" a="1"/>
  <c r="AA449" i="44" s="1"/>
  <c r="AA485" i="44" a="1"/>
  <c r="AA485" i="44" s="1"/>
  <c r="AA438" i="44" a="1"/>
  <c r="AA438" i="44" s="1"/>
  <c r="AA447" i="44" a="1"/>
  <c r="AA447" i="44" s="1"/>
  <c r="AA444" i="44" a="1"/>
  <c r="AA444" i="44" s="1"/>
  <c r="AA446" i="44" a="1"/>
  <c r="AA446" i="44" s="1"/>
  <c r="AA442" i="44" a="1"/>
  <c r="AA442" i="44" s="1"/>
  <c r="AA440" i="44" a="1"/>
  <c r="AA440" i="44" s="1"/>
  <c r="AA437" i="44" a="1"/>
  <c r="AA437" i="44" s="1"/>
  <c r="AA445" i="44" a="1"/>
  <c r="AA445" i="44" s="1"/>
  <c r="AA448" i="44" a="1"/>
  <c r="AA448" i="44" s="1"/>
  <c r="AA439" i="44" a="1"/>
  <c r="AA439" i="44" s="1"/>
  <c r="AA441" i="44" a="1"/>
  <c r="AA441" i="44" s="1"/>
  <c r="AA486" i="44" a="1"/>
  <c r="AA486" i="44" s="1"/>
  <c r="AC436" i="44" a="1"/>
  <c r="AC436" i="44" s="1"/>
  <c r="AC512" i="44" a="1"/>
  <c r="AC512" i="44" s="1"/>
  <c r="AC506" i="44" a="1"/>
  <c r="AC506" i="44" s="1"/>
  <c r="AC507" i="44" a="1"/>
  <c r="AC507" i="44" s="1"/>
  <c r="AC466" i="44" a="1"/>
  <c r="AC466" i="44" s="1"/>
  <c r="AB507" i="44" a="1"/>
  <c r="AB507" i="44" s="1"/>
  <c r="AB506" i="44" a="1"/>
  <c r="AB506" i="44" s="1"/>
  <c r="AB512" i="44" a="1"/>
  <c r="AB512" i="44" s="1"/>
  <c r="AB436" i="44" a="1"/>
  <c r="AB436" i="44" s="1"/>
  <c r="AB466" i="44" a="1"/>
  <c r="AB466" i="44" s="1"/>
  <c r="J39" i="61"/>
  <c r="J38" i="61"/>
  <c r="K39" i="61"/>
  <c r="J48" i="61"/>
  <c r="J33" i="61"/>
  <c r="K38" i="61"/>
  <c r="J19" i="21"/>
  <c r="AC287" i="44" a="1"/>
  <c r="AC287" i="44" s="1"/>
  <c r="AC235" i="44" a="1"/>
  <c r="AC235" i="44" s="1"/>
  <c r="AC408" i="44" a="1"/>
  <c r="AC408" i="44" s="1"/>
  <c r="AC179" i="44" a="1"/>
  <c r="AC179" i="44" s="1"/>
  <c r="AC434" i="44" a="1"/>
  <c r="AC434" i="44" s="1"/>
  <c r="AC398" i="44" a="1"/>
  <c r="AC398" i="44" s="1"/>
  <c r="AC410" i="44" a="1"/>
  <c r="AC410" i="44" s="1"/>
  <c r="Z435" i="44" a="1"/>
  <c r="Z435" i="44" s="1"/>
  <c r="Z433" i="44" a="1"/>
  <c r="Z433" i="44" s="1"/>
  <c r="AC433" i="44" a="1"/>
  <c r="AC433" i="44" s="1"/>
  <c r="AC435" i="44" a="1"/>
  <c r="AC435" i="44" s="1"/>
  <c r="AB435" i="44" a="1"/>
  <c r="AB435" i="44" s="1"/>
  <c r="AB433" i="44" a="1"/>
  <c r="AB433" i="44" s="1"/>
  <c r="AB139" i="44" a="1"/>
  <c r="AB139" i="44" s="1"/>
  <c r="AB409" i="44" a="1"/>
  <c r="AB409" i="44" s="1"/>
  <c r="AB427" i="44" a="1"/>
  <c r="AB427" i="44" s="1"/>
  <c r="AB426" i="44" a="1"/>
  <c r="AB426" i="44" s="1"/>
  <c r="AB388" i="44" a="1"/>
  <c r="AB388" i="44" s="1"/>
  <c r="AB400" i="44" a="1"/>
  <c r="AB400" i="44" s="1"/>
  <c r="AB407" i="44" a="1"/>
  <c r="AB407" i="44" s="1"/>
  <c r="AB428" i="44" a="1"/>
  <c r="AB428" i="44" s="1"/>
  <c r="AB414" i="44" a="1"/>
  <c r="AB414" i="44" s="1"/>
  <c r="AB406" i="44" a="1"/>
  <c r="AB406" i="44" s="1"/>
  <c r="AB413" i="44" a="1"/>
  <c r="AB413" i="44" s="1"/>
  <c r="AB412" i="44" a="1"/>
  <c r="AB412" i="44" s="1"/>
  <c r="AB404" i="44" a="1"/>
  <c r="AB404" i="44" s="1"/>
  <c r="AB389" i="44" a="1"/>
  <c r="AB389" i="44" s="1"/>
  <c r="AB374" i="44" a="1"/>
  <c r="AB374" i="44" s="1"/>
  <c r="AB429" i="44" a="1"/>
  <c r="AB429" i="44" s="1"/>
  <c r="AB219" i="44" a="1"/>
  <c r="AB219" i="44" s="1"/>
  <c r="AB419" i="44" a="1"/>
  <c r="AB419" i="44" s="1"/>
  <c r="AC335" i="44" a="1"/>
  <c r="AC335" i="44" s="1"/>
  <c r="AC421" i="44" a="1"/>
  <c r="AC421" i="44" s="1"/>
  <c r="AC430" i="44" a="1"/>
  <c r="AC430" i="44" s="1"/>
  <c r="AC415" i="44" a="1"/>
  <c r="AC415" i="44" s="1"/>
  <c r="AC422" i="44" a="1"/>
  <c r="AC422" i="44" s="1"/>
  <c r="AC239" i="44" a="1"/>
  <c r="AC239" i="44" s="1"/>
  <c r="AC403" i="44" a="1"/>
  <c r="AC403" i="44" s="1"/>
  <c r="AC416" i="44" a="1"/>
  <c r="AC416" i="44" s="1"/>
  <c r="AC397" i="44" a="1"/>
  <c r="AC397" i="44" s="1"/>
  <c r="AC431" i="44" a="1"/>
  <c r="AC431" i="44" s="1"/>
  <c r="AC423" i="44" a="1"/>
  <c r="AC423" i="44" s="1"/>
  <c r="AC396" i="44" a="1"/>
  <c r="AC396" i="44" s="1"/>
  <c r="Z339" i="44" a="1"/>
  <c r="Z339" i="44" s="1"/>
  <c r="Z430" i="44" a="1"/>
  <c r="Z430" i="44" s="1"/>
  <c r="Z415" i="44" a="1"/>
  <c r="Z415" i="44" s="1"/>
  <c r="Z422" i="44" a="1"/>
  <c r="Z422" i="44" s="1"/>
  <c r="Z421" i="44" a="1"/>
  <c r="Z421" i="44" s="1"/>
  <c r="AA218" i="44" a="1"/>
  <c r="AA218" i="44" s="1"/>
  <c r="AA348" i="44" a="1"/>
  <c r="AA348" i="44" s="1"/>
  <c r="AA381" i="44" a="1"/>
  <c r="AA381" i="44" s="1"/>
  <c r="AA344" i="44" a="1"/>
  <c r="AA344" i="44" s="1"/>
  <c r="AA378" i="44" a="1"/>
  <c r="AA378" i="44" s="1"/>
  <c r="AA349" i="44" a="1"/>
  <c r="AA349" i="44" s="1"/>
  <c r="AA351" i="44" a="1"/>
  <c r="AA351" i="44" s="1"/>
  <c r="AA347" i="44" a="1"/>
  <c r="AA347" i="44" s="1"/>
  <c r="AA343" i="44" a="1"/>
  <c r="AA343" i="44" s="1"/>
  <c r="AA346" i="44" a="1"/>
  <c r="AA346" i="44" s="1"/>
  <c r="AA354" i="44" a="1"/>
  <c r="AA354" i="44" s="1"/>
  <c r="AA345" i="44" a="1"/>
  <c r="AA345" i="44" s="1"/>
  <c r="AA380" i="44" a="1"/>
  <c r="AA380" i="44" s="1"/>
  <c r="AA342" i="44" a="1"/>
  <c r="AA342" i="44" s="1"/>
  <c r="AA352" i="44" a="1"/>
  <c r="AA352" i="44" s="1"/>
  <c r="AA379" i="44" a="1"/>
  <c r="AA379" i="44" s="1"/>
  <c r="AA353" i="44" a="1"/>
  <c r="AA353" i="44" s="1"/>
  <c r="AA350" i="44" a="1"/>
  <c r="AA350" i="44" s="1"/>
  <c r="AB335" i="44" a="1"/>
  <c r="AB335" i="44" s="1"/>
  <c r="AB430" i="44" a="1"/>
  <c r="AB430" i="44" s="1"/>
  <c r="AB415" i="44" a="1"/>
  <c r="AB415" i="44" s="1"/>
  <c r="AB422" i="44" a="1"/>
  <c r="AB422" i="44" s="1"/>
  <c r="AB421" i="44" a="1"/>
  <c r="AB421" i="44" s="1"/>
  <c r="AB177" i="44" a="1"/>
  <c r="AB177" i="44" s="1"/>
  <c r="AB423" i="44" a="1"/>
  <c r="AB423" i="44" s="1"/>
  <c r="AB396" i="44" a="1"/>
  <c r="AB396" i="44" s="1"/>
  <c r="AB431" i="44" a="1"/>
  <c r="AB431" i="44" s="1"/>
  <c r="AB397" i="44" a="1"/>
  <c r="AB397" i="44" s="1"/>
  <c r="AB416" i="44" a="1"/>
  <c r="AB416" i="44" s="1"/>
  <c r="AB403" i="44" a="1"/>
  <c r="AB403" i="44" s="1"/>
  <c r="AC139" i="44" a="1"/>
  <c r="AC139" i="44" s="1"/>
  <c r="AC406" i="44" a="1"/>
  <c r="AC406" i="44" s="1"/>
  <c r="AC413" i="44" a="1"/>
  <c r="AC413" i="44" s="1"/>
  <c r="AC428" i="44" a="1"/>
  <c r="AC428" i="44" s="1"/>
  <c r="AC400" i="44" a="1"/>
  <c r="AC400" i="44" s="1"/>
  <c r="AC407" i="44" a="1"/>
  <c r="AC407" i="44" s="1"/>
  <c r="AC414" i="44" a="1"/>
  <c r="AC414" i="44" s="1"/>
  <c r="AC429" i="44" a="1"/>
  <c r="AC429" i="44" s="1"/>
  <c r="AC389" i="44" a="1"/>
  <c r="AC389" i="44" s="1"/>
  <c r="AC404" i="44" a="1"/>
  <c r="AC404" i="44" s="1"/>
  <c r="AC412" i="44" a="1"/>
  <c r="AC412" i="44" s="1"/>
  <c r="AC409" i="44" a="1"/>
  <c r="AC409" i="44" s="1"/>
  <c r="AC374" i="44" a="1"/>
  <c r="AC374" i="44" s="1"/>
  <c r="AC426" i="44" a="1"/>
  <c r="AC426" i="44" s="1"/>
  <c r="AC427" i="44" a="1"/>
  <c r="AC427" i="44" s="1"/>
  <c r="AC388" i="44" a="1"/>
  <c r="AC388" i="44" s="1"/>
  <c r="AC219" i="44" a="1"/>
  <c r="AC219" i="44" s="1"/>
  <c r="AC419" i="44" a="1"/>
  <c r="AC419" i="44" s="1"/>
  <c r="AC237" i="44" a="1"/>
  <c r="AC237" i="44" s="1"/>
  <c r="AC181" i="44" a="1"/>
  <c r="AC181" i="44" s="1"/>
  <c r="AB168" i="44" a="1"/>
  <c r="AB168" i="44" s="1"/>
  <c r="AC339" i="44" a="1"/>
  <c r="AC339" i="44" s="1"/>
  <c r="AB339" i="44" a="1"/>
  <c r="AB339" i="44" s="1"/>
  <c r="AB230" i="44" a="1"/>
  <c r="AB230" i="44" s="1"/>
  <c r="AC271" i="44" a="1"/>
  <c r="AC271" i="44" s="1"/>
  <c r="AC298" i="44" a="1"/>
  <c r="AC298" i="44" s="1"/>
  <c r="AC319" i="44" a="1"/>
  <c r="AC319" i="44" s="1"/>
  <c r="AC302" i="44" a="1"/>
  <c r="AC302" i="44" s="1"/>
  <c r="AC316" i="44" a="1"/>
  <c r="AC316" i="44" s="1"/>
  <c r="AC311" i="44" a="1"/>
  <c r="AC311" i="44" s="1"/>
  <c r="AC307" i="44" a="1"/>
  <c r="AC307" i="44" s="1"/>
  <c r="AC177" i="44" a="1"/>
  <c r="AC177" i="44" s="1"/>
  <c r="AB234" i="44" a="1"/>
  <c r="AB234" i="44" s="1"/>
  <c r="AB237" i="44" a="1"/>
  <c r="AB237" i="44" s="1"/>
  <c r="Z310" i="44" a="1"/>
  <c r="Z310" i="44" s="1"/>
  <c r="AB271" i="44" a="1"/>
  <c r="AB271" i="44" s="1"/>
  <c r="AB155" i="44" a="1"/>
  <c r="AB155" i="44" s="1"/>
  <c r="AC230" i="44" a="1"/>
  <c r="AC230" i="44" s="1"/>
  <c r="AC226" i="44" a="1"/>
  <c r="AC226" i="44" s="1"/>
  <c r="AA254" i="44" a="1"/>
  <c r="AA254" i="44" s="1"/>
  <c r="AA110" i="44" a="1"/>
  <c r="AA110" i="44" s="1"/>
  <c r="AA275" i="44" a="1"/>
  <c r="AA275" i="44" s="1"/>
  <c r="AA190" i="44" a="1"/>
  <c r="AA190" i="44" s="1"/>
  <c r="AB319" i="44" a="1"/>
  <c r="AB319" i="44" s="1"/>
  <c r="AB316" i="44" a="1"/>
  <c r="AB316" i="44" s="1"/>
  <c r="AB311" i="44" a="1"/>
  <c r="AB311" i="44" s="1"/>
  <c r="AB298" i="44" a="1"/>
  <c r="AB298" i="44" s="1"/>
  <c r="AB302" i="44" a="1"/>
  <c r="AB302" i="44" s="1"/>
  <c r="AB307" i="44" a="1"/>
  <c r="AB307" i="44" s="1"/>
  <c r="AB239" i="44" a="1"/>
  <c r="AB239" i="44" s="1"/>
  <c r="AC155" i="44" a="1"/>
  <c r="AC155" i="44" s="1"/>
  <c r="AB226" i="44" a="1"/>
  <c r="AB226" i="44" s="1"/>
  <c r="AB181" i="44" a="1"/>
  <c r="AB181" i="44" s="1"/>
  <c r="AC234" i="44" a="1"/>
  <c r="AC234" i="44" s="1"/>
  <c r="AC168" i="44" a="1"/>
  <c r="AC168" i="44" s="1"/>
  <c r="AM176" i="36"/>
  <c r="AC338" i="44" a="1"/>
  <c r="AC338" i="44" s="1"/>
  <c r="AC334" i="44" a="1"/>
  <c r="AC334" i="44" s="1"/>
  <c r="AC309" i="44" a="1"/>
  <c r="AC309" i="44" s="1"/>
  <c r="AC301" i="44" a="1"/>
  <c r="AC301" i="44" s="1"/>
  <c r="AC318" i="44" a="1"/>
  <c r="AC318" i="44" s="1"/>
  <c r="AC238" i="44" a="1"/>
  <c r="AC238" i="44" s="1"/>
  <c r="AC297" i="44" a="1"/>
  <c r="AC297" i="44" s="1"/>
  <c r="AC310" i="44" a="1"/>
  <c r="AC310" i="44" s="1"/>
  <c r="AC306" i="44" a="1"/>
  <c r="AC306" i="44" s="1"/>
  <c r="AC315" i="44" a="1"/>
  <c r="AC315" i="44" s="1"/>
  <c r="AC176" i="44" a="1"/>
  <c r="AC176" i="44" s="1"/>
  <c r="AC167" i="44" a="1"/>
  <c r="AC167" i="44" s="1"/>
  <c r="AC225" i="44" a="1"/>
  <c r="AC225" i="44" s="1"/>
  <c r="AC154" i="44" a="1"/>
  <c r="AC154" i="44" s="1"/>
  <c r="AC233" i="44" a="1"/>
  <c r="AC233" i="44" s="1"/>
  <c r="AC229" i="44" a="1"/>
  <c r="AC229" i="44" s="1"/>
  <c r="AM114" i="36"/>
  <c r="AC269" i="44" a="1"/>
  <c r="AC269" i="44" s="1"/>
  <c r="AC270" i="44" a="1"/>
  <c r="AC270" i="44" s="1"/>
  <c r="AC268" i="44" a="1"/>
  <c r="AC268" i="44" s="1"/>
  <c r="AC241" i="44" a="1"/>
  <c r="AC241" i="44" s="1"/>
  <c r="AC182" i="44" a="1"/>
  <c r="AC182" i="44" s="1"/>
  <c r="AC228" i="44" a="1"/>
  <c r="AC228" i="44" s="1"/>
  <c r="AC223" i="44" a="1"/>
  <c r="AC223" i="44" s="1"/>
  <c r="AC214" i="44" a="1"/>
  <c r="AC214" i="44" s="1"/>
  <c r="AC180" i="44" a="1"/>
  <c r="AC180" i="44" s="1"/>
  <c r="AC136" i="44" a="1"/>
  <c r="AC136" i="44" s="1"/>
  <c r="AC232" i="44" a="1"/>
  <c r="AC232" i="44" s="1"/>
  <c r="AC231" i="44" a="1"/>
  <c r="AC231" i="44" s="1"/>
  <c r="AC227" i="44" a="1"/>
  <c r="AC227" i="44" s="1"/>
  <c r="AC213" i="44" a="1"/>
  <c r="AC213" i="44" s="1"/>
  <c r="AC135" i="44" a="1"/>
  <c r="AC135" i="44" s="1"/>
  <c r="AC212" i="44" a="1"/>
  <c r="AC212" i="44" s="1"/>
  <c r="AC138" i="44" a="1"/>
  <c r="AC138" i="44" s="1"/>
  <c r="AC224" i="44" a="1"/>
  <c r="AC224" i="44" s="1"/>
  <c r="AC137" i="44" a="1"/>
  <c r="AC137" i="44" s="1"/>
  <c r="AC236" i="44" a="1"/>
  <c r="AC236" i="44" s="1"/>
  <c r="Z334" i="44" a="1"/>
  <c r="Z334" i="44" s="1"/>
  <c r="Z309" i="44" a="1"/>
  <c r="Z309" i="44" s="1"/>
  <c r="Z338" i="44" a="1"/>
  <c r="Z338" i="44" s="1"/>
  <c r="AB268" i="44" a="1"/>
  <c r="AB268" i="44" s="1"/>
  <c r="AB241" i="44" a="1"/>
  <c r="AB241" i="44" s="1"/>
  <c r="AB270" i="44" a="1"/>
  <c r="AB270" i="44" s="1"/>
  <c r="AB269" i="44" a="1"/>
  <c r="AB269" i="44" s="1"/>
  <c r="AB224" i="44" a="1"/>
  <c r="AB224" i="44" s="1"/>
  <c r="AB223" i="44" a="1"/>
  <c r="AB223" i="44" s="1"/>
  <c r="AB180" i="44" a="1"/>
  <c r="AB180" i="44" s="1"/>
  <c r="AB138" i="44" a="1"/>
  <c r="AB138" i="44" s="1"/>
  <c r="AB231" i="44" a="1"/>
  <c r="AB231" i="44" s="1"/>
  <c r="AB136" i="44" a="1"/>
  <c r="AB136" i="44" s="1"/>
  <c r="AB232" i="44" a="1"/>
  <c r="AB232" i="44" s="1"/>
  <c r="AB214" i="44" a="1"/>
  <c r="AB214" i="44" s="1"/>
  <c r="AB135" i="44" a="1"/>
  <c r="AB135" i="44" s="1"/>
  <c r="AB182" i="44" a="1"/>
  <c r="AB182" i="44" s="1"/>
  <c r="AB228" i="44" a="1"/>
  <c r="AB228" i="44" s="1"/>
  <c r="AB212" i="44" a="1"/>
  <c r="AB212" i="44" s="1"/>
  <c r="AB227" i="44" a="1"/>
  <c r="AB227" i="44" s="1"/>
  <c r="AB213" i="44" a="1"/>
  <c r="AB213" i="44" s="1"/>
  <c r="AB137" i="44" a="1"/>
  <c r="AB137" i="44" s="1"/>
  <c r="AB236" i="44" a="1"/>
  <c r="AB236" i="44" s="1"/>
  <c r="AA248" i="44" a="1"/>
  <c r="AA248" i="44" s="1"/>
  <c r="AA244" i="44" a="1"/>
  <c r="AA244" i="44" s="1"/>
  <c r="AA247" i="44" a="1"/>
  <c r="AA247" i="44" s="1"/>
  <c r="AA245" i="44" a="1"/>
  <c r="AA245" i="44" s="1"/>
  <c r="AA252" i="44" a="1"/>
  <c r="AA252" i="44" s="1"/>
  <c r="AA243" i="44" a="1"/>
  <c r="AA243" i="44" s="1"/>
  <c r="AA274" i="44" a="1"/>
  <c r="AA274" i="44" s="1"/>
  <c r="AA242" i="44" a="1"/>
  <c r="AA242" i="44" s="1"/>
  <c r="AA273" i="44" a="1"/>
  <c r="AA273" i="44" s="1"/>
  <c r="AA253" i="44" a="1"/>
  <c r="AA253" i="44" s="1"/>
  <c r="AA251" i="44" a="1"/>
  <c r="AA251" i="44" s="1"/>
  <c r="AA250" i="44" a="1"/>
  <c r="AA250" i="44" s="1"/>
  <c r="AA249" i="44" a="1"/>
  <c r="AA249" i="44" s="1"/>
  <c r="AA246" i="44" a="1"/>
  <c r="AA246" i="44" s="1"/>
  <c r="AA189" i="44" a="1"/>
  <c r="AA189" i="44" s="1"/>
  <c r="AA183" i="44" a="1"/>
  <c r="AA183" i="44" s="1"/>
  <c r="AA107" i="44" a="1"/>
  <c r="AA107" i="44" s="1"/>
  <c r="AA106" i="44" a="1"/>
  <c r="AA106" i="44" s="1"/>
  <c r="AA109" i="44" a="1"/>
  <c r="AA109" i="44" s="1"/>
  <c r="AA104" i="44" a="1"/>
  <c r="AA104" i="44" s="1"/>
  <c r="AA108" i="44" a="1"/>
  <c r="AA108" i="44" s="1"/>
  <c r="AA216" i="44" a="1"/>
  <c r="AA216" i="44" s="1"/>
  <c r="AA188" i="44" a="1"/>
  <c r="AA188" i="44" s="1"/>
  <c r="AA186" i="44" a="1"/>
  <c r="AA186" i="44" s="1"/>
  <c r="AA185" i="44" a="1"/>
  <c r="AA185" i="44" s="1"/>
  <c r="AA184" i="44" a="1"/>
  <c r="AA184" i="44" s="1"/>
  <c r="AA217" i="44" a="1"/>
  <c r="AA217" i="44" s="1"/>
  <c r="AA215" i="44" a="1"/>
  <c r="AA215" i="44" s="1"/>
  <c r="AA187" i="44" a="1"/>
  <c r="AA187" i="44" s="1"/>
  <c r="AA105" i="44" a="1"/>
  <c r="AA105" i="44" s="1"/>
  <c r="AB334" i="44" a="1"/>
  <c r="AB334" i="44" s="1"/>
  <c r="AB309" i="44" a="1"/>
  <c r="AB309" i="44" s="1"/>
  <c r="AB338" i="44" a="1"/>
  <c r="AB338" i="44" s="1"/>
  <c r="AB301" i="44" a="1"/>
  <c r="AB301" i="44" s="1"/>
  <c r="AB318" i="44" a="1"/>
  <c r="AB318" i="44" s="1"/>
  <c r="AB310" i="44" a="1"/>
  <c r="AB310" i="44" s="1"/>
  <c r="AB238" i="44" a="1"/>
  <c r="AB238" i="44" s="1"/>
  <c r="AB297" i="44" a="1"/>
  <c r="AB297" i="44" s="1"/>
  <c r="AB306" i="44" a="1"/>
  <c r="AB306" i="44" s="1"/>
  <c r="AB315" i="44" a="1"/>
  <c r="AB315" i="44" s="1"/>
  <c r="AB233" i="44" a="1"/>
  <c r="AB233" i="44" s="1"/>
  <c r="AB167" i="44" a="1"/>
  <c r="AB167" i="44" s="1"/>
  <c r="AB176" i="44" a="1"/>
  <c r="AB176" i="44" s="1"/>
  <c r="AB154" i="44" a="1"/>
  <c r="AB154" i="44" s="1"/>
  <c r="AB229" i="44" a="1"/>
  <c r="AB229" i="44" s="1"/>
  <c r="AB225" i="44" a="1"/>
  <c r="AB225" i="44" s="1"/>
  <c r="N13" i="44"/>
  <c r="AL30" i="33"/>
  <c r="O13" i="44" s="1"/>
  <c r="M14" i="44"/>
  <c r="AA390" i="44" s="1" a="1"/>
  <c r="AA390" i="44" s="1"/>
  <c r="AK31" i="33"/>
  <c r="L14" i="44"/>
  <c r="Z390" i="44" s="1" a="1"/>
  <c r="Z390" i="44" s="1"/>
  <c r="K14" i="44"/>
  <c r="Y390" i="44" s="1" a="1"/>
  <c r="Y390" i="44" s="1"/>
  <c r="L28" i="44"/>
  <c r="J37" i="61" l="1"/>
  <c r="J48" i="21"/>
  <c r="J36" i="61"/>
  <c r="J47" i="21"/>
  <c r="H19" i="21"/>
  <c r="H56" i="21"/>
  <c r="J88" i="61"/>
  <c r="J52" i="61"/>
  <c r="H55" i="21"/>
  <c r="AM148" i="36"/>
  <c r="K47" i="21" s="1"/>
  <c r="J76" i="61"/>
  <c r="J73" i="61"/>
  <c r="J79" i="61"/>
  <c r="K75" i="61"/>
  <c r="K79" i="61"/>
  <c r="J75" i="61"/>
  <c r="K78" i="61"/>
  <c r="J78" i="61"/>
  <c r="J83" i="61"/>
  <c r="K86" i="61"/>
  <c r="K82" i="61"/>
  <c r="J82" i="61"/>
  <c r="K534" i="44" a="1"/>
  <c r="K534" i="44" s="1"/>
  <c r="K526" i="44" a="1"/>
  <c r="K526" i="44" s="1"/>
  <c r="K541" i="44" a="1"/>
  <c r="K541" i="44" s="1"/>
  <c r="K519" i="44" a="1"/>
  <c r="K519" i="44" s="1"/>
  <c r="K540" i="44" a="1"/>
  <c r="K540" i="44" s="1"/>
  <c r="K527" i="44" a="1"/>
  <c r="K527" i="44" s="1"/>
  <c r="K520" i="44" a="1"/>
  <c r="K520" i="44" s="1"/>
  <c r="K547" i="44" a="1"/>
  <c r="K547" i="44" s="1"/>
  <c r="K533" i="44" a="1"/>
  <c r="K533" i="44" s="1"/>
  <c r="K548" i="44" a="1"/>
  <c r="K548" i="44" s="1"/>
  <c r="K571" i="44" s="1" a="1"/>
  <c r="K571" i="44" s="1"/>
  <c r="M528" i="44" a="1"/>
  <c r="M528" i="44" s="1"/>
  <c r="M522" i="44" a="1"/>
  <c r="M522" i="44" s="1"/>
  <c r="M540" i="44" a="1"/>
  <c r="M540" i="44" s="1"/>
  <c r="M527" i="44" a="1"/>
  <c r="M527" i="44" s="1"/>
  <c r="M526" i="44" a="1"/>
  <c r="M526" i="44" s="1"/>
  <c r="M550" i="44" a="1"/>
  <c r="M550" i="44" s="1"/>
  <c r="M573" i="44" s="1" a="1"/>
  <c r="M573" i="44" s="1"/>
  <c r="M543" i="44" a="1"/>
  <c r="M543" i="44" s="1"/>
  <c r="M529" i="44" a="1"/>
  <c r="M529" i="44" s="1"/>
  <c r="M535" i="44" a="1"/>
  <c r="M535" i="44" s="1"/>
  <c r="M549" i="44" a="1"/>
  <c r="M549" i="44" s="1"/>
  <c r="M572" i="44" s="1" a="1"/>
  <c r="M572" i="44" s="1"/>
  <c r="M519" i="44" a="1"/>
  <c r="M519" i="44" s="1"/>
  <c r="M533" i="44" a="1"/>
  <c r="M533" i="44" s="1"/>
  <c r="M534" i="44" a="1"/>
  <c r="M534" i="44" s="1"/>
  <c r="M548" i="44" a="1"/>
  <c r="M548" i="44" s="1"/>
  <c r="M547" i="44" a="1"/>
  <c r="M547" i="44" s="1"/>
  <c r="M536" i="44" a="1"/>
  <c r="M536" i="44" s="1"/>
  <c r="M520" i="44" a="1"/>
  <c r="M520" i="44" s="1"/>
  <c r="M521" i="44" a="1"/>
  <c r="M521" i="44" s="1"/>
  <c r="M541" i="44" a="1"/>
  <c r="M541" i="44" s="1"/>
  <c r="M542" i="44" a="1"/>
  <c r="M542" i="44" s="1"/>
  <c r="AB440" i="44" a="1"/>
  <c r="AB440" i="44" s="1"/>
  <c r="AB449" i="44" a="1"/>
  <c r="AB449" i="44" s="1"/>
  <c r="AB486" i="44" a="1"/>
  <c r="AB486" i="44" s="1"/>
  <c r="AB444" i="44" a="1"/>
  <c r="AB444" i="44" s="1"/>
  <c r="AB445" i="44" a="1"/>
  <c r="AB445" i="44" s="1"/>
  <c r="AB437" i="44" a="1"/>
  <c r="AB437" i="44" s="1"/>
  <c r="AB448" i="44" a="1"/>
  <c r="AB448" i="44" s="1"/>
  <c r="AB438" i="44" a="1"/>
  <c r="AB438" i="44" s="1"/>
  <c r="AB447" i="44" a="1"/>
  <c r="AB447" i="44" s="1"/>
  <c r="AB485" i="44" a="1"/>
  <c r="AB485" i="44" s="1"/>
  <c r="AB446" i="44" a="1"/>
  <c r="AB446" i="44" s="1"/>
  <c r="AB441" i="44" a="1"/>
  <c r="AB441" i="44" s="1"/>
  <c r="AB442" i="44" a="1"/>
  <c r="AB442" i="44" s="1"/>
  <c r="AB443" i="44" a="1"/>
  <c r="AB443" i="44" s="1"/>
  <c r="AB439" i="44" a="1"/>
  <c r="AB439" i="44" s="1"/>
  <c r="Z504" i="44" a="1"/>
  <c r="Z504" i="44" s="1"/>
  <c r="Z499" i="44" a="1"/>
  <c r="Z499" i="44" s="1"/>
  <c r="Z488" i="44" a="1"/>
  <c r="Z488" i="44" s="1"/>
  <c r="Z483" i="44" a="1"/>
  <c r="Z483" i="44" s="1"/>
  <c r="Z469" i="44" a="1"/>
  <c r="Z469" i="44" s="1"/>
  <c r="Z496" i="44" a="1"/>
  <c r="Z496" i="44" s="1"/>
  <c r="Z493" i="44" a="1"/>
  <c r="Z493" i="44" s="1"/>
  <c r="Z475" i="44" a="1"/>
  <c r="Z475" i="44" s="1"/>
  <c r="Z505" i="44" a="1"/>
  <c r="Z505" i="44" s="1"/>
  <c r="Z468" i="44" a="1"/>
  <c r="Z468" i="44" s="1"/>
  <c r="AC438" i="44" a="1"/>
  <c r="AC438" i="44" s="1"/>
  <c r="AC449" i="44" a="1"/>
  <c r="AC449" i="44" s="1"/>
  <c r="AC485" i="44" a="1"/>
  <c r="AC485" i="44" s="1"/>
  <c r="AC444" i="44" a="1"/>
  <c r="AC444" i="44" s="1"/>
  <c r="AC442" i="44" a="1"/>
  <c r="AC442" i="44" s="1"/>
  <c r="AC440" i="44" a="1"/>
  <c r="AC440" i="44" s="1"/>
  <c r="AC437" i="44" a="1"/>
  <c r="AC437" i="44" s="1"/>
  <c r="AC439" i="44" a="1"/>
  <c r="AC439" i="44" s="1"/>
  <c r="AC441" i="44" a="1"/>
  <c r="AC441" i="44" s="1"/>
  <c r="AC486" i="44" a="1"/>
  <c r="AC486" i="44" s="1"/>
  <c r="AC445" i="44" a="1"/>
  <c r="AC445" i="44" s="1"/>
  <c r="AC446" i="44" a="1"/>
  <c r="AC446" i="44" s="1"/>
  <c r="AC447" i="44" a="1"/>
  <c r="AC447" i="44" s="1"/>
  <c r="AC448" i="44" a="1"/>
  <c r="AC448" i="44" s="1"/>
  <c r="AC443" i="44" a="1"/>
  <c r="AC443" i="44" s="1"/>
  <c r="K570" i="44" a="1"/>
  <c r="K570" i="44" s="1"/>
  <c r="AC218" i="44" a="1"/>
  <c r="AC218" i="44" s="1"/>
  <c r="AC344" i="44" a="1"/>
  <c r="AC344" i="44" s="1"/>
  <c r="AC348" i="44" a="1"/>
  <c r="AC348" i="44" s="1"/>
  <c r="AC347" i="44" a="1"/>
  <c r="AC347" i="44" s="1"/>
  <c r="AC379" i="44" a="1"/>
  <c r="AC379" i="44" s="1"/>
  <c r="AC353" i="44" a="1"/>
  <c r="AC353" i="44" s="1"/>
  <c r="AC350" i="44" a="1"/>
  <c r="AC350" i="44" s="1"/>
  <c r="AC352" i="44" a="1"/>
  <c r="AC352" i="44" s="1"/>
  <c r="AC381" i="44" a="1"/>
  <c r="AC381" i="44" s="1"/>
  <c r="AC342" i="44" a="1"/>
  <c r="AC342" i="44" s="1"/>
  <c r="AC351" i="44" a="1"/>
  <c r="AC351" i="44" s="1"/>
  <c r="AC343" i="44" a="1"/>
  <c r="AC343" i="44" s="1"/>
  <c r="AC349" i="44" a="1"/>
  <c r="AC349" i="44" s="1"/>
  <c r="AC346" i="44" a="1"/>
  <c r="AC346" i="44" s="1"/>
  <c r="AC378" i="44" a="1"/>
  <c r="AC378" i="44" s="1"/>
  <c r="AC345" i="44" a="1"/>
  <c r="AC345" i="44" s="1"/>
  <c r="AC380" i="44" a="1"/>
  <c r="AC380" i="44" s="1"/>
  <c r="AC354" i="44" a="1"/>
  <c r="AC354" i="44" s="1"/>
  <c r="AB218" i="44" a="1"/>
  <c r="AB218" i="44" s="1"/>
  <c r="AB349" i="44" a="1"/>
  <c r="AB349" i="44" s="1"/>
  <c r="AB379" i="44" a="1"/>
  <c r="AB379" i="44" s="1"/>
  <c r="AB381" i="44" a="1"/>
  <c r="AB381" i="44" s="1"/>
  <c r="AB342" i="44" a="1"/>
  <c r="AB342" i="44" s="1"/>
  <c r="AB352" i="44" a="1"/>
  <c r="AB352" i="44" s="1"/>
  <c r="AB344" i="44" a="1"/>
  <c r="AB344" i="44" s="1"/>
  <c r="AB345" i="44" a="1"/>
  <c r="AB345" i="44" s="1"/>
  <c r="AB378" i="44" a="1"/>
  <c r="AB378" i="44" s="1"/>
  <c r="AB350" i="44" a="1"/>
  <c r="AB350" i="44" s="1"/>
  <c r="AB380" i="44" a="1"/>
  <c r="AB380" i="44" s="1"/>
  <c r="AB354" i="44" a="1"/>
  <c r="AB354" i="44" s="1"/>
  <c r="AB348" i="44" a="1"/>
  <c r="AB348" i="44" s="1"/>
  <c r="AB347" i="44" a="1"/>
  <c r="AB347" i="44" s="1"/>
  <c r="AB343" i="44" a="1"/>
  <c r="AB343" i="44" s="1"/>
  <c r="AB346" i="44" a="1"/>
  <c r="AB346" i="44" s="1"/>
  <c r="AB353" i="44" a="1"/>
  <c r="AB353" i="44" s="1"/>
  <c r="AB351" i="44" a="1"/>
  <c r="AB351" i="44" s="1"/>
  <c r="Z412" i="44" a="1"/>
  <c r="Z412" i="44" s="1"/>
  <c r="Z426" i="44" a="1"/>
  <c r="Z426" i="44" s="1"/>
  <c r="Z404" i="44" a="1"/>
  <c r="Z404" i="44" s="1"/>
  <c r="Z409" i="44" a="1"/>
  <c r="Z409" i="44" s="1"/>
  <c r="Z407" i="44" a="1"/>
  <c r="Z407" i="44" s="1"/>
  <c r="Z427" i="44" a="1"/>
  <c r="Z427" i="44" s="1"/>
  <c r="Z428" i="44" a="1"/>
  <c r="Z428" i="44" s="1"/>
  <c r="Z374" i="44" a="1"/>
  <c r="Z374" i="44" s="1"/>
  <c r="Z388" i="44" a="1"/>
  <c r="Z388" i="44" s="1"/>
  <c r="Z400" i="44" a="1"/>
  <c r="Z400" i="44" s="1"/>
  <c r="Z429" i="44" a="1"/>
  <c r="Z429" i="44" s="1"/>
  <c r="Z413" i="44" a="1"/>
  <c r="Z413" i="44" s="1"/>
  <c r="Z414" i="44" a="1"/>
  <c r="Z414" i="44" s="1"/>
  <c r="Z406" i="44" a="1"/>
  <c r="Z406" i="44" s="1"/>
  <c r="Z389" i="44" a="1"/>
  <c r="Z389" i="44" s="1"/>
  <c r="Z139" i="44" a="1"/>
  <c r="Z139" i="44" s="1"/>
  <c r="Z271" i="44" a="1"/>
  <c r="Z271" i="44" s="1"/>
  <c r="Z183" i="44" a="1"/>
  <c r="Z183" i="44" s="1"/>
  <c r="Z229" i="44" a="1"/>
  <c r="Z229" i="44" s="1"/>
  <c r="Z242" i="44" a="1"/>
  <c r="Z242" i="44" s="1"/>
  <c r="Z225" i="44" a="1"/>
  <c r="Z225" i="44" s="1"/>
  <c r="Z233" i="44" a="1"/>
  <c r="Z233" i="44" s="1"/>
  <c r="Z181" i="44" a="1"/>
  <c r="Z181" i="44" s="1"/>
  <c r="Z215" i="44" a="1"/>
  <c r="Z215" i="44" s="1"/>
  <c r="AB275" i="44" a="1"/>
  <c r="AB275" i="44" s="1"/>
  <c r="AB190" i="44" a="1"/>
  <c r="AB190" i="44" s="1"/>
  <c r="AB110" i="44" a="1"/>
  <c r="AB110" i="44" s="1"/>
  <c r="AB254" i="44" a="1"/>
  <c r="AB254" i="44" s="1"/>
  <c r="AC254" i="44" a="1"/>
  <c r="AC254" i="44" s="1"/>
  <c r="AC190" i="44" a="1"/>
  <c r="AC190" i="44" s="1"/>
  <c r="AC110" i="44" a="1"/>
  <c r="AC110" i="44" s="1"/>
  <c r="AC275" i="44" a="1"/>
  <c r="AC275" i="44" s="1"/>
  <c r="AC253" i="44" a="1"/>
  <c r="AC253" i="44" s="1"/>
  <c r="AC247" i="44" a="1"/>
  <c r="AC247" i="44" s="1"/>
  <c r="AC249" i="44" a="1"/>
  <c r="AC249" i="44" s="1"/>
  <c r="AC252" i="44" a="1"/>
  <c r="AC252" i="44" s="1"/>
  <c r="AC243" i="44" a="1"/>
  <c r="AC243" i="44" s="1"/>
  <c r="AC250" i="44" a="1"/>
  <c r="AC250" i="44" s="1"/>
  <c r="AC245" i="44" a="1"/>
  <c r="AC245" i="44" s="1"/>
  <c r="AC248" i="44" a="1"/>
  <c r="AC248" i="44" s="1"/>
  <c r="AC246" i="44" a="1"/>
  <c r="AC246" i="44" s="1"/>
  <c r="AC273" i="44" a="1"/>
  <c r="AC273" i="44" s="1"/>
  <c r="AC244" i="44" a="1"/>
  <c r="AC244" i="44" s="1"/>
  <c r="AC251" i="44" a="1"/>
  <c r="AC251" i="44" s="1"/>
  <c r="AC274" i="44" a="1"/>
  <c r="AC274" i="44" s="1"/>
  <c r="AC242" i="44" a="1"/>
  <c r="AC242" i="44" s="1"/>
  <c r="AC186" i="44" a="1"/>
  <c r="AC186" i="44" s="1"/>
  <c r="AC108" i="44" a="1"/>
  <c r="AC108" i="44" s="1"/>
  <c r="AC104" i="44" a="1"/>
  <c r="AC104" i="44" s="1"/>
  <c r="AC106" i="44" a="1"/>
  <c r="AC106" i="44" s="1"/>
  <c r="AC217" i="44" a="1"/>
  <c r="AC217" i="44" s="1"/>
  <c r="AC189" i="44" a="1"/>
  <c r="AC189" i="44" s="1"/>
  <c r="AC185" i="44" a="1"/>
  <c r="AC185" i="44" s="1"/>
  <c r="AC107" i="44" a="1"/>
  <c r="AC107" i="44" s="1"/>
  <c r="AC216" i="44" a="1"/>
  <c r="AC216" i="44" s="1"/>
  <c r="AC188" i="44" a="1"/>
  <c r="AC188" i="44" s="1"/>
  <c r="AC184" i="44" a="1"/>
  <c r="AC184" i="44" s="1"/>
  <c r="AC215" i="44" a="1"/>
  <c r="AC215" i="44" s="1"/>
  <c r="AC187" i="44" a="1"/>
  <c r="AC187" i="44" s="1"/>
  <c r="AC183" i="44" a="1"/>
  <c r="AC183" i="44" s="1"/>
  <c r="AC109" i="44" a="1"/>
  <c r="AC109" i="44" s="1"/>
  <c r="AC105" i="44" a="1"/>
  <c r="AC105" i="44" s="1"/>
  <c r="Z270" i="44" a="1"/>
  <c r="Z270" i="44" s="1"/>
  <c r="Z268" i="44" a="1"/>
  <c r="Z268" i="44" s="1"/>
  <c r="Z269" i="44" a="1"/>
  <c r="Z269" i="44" s="1"/>
  <c r="Z241" i="44" a="1"/>
  <c r="Z241" i="44" s="1"/>
  <c r="Z227" i="44" a="1"/>
  <c r="Z227" i="44" s="1"/>
  <c r="Z214" i="44" a="1"/>
  <c r="Z214" i="44" s="1"/>
  <c r="Z212" i="44" a="1"/>
  <c r="Z212" i="44" s="1"/>
  <c r="Z138" i="44" a="1"/>
  <c r="Z138" i="44" s="1"/>
  <c r="Z136" i="44" a="1"/>
  <c r="Z136" i="44" s="1"/>
  <c r="Z232" i="44" a="1"/>
  <c r="Z232" i="44" s="1"/>
  <c r="Z182" i="44" a="1"/>
  <c r="Z182" i="44" s="1"/>
  <c r="Z213" i="44" a="1"/>
  <c r="Z213" i="44" s="1"/>
  <c r="Z180" i="44" a="1"/>
  <c r="Z180" i="44" s="1"/>
  <c r="Z135" i="44" a="1"/>
  <c r="Z135" i="44" s="1"/>
  <c r="Z223" i="44" a="1"/>
  <c r="Z223" i="44" s="1"/>
  <c r="Z228" i="44" a="1"/>
  <c r="Z228" i="44" s="1"/>
  <c r="Z224" i="44" a="1"/>
  <c r="Z224" i="44" s="1"/>
  <c r="Z137" i="44" a="1"/>
  <c r="Z137" i="44" s="1"/>
  <c r="Z231" i="44" a="1"/>
  <c r="Z231" i="44" s="1"/>
  <c r="AB253" i="44" a="1"/>
  <c r="AB253" i="44" s="1"/>
  <c r="AB251" i="44" a="1"/>
  <c r="AB251" i="44" s="1"/>
  <c r="AB274" i="44" a="1"/>
  <c r="AB274" i="44" s="1"/>
  <c r="AB246" i="44" a="1"/>
  <c r="AB246" i="44" s="1"/>
  <c r="AB273" i="44" a="1"/>
  <c r="AB273" i="44" s="1"/>
  <c r="AB249" i="44" a="1"/>
  <c r="AB249" i="44" s="1"/>
  <c r="AB248" i="44" a="1"/>
  <c r="AB248" i="44" s="1"/>
  <c r="AB247" i="44" a="1"/>
  <c r="AB247" i="44" s="1"/>
  <c r="AB250" i="44" a="1"/>
  <c r="AB250" i="44" s="1"/>
  <c r="AB242" i="44" a="1"/>
  <c r="AB242" i="44" s="1"/>
  <c r="AB245" i="44" a="1"/>
  <c r="AB245" i="44" s="1"/>
  <c r="AB252" i="44" a="1"/>
  <c r="AB252" i="44" s="1"/>
  <c r="AB244" i="44" a="1"/>
  <c r="AB244" i="44" s="1"/>
  <c r="AB243" i="44" a="1"/>
  <c r="AB243" i="44" s="1"/>
  <c r="AB187" i="44" a="1"/>
  <c r="AB187" i="44" s="1"/>
  <c r="AB106" i="44" a="1"/>
  <c r="AB106" i="44" s="1"/>
  <c r="AB104" i="44" a="1"/>
  <c r="AB104" i="44" s="1"/>
  <c r="AB216" i="44" a="1"/>
  <c r="AB216" i="44" s="1"/>
  <c r="AB189" i="44" a="1"/>
  <c r="AB189" i="44" s="1"/>
  <c r="AB186" i="44" a="1"/>
  <c r="AB186" i="44" s="1"/>
  <c r="AB185" i="44" a="1"/>
  <c r="AB185" i="44" s="1"/>
  <c r="AB107" i="44" a="1"/>
  <c r="AB107" i="44" s="1"/>
  <c r="AB215" i="44" a="1"/>
  <c r="AB215" i="44" s="1"/>
  <c r="AB184" i="44" a="1"/>
  <c r="AB184" i="44" s="1"/>
  <c r="AB109" i="44" a="1"/>
  <c r="AB109" i="44" s="1"/>
  <c r="AB217" i="44" a="1"/>
  <c r="AB217" i="44" s="1"/>
  <c r="AB188" i="44" a="1"/>
  <c r="AB188" i="44" s="1"/>
  <c r="AB183" i="44" a="1"/>
  <c r="AB183" i="44" s="1"/>
  <c r="AB108" i="44" a="1"/>
  <c r="AB108" i="44" s="1"/>
  <c r="AB105" i="44" a="1"/>
  <c r="AB105" i="44" s="1"/>
  <c r="N14" i="44"/>
  <c r="AB390" i="44" s="1" a="1"/>
  <c r="AB390" i="44" s="1"/>
  <c r="AL31" i="33"/>
  <c r="O14" i="44" s="1"/>
  <c r="AC390" i="44" s="1" a="1"/>
  <c r="AC390" i="44" s="1"/>
  <c r="L26" i="44"/>
  <c r="L27" i="44"/>
  <c r="Z514" i="44" s="1" a="1"/>
  <c r="Z514" i="44" s="1"/>
  <c r="H54" i="21" l="1"/>
  <c r="H57" i="21"/>
  <c r="H53" i="21"/>
  <c r="H46" i="21"/>
  <c r="K36" i="61"/>
  <c r="J77" i="61"/>
  <c r="N534" i="44" a="1"/>
  <c r="N534" i="44" s="1"/>
  <c r="N542" i="44" a="1"/>
  <c r="N542" i="44" s="1"/>
  <c r="N544" i="44" a="1"/>
  <c r="N544" i="44" s="1"/>
  <c r="N533" i="44" a="1"/>
  <c r="N533" i="44" s="1"/>
  <c r="N541" i="44" a="1"/>
  <c r="N541" i="44" s="1"/>
  <c r="N530" i="44" a="1"/>
  <c r="N530" i="44" s="1"/>
  <c r="N547" i="44" a="1"/>
  <c r="N547" i="44" s="1"/>
  <c r="N550" i="44" a="1"/>
  <c r="N550" i="44" s="1"/>
  <c r="N551" i="44" a="1"/>
  <c r="N551" i="44" s="1"/>
  <c r="N537" i="44" a="1"/>
  <c r="N537" i="44" s="1"/>
  <c r="N526" i="44" a="1"/>
  <c r="N526" i="44" s="1"/>
  <c r="N536" i="44" a="1"/>
  <c r="N536" i="44" s="1"/>
  <c r="N535" i="44" a="1"/>
  <c r="N535" i="44" s="1"/>
  <c r="N523" i="44" a="1"/>
  <c r="N523" i="44" s="1"/>
  <c r="N529" i="44" a="1"/>
  <c r="N529" i="44" s="1"/>
  <c r="N520" i="44" a="1"/>
  <c r="N520" i="44" s="1"/>
  <c r="N521" i="44" a="1"/>
  <c r="N521" i="44" s="1"/>
  <c r="N519" i="44" a="1"/>
  <c r="N519" i="44" s="1"/>
  <c r="N522" i="44" a="1"/>
  <c r="N522" i="44" s="1"/>
  <c r="N548" i="44" a="1"/>
  <c r="N548" i="44" s="1"/>
  <c r="N571" i="44" s="1" a="1"/>
  <c r="N571" i="44" s="1"/>
  <c r="N543" i="44" a="1"/>
  <c r="N543" i="44" s="1"/>
  <c r="N527" i="44" a="1"/>
  <c r="N527" i="44" s="1"/>
  <c r="N540" i="44" a="1"/>
  <c r="N540" i="44" s="1"/>
  <c r="N549" i="44" a="1"/>
  <c r="N549" i="44" s="1"/>
  <c r="N572" i="44" s="1" a="1"/>
  <c r="N572" i="44" s="1"/>
  <c r="N528" i="44" a="1"/>
  <c r="N528" i="44" s="1"/>
  <c r="O528" i="44" a="1"/>
  <c r="O528" i="44" s="1"/>
  <c r="O520" i="44" a="1"/>
  <c r="O520" i="44" s="1"/>
  <c r="O519" i="44" a="1"/>
  <c r="O519" i="44" s="1"/>
  <c r="O551" i="44" a="1"/>
  <c r="O551" i="44" s="1"/>
  <c r="O544" i="44" a="1"/>
  <c r="O544" i="44" s="1"/>
  <c r="O533" i="44" a="1"/>
  <c r="O533" i="44" s="1"/>
  <c r="O540" i="44" a="1"/>
  <c r="O540" i="44" s="1"/>
  <c r="O542" i="44" a="1"/>
  <c r="O542" i="44" s="1"/>
  <c r="O536" i="44" a="1"/>
  <c r="O536" i="44" s="1"/>
  <c r="O530" i="44" a="1"/>
  <c r="O530" i="44" s="1"/>
  <c r="O527" i="44" a="1"/>
  <c r="O527" i="44" s="1"/>
  <c r="O549" i="44" a="1"/>
  <c r="O549" i="44" s="1"/>
  <c r="O522" i="44" a="1"/>
  <c r="O522" i="44" s="1"/>
  <c r="O541" i="44" a="1"/>
  <c r="O541" i="44" s="1"/>
  <c r="O548" i="44" a="1"/>
  <c r="O548" i="44" s="1"/>
  <c r="O571" i="44" s="1" a="1"/>
  <c r="O571" i="44" s="1"/>
  <c r="O535" i="44" a="1"/>
  <c r="O535" i="44" s="1"/>
  <c r="O523" i="44" a="1"/>
  <c r="O523" i="44" s="1"/>
  <c r="O521" i="44" a="1"/>
  <c r="O521" i="44" s="1"/>
  <c r="O558" i="44" s="1" a="1"/>
  <c r="O558" i="44" s="1"/>
  <c r="O543" i="44" a="1"/>
  <c r="O543" i="44" s="1"/>
  <c r="O537" i="44" a="1"/>
  <c r="O537" i="44" s="1"/>
  <c r="O534" i="44" a="1"/>
  <c r="O534" i="44" s="1"/>
  <c r="O550" i="44" a="1"/>
  <c r="O550" i="44" s="1"/>
  <c r="O573" i="44" s="1" a="1"/>
  <c r="O573" i="44" s="1"/>
  <c r="O547" i="44" a="1"/>
  <c r="O547" i="44" s="1"/>
  <c r="O570" i="44" s="1" a="1"/>
  <c r="O570" i="44" s="1"/>
  <c r="O529" i="44" a="1"/>
  <c r="O529" i="44" s="1"/>
  <c r="O526" i="44" a="1"/>
  <c r="O526" i="44" s="1"/>
  <c r="Z503" i="44" a="1"/>
  <c r="Z503" i="44" s="1"/>
  <c r="Z502" i="44" a="1"/>
  <c r="Z502" i="44" s="1"/>
  <c r="Z510" i="44" a="1"/>
  <c r="Z510" i="44" s="1"/>
  <c r="Z508" i="44" a="1"/>
  <c r="Z508" i="44" s="1"/>
  <c r="N573" i="44" a="1"/>
  <c r="N573" i="44" s="1"/>
  <c r="N574" i="44" a="1"/>
  <c r="N574" i="44" s="1"/>
  <c r="O574" i="44" a="1"/>
  <c r="O574" i="44" s="1"/>
  <c r="K563" i="44" a="1"/>
  <c r="K563" i="44" s="1"/>
  <c r="M559" i="44" a="1"/>
  <c r="M559" i="44" s="1"/>
  <c r="M563" i="44" a="1"/>
  <c r="M563" i="44" s="1"/>
  <c r="H49" i="21"/>
  <c r="H50" i="21"/>
  <c r="O572" i="44" a="1"/>
  <c r="O572" i="44" s="1"/>
  <c r="K564" i="44" a="1"/>
  <c r="K564" i="44" s="1"/>
  <c r="K557" i="44" a="1"/>
  <c r="K557" i="44" s="1"/>
  <c r="K556" i="44" a="1"/>
  <c r="K556" i="44" s="1"/>
  <c r="Z420" i="44" a="1"/>
  <c r="Z420" i="44" s="1"/>
  <c r="Z425" i="44" a="1"/>
  <c r="Z425" i="44" s="1"/>
  <c r="Z424" i="44" a="1"/>
  <c r="Z424" i="44" s="1"/>
  <c r="Z219" i="44" a="1"/>
  <c r="Z219" i="44" s="1"/>
  <c r="Z419" i="44" a="1"/>
  <c r="Z419" i="44" s="1"/>
  <c r="Z337" i="44" a="1"/>
  <c r="Z337" i="44" s="1"/>
  <c r="Z238" i="44" a="1"/>
  <c r="Z238" i="44" s="1"/>
  <c r="Z297" i="44" a="1"/>
  <c r="Z297" i="44" s="1"/>
  <c r="Z286" i="44" a="1"/>
  <c r="Z286" i="44" s="1"/>
  <c r="M566" i="44" a="1"/>
  <c r="M566" i="44" s="1"/>
  <c r="M564" i="44" a="1"/>
  <c r="M564" i="44" s="1"/>
  <c r="M570" i="44" a="1"/>
  <c r="M570" i="44" s="1"/>
  <c r="M571" i="44" a="1"/>
  <c r="M571" i="44" s="1"/>
  <c r="M557" i="44" a="1"/>
  <c r="M557" i="44" s="1"/>
  <c r="N570" i="44" a="1"/>
  <c r="N570" i="44" s="1"/>
  <c r="M558" i="44" a="1"/>
  <c r="M558" i="44" s="1"/>
  <c r="M556" i="44" a="1"/>
  <c r="M556" i="44" s="1"/>
  <c r="M565" i="44" a="1"/>
  <c r="M565" i="44" s="1"/>
  <c r="Z236" i="44" a="1"/>
  <c r="Z236" i="44" s="1"/>
  <c r="Z218" i="44" a="1"/>
  <c r="Z218" i="44" s="1"/>
  <c r="L541" i="44" s="1" a="1"/>
  <c r="L541" i="44" s="1"/>
  <c r="Z285" i="44" a="1"/>
  <c r="Z285" i="44" s="1"/>
  <c r="Z237" i="44" a="1"/>
  <c r="Z237" i="44" s="1"/>
  <c r="Z296" i="44" a="1"/>
  <c r="Z296" i="44" s="1"/>
  <c r="Z295" i="44" a="1"/>
  <c r="Z295" i="44" s="1"/>
  <c r="Z335" i="44" a="1"/>
  <c r="Z335" i="44" s="1"/>
  <c r="Z284" i="44" a="1"/>
  <c r="Z284" i="44" s="1"/>
  <c r="Z336" i="44" a="1"/>
  <c r="Z336" i="44" s="1"/>
  <c r="H48" i="21" l="1"/>
  <c r="K76" i="61"/>
  <c r="O559" i="44" a="1"/>
  <c r="O559" i="44" s="1"/>
  <c r="L549" i="44" a="1"/>
  <c r="L549" i="44" s="1"/>
  <c r="L533" i="44" a="1"/>
  <c r="L533" i="44" s="1"/>
  <c r="L548" i="44" a="1"/>
  <c r="L548" i="44" s="1"/>
  <c r="L534" i="44" a="1"/>
  <c r="L534" i="44" s="1"/>
  <c r="L528" i="44" a="1"/>
  <c r="L528" i="44" s="1"/>
  <c r="L542" i="44" a="1"/>
  <c r="L542" i="44" s="1"/>
  <c r="L547" i="44" a="1"/>
  <c r="L547" i="44" s="1"/>
  <c r="L526" i="44" a="1"/>
  <c r="L526" i="44" s="1"/>
  <c r="L519" i="44" a="1"/>
  <c r="L519" i="44" s="1"/>
  <c r="L520" i="44" a="1"/>
  <c r="L520" i="44" s="1"/>
  <c r="L521" i="44" a="1"/>
  <c r="L521" i="44" s="1"/>
  <c r="L527" i="44" a="1"/>
  <c r="L527" i="44" s="1"/>
  <c r="L540" i="44" a="1"/>
  <c r="L540" i="44" s="1"/>
  <c r="N567" i="44" a="1"/>
  <c r="N567" i="44" s="1"/>
  <c r="O567" i="44" a="1"/>
  <c r="O567" i="44" s="1"/>
  <c r="O560" i="44" a="1"/>
  <c r="O560" i="44" s="1"/>
  <c r="N560" i="44" a="1"/>
  <c r="N560" i="44" s="1"/>
  <c r="N559" i="44" a="1"/>
  <c r="N559" i="44" s="1"/>
  <c r="O557" i="44" a="1"/>
  <c r="O557" i="44" s="1"/>
  <c r="O556" i="44" a="1"/>
  <c r="O556" i="44" s="1"/>
  <c r="L535" i="44" a="1"/>
  <c r="L535" i="44" s="1"/>
  <c r="N556" i="44" a="1"/>
  <c r="N556" i="44" s="1"/>
  <c r="O563" i="44" a="1"/>
  <c r="O563" i="44" s="1"/>
  <c r="N557" i="44" a="1"/>
  <c r="N557" i="44" s="1"/>
  <c r="N565" i="44" a="1"/>
  <c r="N565" i="44" s="1"/>
  <c r="N564" i="44" a="1"/>
  <c r="N564" i="44" s="1"/>
  <c r="O565" i="44" a="1"/>
  <c r="O565" i="44" s="1"/>
  <c r="N566" i="44" a="1"/>
  <c r="N566" i="44" s="1"/>
  <c r="O564" i="44" a="1"/>
  <c r="O564" i="44" s="1"/>
  <c r="N558" i="44" a="1"/>
  <c r="N558" i="44" s="1"/>
  <c r="N563" i="44" a="1"/>
  <c r="N563" i="44" s="1"/>
  <c r="O566" i="44" a="1"/>
  <c r="O566" i="44" s="1"/>
  <c r="B108" i="10"/>
  <c r="H47" i="21" l="1"/>
  <c r="H44" i="21"/>
  <c r="J81" i="61"/>
  <c r="K40" i="61"/>
  <c r="L563" i="44" a="1"/>
  <c r="L563" i="44" s="1"/>
  <c r="L565" i="44" a="1"/>
  <c r="L565" i="44" s="1"/>
  <c r="L564" i="44" a="1"/>
  <c r="L564" i="44" s="1"/>
  <c r="L557" i="44" a="1"/>
  <c r="L557" i="44" s="1"/>
  <c r="L570" i="44" a="1"/>
  <c r="L570" i="44" s="1"/>
  <c r="L556" i="44" a="1"/>
  <c r="L556" i="44" s="1"/>
  <c r="L572" i="44" a="1"/>
  <c r="L572" i="44" s="1"/>
  <c r="L571" i="44" a="1"/>
  <c r="L571" i="44" s="1"/>
  <c r="L558" i="44" a="1"/>
  <c r="L558" i="44" s="1"/>
  <c r="B95" i="10"/>
  <c r="B103" i="10" s="1"/>
  <c r="K52" i="61" l="1"/>
  <c r="H52" i="21"/>
  <c r="J80" i="61"/>
  <c r="J96" i="61" s="1"/>
  <c r="J67" i="21" s="1"/>
  <c r="K80" i="61"/>
  <c r="B96" i="10"/>
  <c r="K96" i="61" l="1"/>
  <c r="K67" i="21" s="1"/>
  <c r="H67" i="21" s="1"/>
  <c r="J95" i="61"/>
  <c r="K95" i="61"/>
  <c r="K64" i="21"/>
  <c r="J64" i="21"/>
  <c r="J68" i="21" s="1"/>
  <c r="J72" i="21" s="1"/>
  <c r="B97" i="10"/>
  <c r="B102" i="10" s="1"/>
  <c r="K68" i="21" l="1"/>
  <c r="K72" i="21"/>
  <c r="H68" i="21"/>
  <c r="H20" i="42"/>
  <c r="H64" i="21"/>
  <c r="H51" i="21"/>
  <c r="H44" i="42" l="1"/>
  <c r="H46" i="42" s="1"/>
  <c r="H49" i="42" s="1"/>
  <c r="N51" i="42" s="1"/>
  <c r="H37" i="42"/>
  <c r="H38" i="42" s="1"/>
  <c r="H39" i="42" s="1"/>
  <c r="H83" i="42" s="1"/>
  <c r="P51" i="42"/>
  <c r="P52" i="42" s="1"/>
  <c r="N52" i="42"/>
  <c r="H48" i="42" l="1"/>
  <c r="H63" i="42"/>
  <c r="H72" i="21" l="1"/>
  <c r="H21" i="42"/>
  <c r="M51" i="42"/>
  <c r="O51" i="42" s="1"/>
  <c r="O52" i="42" s="1"/>
  <c r="H61" i="42" l="1"/>
  <c r="H64" i="42" s="1"/>
  <c r="H67" i="42" s="1"/>
  <c r="N69" i="42" s="1"/>
  <c r="N70" i="42" s="1"/>
  <c r="M54" i="42"/>
  <c r="M55" i="42" s="1"/>
  <c r="O54" i="42"/>
  <c r="O55" i="42" s="1"/>
  <c r="M52" i="42"/>
  <c r="N54" i="42"/>
  <c r="P69" i="42" l="1"/>
  <c r="P72" i="42" s="1"/>
  <c r="H66" i="42"/>
  <c r="M69" i="42" s="1"/>
  <c r="M70" i="42" s="1"/>
  <c r="N72" i="42"/>
  <c r="N73" i="42" s="1"/>
  <c r="J52" i="42"/>
  <c r="P54" i="42"/>
  <c r="N55" i="42"/>
  <c r="P70" i="42" l="1"/>
  <c r="O69" i="42"/>
  <c r="O70" i="42" s="1"/>
  <c r="M72" i="42"/>
  <c r="M73" i="42" s="1"/>
  <c r="P73" i="42"/>
  <c r="P55" i="42"/>
  <c r="J55" i="42" s="1"/>
  <c r="H56" i="42" s="1"/>
  <c r="J70" i="42" l="1"/>
  <c r="H78" i="42" s="1"/>
  <c r="O72" i="42"/>
  <c r="O73" i="42" s="1"/>
  <c r="J73" i="42" s="1"/>
  <c r="H74" i="42" l="1"/>
  <c r="H79" i="42"/>
  <c r="H80" i="42" s="1"/>
  <c r="M85" i="42" l="1"/>
  <c r="M16" i="24" s="1"/>
  <c r="L85" i="42"/>
  <c r="L16" i="24" s="1"/>
  <c r="O85" i="42"/>
  <c r="O16" i="24" s="1"/>
  <c r="N85" i="42"/>
  <c r="N16" i="24" s="1"/>
  <c r="F8" i="24"/>
  <c r="F8" i="28"/>
  <c r="L86" i="42"/>
  <c r="L20" i="24" s="1"/>
  <c r="P86" i="42"/>
  <c r="P20" i="24" s="1"/>
  <c r="P85" i="42"/>
  <c r="P16" i="24" s="1"/>
  <c r="N86" i="42"/>
  <c r="N20" i="24" s="1"/>
  <c r="M86" i="42"/>
  <c r="M20" i="24" s="1"/>
  <c r="O86" i="42"/>
  <c r="O20"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102" authorId="0" shapeId="0" xr:uid="{00000000-0006-0000-0300-000001000000}">
      <text>
        <r>
          <rPr>
            <sz val="8"/>
            <color indexed="81"/>
            <rFont val="Tahoma"/>
            <family val="2"/>
          </rPr>
          <t xml:space="preserve">In alle gevallen wordt een (groep van) roze cel(len) voorzien van een notitie die uitlegt wat er bijzonder is aan de betreffende gegevens of berekening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<sst xmlns="http://schemas.openxmlformats.org/spreadsheetml/2006/main" count="5159" uniqueCount="1302">
  <si>
    <t>Overige opmerkingen</t>
  </si>
  <si>
    <t>Over dit bestand</t>
  </si>
  <si>
    <t>Zaaknummer</t>
  </si>
  <si>
    <t>Titel</t>
  </si>
  <si>
    <t>Ondertitel</t>
  </si>
  <si>
    <t>Hoort bij besluit(en):</t>
  </si>
  <si>
    <t>Hoort bij onderzoek/publicatie ACM:</t>
  </si>
  <si>
    <t>Kenmerk besluit(en)</t>
  </si>
  <si>
    <t>Samenhang met andere rekenbestanden</t>
  </si>
  <si>
    <t>Overig opmerkingen</t>
  </si>
  <si>
    <t>Over de status van dit bestand</t>
  </si>
  <si>
    <t>Contactgegevens ACM</t>
  </si>
  <si>
    <t>Disclaimer</t>
  </si>
  <si>
    <t>Toelichting bij de werking van dit model</t>
  </si>
  <si>
    <t>Legenda voor gebruik van celkleuren en tabkleuren</t>
  </si>
  <si>
    <t>Beschrijving</t>
  </si>
  <si>
    <t>Waarde die zonder berekening wordt overgenomen uit een andere cel</t>
  </si>
  <si>
    <t>Berekende waarde</t>
  </si>
  <si>
    <t>Cel is niet van toepassing (dus leeg, niet nul), maar er wordt door een formule wel naar verwezen</t>
  </si>
  <si>
    <t>Bijzonderheden:</t>
  </si>
  <si>
    <t>Ingevoerde waarde of berekening die nog niet juist is (indien van toepassing)</t>
  </si>
  <si>
    <t>Eventueel te gebruiken:</t>
  </si>
  <si>
    <t>Bronnenoverzicht</t>
  </si>
  <si>
    <t>Exacte bestandsnaam</t>
  </si>
  <si>
    <t>Eenheid</t>
  </si>
  <si>
    <t>Constante</t>
  </si>
  <si>
    <t>Beschrijving gegevens</t>
  </si>
  <si>
    <t>Toelichting bij bijzonderheden</t>
  </si>
  <si>
    <t>Opmerkingen</t>
  </si>
  <si>
    <t>Data</t>
  </si>
  <si>
    <t>Berekening</t>
  </si>
  <si>
    <t>Resultaat</t>
  </si>
  <si>
    <t>Tabkleur</t>
  </si>
  <si>
    <t>Tabblad met input</t>
  </si>
  <si>
    <t>Tabblad met berekeningen</t>
  </si>
  <si>
    <t>Input --&gt;</t>
  </si>
  <si>
    <t>Celkleur getallen</t>
  </si>
  <si>
    <t>Tabbladen die het model vormen</t>
  </si>
  <si>
    <t>Toelichting</t>
  </si>
  <si>
    <t>Tabbladen ten behoeve van begrip</t>
  </si>
  <si>
    <t>Tabblad met resultaten/output</t>
  </si>
  <si>
    <t>Leeg tabblad dat wordt gebruikt als index/markering voor een serie tabbladen (kleur: licht grijs)</t>
  </si>
  <si>
    <t>Omschrijving</t>
  </si>
  <si>
    <t>Bronverwijzing</t>
  </si>
  <si>
    <t>Opmerking</t>
  </si>
  <si>
    <t>Ophalen gegevens voor berekening</t>
  </si>
  <si>
    <t>Rijtotaal</t>
  </si>
  <si>
    <t>In rekenmodellen probeert ACM zoveel mogelijk eenvoudige navolgbare berekeningen te maken en geen ingewikkelde functies of toepassingen te gebruiken.</t>
  </si>
  <si>
    <t>Wanneer toch gebruik wordt gemaakt van cel- en rangenamen, macro's of andere bijzondere functies in Excel wordt de werking ervan hier toegelicht</t>
  </si>
  <si>
    <t>Duiding van specifieke Excel-toepassingen en overige bijzonderheden</t>
  </si>
  <si>
    <t>Nr.</t>
  </si>
  <si>
    <t xml:space="preserve">Verkorte naam </t>
  </si>
  <si>
    <t>Beschrijving berekening</t>
  </si>
  <si>
    <t>Beschrijving resultaat</t>
  </si>
  <si>
    <t>Grijze cijfers geven de uitkomt van een check berekening; dit is geen resultaat waarmee verder wordt gerekend</t>
  </si>
  <si>
    <t>Schematische weergave en/of inhoudsopgave van de werking van dit model</t>
  </si>
  <si>
    <t>Zoals gebruikt in dit bestand</t>
  </si>
  <si>
    <t>Zaaknummer en/of kenmerk ACM</t>
  </si>
  <si>
    <t>In onderstaand overzicht houdt ACM bij welke bronnen gebruikt zijn voor de data en berekeningen in dit bestand.</t>
  </si>
  <si>
    <t>Ieder inputblad heeft een kolom 'bronverwijzing', waarin gebruikte bronnen met een verkorte naam worden aangeduid. Deze bronnen worden verder toegelicht in deze tabel.</t>
  </si>
  <si>
    <t>Indien van toepassing</t>
  </si>
  <si>
    <t>Data en input (bron wordt vermeld)</t>
  </si>
  <si>
    <t>Berekende waarde die wordt opgehaald op een ander tabblad, incl. (eind)resultaat van berekening</t>
  </si>
  <si>
    <t>Deze kleur wordt uitsluitend gebruikt bij een informatieverzoek: cellen die door de ontvanger van het dataverzoek moeten worden ingevuld</t>
  </si>
  <si>
    <t>Gestandaardiseerde tabbladen, omvat tenminste: 'Titelblad', 'Toelichting' en 'Bronnen en toepassingen' (kleur: ACM-lichtpaars)</t>
  </si>
  <si>
    <t>Een kader kan worden gebruikt om aan te geven dat een bepaald veld input bevat, maar deze input automatisch wordt ingeladen, bijvoorbeeld door middel van een macro (dus niet handmatig in te vullen)</t>
  </si>
  <si>
    <t>Definitief? (ja/nee)</t>
  </si>
  <si>
    <t>Indien publicatie, datum van dit bestand:</t>
  </si>
  <si>
    <t>Indien definitief, wordt bestand openbaar en/of gepubliceerd? (ja/nee)</t>
  </si>
  <si>
    <t>Juridisch integraal onderdeel van bovenstaande besluit(en) (ja/nee)?</t>
  </si>
  <si>
    <t>Indien publicatie, bevat bedrijfsvertrouwelijke gegevens? (ja/nee)</t>
  </si>
  <si>
    <t>Naam bestand</t>
  </si>
  <si>
    <t>Aanvullende gegevens bestand</t>
  </si>
  <si>
    <t>Datum/wijze ontvangst, versie nr., URL, etc.</t>
  </si>
  <si>
    <t>Waarde of berekening die speciale aandacht vraagt (zie toelichting in notitie)</t>
  </si>
  <si>
    <t>N.v.t.</t>
  </si>
  <si>
    <t>Postbus 16326</t>
  </si>
  <si>
    <t>2500 BH DEN HAAG</t>
  </si>
  <si>
    <t>Inputs</t>
  </si>
  <si>
    <t>Hulpberekeningen</t>
  </si>
  <si>
    <t>Berekeningen</t>
  </si>
  <si>
    <t>Resultaten</t>
  </si>
  <si>
    <t>Toelichting samenhang tabbladen:</t>
  </si>
  <si>
    <t>6. Correcties en prognoses</t>
  </si>
  <si>
    <t>Bedragen zijn inclusief het rentepercentage voor tariefcorrecties.</t>
  </si>
  <si>
    <t>EHS</t>
  </si>
  <si>
    <t>HS</t>
  </si>
  <si>
    <t>Berekening totale inkomsten</t>
  </si>
  <si>
    <t>Stap 1: Totale inkomsten exclusief tariefcorrecties</t>
  </si>
  <si>
    <t>Stap 2: Tariefcorrecties</t>
  </si>
  <si>
    <t>Correcties op grond van de algemene bevoegdheid</t>
  </si>
  <si>
    <t>Correcties op grond van een specifieke wettelijke bevoegdheid</t>
  </si>
  <si>
    <t>Verrekening kosten net op zee fase II</t>
  </si>
  <si>
    <t>Stap 3: Totale inkomsten</t>
  </si>
  <si>
    <t>Controles</t>
  </si>
  <si>
    <t>Vastrecht</t>
  </si>
  <si>
    <t>kW gecontracteerd per jaar</t>
  </si>
  <si>
    <t>kW gecontracteerd per jaar (max 600 uur)</t>
  </si>
  <si>
    <t>#</t>
  </si>
  <si>
    <t>Transporttaak</t>
  </si>
  <si>
    <t>EUR, pp jaar</t>
  </si>
  <si>
    <t>Correctie inkomsten transportdiensten EHS</t>
  </si>
  <si>
    <t>Deze correctie verrekent de inkomsten op het EHS netvlak als gevolg van wijzigingen in de inkomsten van de transportdiensten in afgelopen jaren. Wijzigingen kunnen bijvoorbeeld plaatsvinden door het wijzigen van een factuur of als gevolg van een geschilprocedure.</t>
  </si>
  <si>
    <t xml:space="preserve">Correctie verrekening garantstelling faillissementen </t>
  </si>
  <si>
    <t>Correctie inkomsten transportdiensten HS</t>
  </si>
  <si>
    <t>Deze correctie verrekent de inkomsten op het HS netvlak als gevolg van wijzigingen in de inkomsten van de transportdiensten in afgelopen jaren. Wijzigingen kunnen bijvoorbeeld plaatsvinden door het wijzigen van een factuur of als gevolg van een geschilprocedure.</t>
  </si>
  <si>
    <t>Correctie inkomsten aansluitdiensten HS</t>
  </si>
  <si>
    <t>Systeemtaak</t>
  </si>
  <si>
    <t>CPI</t>
  </si>
  <si>
    <t>Consumenten Prijs Index</t>
  </si>
  <si>
    <t>Toelichting vaststelling jaarlijks CPI-percentage</t>
  </si>
  <si>
    <t>CPI als jaarlijks percentage</t>
  </si>
  <si>
    <t>%</t>
  </si>
  <si>
    <t>CBS Statline</t>
  </si>
  <si>
    <t>De relatieve wijziging van de consumentenprijsindex wordt berekend uit het quotiënt van deze index, gepubliceerd in de vierde maand voorafgaande aan het jaar t, en van deze index, gepubliceerd</t>
  </si>
  <si>
    <t>De gegevens zijn afkomstig uit StatLine, zie voor recente CPI-cijfers: https://opendata.cbs.nl/statline/#/CBS/nl/dataset/70936ned/table?ts=1532343719053.</t>
  </si>
  <si>
    <t>Rentepercentage tariefcorrecties</t>
  </si>
  <si>
    <t>Toelichting gegevens rentepercentage tariefcorrecties</t>
  </si>
  <si>
    <t>Eerste kwartaal</t>
  </si>
  <si>
    <t>DNB</t>
  </si>
  <si>
    <t>De ACM gebruikt het rentepercentage tariefcorrecties voor de vergoeding van de tijdwaarde van geld in het geval van het toekennen van correcties in de tarieven die volgen uit nacalculaties over eerdere jaren.</t>
  </si>
  <si>
    <t>Tweede kwartaal</t>
  </si>
  <si>
    <t xml:space="preserve">De nacalculaties waarop het rentepercentage tariefcorrecties wordt toegepast kunnen zowel positief als negatief zijn; ACM past het rentepercentage tariefcorrecties symmetrisch toe. </t>
  </si>
  <si>
    <t>Derde kwartaal</t>
  </si>
  <si>
    <t>Vierde kwartaal</t>
  </si>
  <si>
    <t>Overige parameters</t>
  </si>
  <si>
    <t>Dekking kosten door tariefdragers TAVT</t>
  </si>
  <si>
    <t>kW gecontracteerd (min/max 600)</t>
  </si>
  <si>
    <t>Verhouding tarieven TAVT</t>
  </si>
  <si>
    <t>kW gecontracteerd max 600: kW gecontracteerd min 600</t>
  </si>
  <si>
    <t>Correctie toevoeging vermogenkosten</t>
  </si>
  <si>
    <t>Nacalculatie efficiënte (vermogens)kosten</t>
  </si>
  <si>
    <t>Inkoopkosten transporttaak EHS</t>
  </si>
  <si>
    <t>Inkoopkosten transporttaak HS</t>
  </si>
  <si>
    <t>Inkoopkosten systeemtaak</t>
  </si>
  <si>
    <t>Data ten behoeve van inkoopkosten transport naastgelegen netten</t>
  </si>
  <si>
    <t>Inkoopkosten transport bij regionale netbeheerder(s)</t>
  </si>
  <si>
    <t>Inter-TSO compensation</t>
  </si>
  <si>
    <t>Realisatie Inter-TSO compensation</t>
  </si>
  <si>
    <t>Het overige gedeelte van EHS TAVT wordt door toedoen van het cascade-beginsel afgenomen door HS.</t>
  </si>
  <si>
    <t xml:space="preserve">CPI </t>
  </si>
  <si>
    <t>Berekening mutatie CPI over meerdere jaren</t>
  </si>
  <si>
    <t>1+CPI</t>
  </si>
  <si>
    <t>1+%</t>
  </si>
  <si>
    <t>Berekening mutatie rentepercentage tariefcorrecties over meerdere jaren</t>
  </si>
  <si>
    <t>Berekening rentepercentage tariefcorrecties op jaarbasis</t>
  </si>
  <si>
    <t>Boekjaar waarvoor mutatie rentepercentage berekend wordt:</t>
  </si>
  <si>
    <t>Samengesteld percentage op basis van juli - juli mutatie:</t>
  </si>
  <si>
    <t xml:space="preserve">1 + rentepercentage van … naar … </t>
  </si>
  <si>
    <t>Berekening prognose inkoopkosten transporttaak per product</t>
  </si>
  <si>
    <t>Prognose inkoopkosten per product transporttaak EHS</t>
  </si>
  <si>
    <t>Prognose inkoopkosten per product transporttaak HS</t>
  </si>
  <si>
    <t>Berekening nacalculatie per product met bonus/malus-regeling</t>
  </si>
  <si>
    <t>Nacalculatie netverliezen transporttaak EHS</t>
  </si>
  <si>
    <t>Verschil tussen realisatie en prognose</t>
  </si>
  <si>
    <t>Risico van TenneT (25% van verschil)</t>
  </si>
  <si>
    <t>Maximum risico van TenneT (25%*20% van prognose)</t>
  </si>
  <si>
    <t>Netto risico van TenneT</t>
  </si>
  <si>
    <t>Nacalculatie</t>
  </si>
  <si>
    <t>Nacalculatie blindvermogen transporttaak EHS</t>
  </si>
  <si>
    <t>Nacalculatie oplossen transportbeperkingen transporttaak EHS</t>
  </si>
  <si>
    <t>Totale nacalculatie inkoopkosten transporttaak EHS</t>
  </si>
  <si>
    <t>Nacalculatie netverliezen transporttaak HS</t>
  </si>
  <si>
    <t>Nacalculatie blindvermogen transporttaak HS</t>
  </si>
  <si>
    <t>Nacalculatie oplossen transportbeperkingen transporttaak HS</t>
  </si>
  <si>
    <t>Totale nacalculatie inkoopkosten transporttaak HS</t>
  </si>
  <si>
    <t>Nacalculatie regel- en reservevermogen systeemtaak</t>
  </si>
  <si>
    <t>Nacalculatie noodvermogen systeemtaak</t>
  </si>
  <si>
    <t>Nacalculatie primaire reserve systeemtaak</t>
  </si>
  <si>
    <t>Nacalculatie herstelvoorzieningen systeemtaak</t>
  </si>
  <si>
    <t>Totale nacalculatie inkoopkosten systeemtaak</t>
  </si>
  <si>
    <t xml:space="preserve">Rentepercentage tariefcorrecties </t>
  </si>
  <si>
    <t>Omzet aansluitdienst en meterhuur</t>
  </si>
  <si>
    <t>Berekening van correcties</t>
  </si>
  <si>
    <t>Correctie omzet aansluitdienst en meterhuur</t>
  </si>
  <si>
    <t>Correctie inkoopkosten transport bij regionale netbeheerder(s)</t>
  </si>
  <si>
    <t>Correctie Inter-TSO compensation</t>
  </si>
  <si>
    <t xml:space="preserve">Op dit tabblad berekent de ACM de overige correcties. </t>
  </si>
  <si>
    <t>Transporttaak EHS</t>
  </si>
  <si>
    <t>Transporttaak HS</t>
  </si>
  <si>
    <t>Berekening omzetcorrectie</t>
  </si>
  <si>
    <t>Omzetcorrectie EHS</t>
  </si>
  <si>
    <t>Verschil tussen toegestane tariefinkomsten en gerealiseerde tariefinkomsten</t>
  </si>
  <si>
    <t>Omzetcorrectie HS</t>
  </si>
  <si>
    <t>Dekking kosten door tariefdragers TAVT:</t>
  </si>
  <si>
    <t>kW gecontracteerd (min/max 600 uur)</t>
  </si>
  <si>
    <t>Verhouding tarieven TAVT:</t>
  </si>
  <si>
    <t>kW gecontracteerd max 600 uur : kWgecontracteerd min 600 uur</t>
  </si>
  <si>
    <t>Controle tarieven</t>
  </si>
  <si>
    <t>Kostentoerekening EHS aan HS</t>
  </si>
  <si>
    <t>Tarievencode Elektriciteit 3.6.3 a: (Afname van HS af EHS) / (Afname van HS af EHS + Afname verbruikers op EHS)</t>
  </si>
  <si>
    <t>Controle: verwachte tariefinkomsten minder of gelijk aan toegestane inkomsten?</t>
  </si>
  <si>
    <t>Verschil</t>
  </si>
  <si>
    <t>Zijn de verwachte tariefinkomsten minder of gelijk aan de toegestane tariefinkomsten?</t>
  </si>
  <si>
    <t>ja/nee</t>
  </si>
  <si>
    <t>Als de verwachte tariefinkomsten hoger zijn dan de toegestane tariefinkomsten, dan voldoet het voorstel niet.</t>
  </si>
  <si>
    <t>Berekening a: wat zijn de EHS-tarieven volgens de Tarievencode?</t>
  </si>
  <si>
    <t>Totale inkomsten EHS TOVT</t>
  </si>
  <si>
    <t>Totale inkomsten EHS TAVT</t>
  </si>
  <si>
    <t>Totale inkomsten EHS TAVT uit EHS</t>
  </si>
  <si>
    <t>50% kW gecontracteerd</t>
  </si>
  <si>
    <t>Tarieven EHS volgens de Tarievencode</t>
  </si>
  <si>
    <t>In deze rij wordt voor elke tariefdrager het tarief afgeleid uit het vastrechttarief en de tarievencodebepalingen. De formule verschilt per tariefdrager.</t>
  </si>
  <si>
    <t>Tariefinkomsten EHS volgens de Tarievencode</t>
  </si>
  <si>
    <t>Tarieven EHS volgens de Tarievencode afgerond</t>
  </si>
  <si>
    <t>Verschil door afronden tarieven</t>
  </si>
  <si>
    <t>Berekening b: wat zijn de HS-tarieven volgens de Tarievencode?</t>
  </si>
  <si>
    <t>Totale inkomsten HS TOVT</t>
  </si>
  <si>
    <t>Totale inkomsten HS TAVT (zonder EHS)</t>
  </si>
  <si>
    <t>Totale inkomsten HS TAVT (met EHS)</t>
  </si>
  <si>
    <t xml:space="preserve">Tarieven HS volgens de Tarievencode </t>
  </si>
  <si>
    <t>Tariefinkomsten HS volgens de Tarievencode</t>
  </si>
  <si>
    <t>Tarieven HS volgens de Tarievencode afgerond</t>
  </si>
  <si>
    <t xml:space="preserve">Controle berekening: zijn de tariefinkomsten op basis van de tarieven volgens de Tarievencode </t>
  </si>
  <si>
    <t xml:space="preserve">minder of gelijk aan de toegestane tariefinkomsten? </t>
  </si>
  <si>
    <t>Tariefinkomsten op basis van niet-afgeronde tarieven</t>
  </si>
  <si>
    <t>Tariefinkomsten op basis van afgeronde tarieven</t>
  </si>
  <si>
    <t>Verschil niet en wel afronden tarieven</t>
  </si>
  <si>
    <t>Dit getal mag niet positief zijn, indien dit wel het geval is, dan handmatig een afgerond tarief aanpassen.</t>
  </si>
  <si>
    <t>Uitkomst</t>
  </si>
  <si>
    <t>Voldoet het tarievenvoorstel van TenneT?</t>
  </si>
  <si>
    <t>Tabblad 1 - Titelblad</t>
  </si>
  <si>
    <t>Tabblad 2 - Toelichting bij dit bestand</t>
  </si>
  <si>
    <t>Tabblad 3 - Bronnenoverzicht en specifieke toepassingen</t>
  </si>
  <si>
    <t>Tabblad 6 - Correcties en prognoses</t>
  </si>
  <si>
    <t>2023</t>
  </si>
  <si>
    <t>Percentage binnen scope</t>
  </si>
  <si>
    <t>Bron</t>
  </si>
  <si>
    <t>GAW ultimo 2000 EHS OUD</t>
  </si>
  <si>
    <t>GAW ultimo 2000 Delta</t>
  </si>
  <si>
    <t>GAW ultimo 2000 Liander (overname: 2008)</t>
  </si>
  <si>
    <t>GAW ultimo 2000 Enexis</t>
  </si>
  <si>
    <t>GAW ultimo 2000 TZH</t>
  </si>
  <si>
    <t>GAW ultimo 2000 Stedin - HS Eneco Classic (Zuid-Holland)</t>
  </si>
  <si>
    <t>GAW ultimo 2000 Stedin - HS Utrecht (ENBU)</t>
  </si>
  <si>
    <t>GAW ultimo 2000 Liander - HS Pampus</t>
  </si>
  <si>
    <t>Desinvestering TZH 2011 (trafo's Stedin)</t>
  </si>
  <si>
    <t>Desinvestering TZH 2012 (trafo's Liander)</t>
  </si>
  <si>
    <t>GAW ultimo 2007 Delta</t>
  </si>
  <si>
    <t>GAW ultimo 2007 Liander</t>
  </si>
  <si>
    <t>GAW ultimo 2007 Enexis</t>
  </si>
  <si>
    <t>HS Stedin 2015 (40 jaar)</t>
  </si>
  <si>
    <t>HS Stedin 2015 (50 jaar)</t>
  </si>
  <si>
    <t>HS Liander 2016 (50 jaar)</t>
  </si>
  <si>
    <t>HS Stedin 2015 (40 jaar) - deels buiten scope 2005</t>
  </si>
  <si>
    <t>HS Stedin 2015 (50 jaar) - deels buiten scope 2005</t>
  </si>
  <si>
    <t>HS Stedin 2015 (40 jaar) - deels buiten scope 2011</t>
  </si>
  <si>
    <t>HS Stedin 2015 (50 jaar) - deels buiten scope 2011</t>
  </si>
  <si>
    <t>HS Liander 2016 (50 jaar) - deels buiten scope 2011</t>
  </si>
  <si>
    <t>Overige bedrijfsmiddelen</t>
  </si>
  <si>
    <t>Telecommunicatienet</t>
  </si>
  <si>
    <t>Gebouwen bij de stations</t>
  </si>
  <si>
    <t>Terreinen: geen afschrijving</t>
  </si>
  <si>
    <t>(Proces)automatisering</t>
  </si>
  <si>
    <t>Hoogspanningsstations primair</t>
  </si>
  <si>
    <t>Hoogspanningsstations secundair</t>
  </si>
  <si>
    <t>Mast en fundatie</t>
  </si>
  <si>
    <t>Elektrotechnisch gedeelte</t>
  </si>
  <si>
    <t>Hoogspanningskabels</t>
  </si>
  <si>
    <t>Vermogenstransformatoren</t>
  </si>
  <si>
    <t>Computerapparatuur</t>
  </si>
  <si>
    <t>Hoogspanningsstations primair (25 jaar)</t>
  </si>
  <si>
    <t>Methodebesluit</t>
  </si>
  <si>
    <t>Activacategorie</t>
  </si>
  <si>
    <t>Oorspronkelijk investeringsbedrag</t>
  </si>
  <si>
    <t>Jaar van desinvesteren</t>
  </si>
  <si>
    <t>Maand van desinvesteren</t>
  </si>
  <si>
    <t>Systeem</t>
  </si>
  <si>
    <t>Transport</t>
  </si>
  <si>
    <t>Frontier shift</t>
  </si>
  <si>
    <t>Verwachte verandering OPEX a.g.v. uitbreiding/krimp</t>
  </si>
  <si>
    <t>Statische efficiëntie</t>
  </si>
  <si>
    <t>Thèta</t>
  </si>
  <si>
    <t>Indexeren van de desinvesteringen</t>
  </si>
  <si>
    <t>Percentage buiten scope</t>
  </si>
  <si>
    <t xml:space="preserve">Frontier shift van … naar … </t>
  </si>
  <si>
    <t xml:space="preserve">CPI van … naar … </t>
  </si>
  <si>
    <t>Frontier shift als jaarlijks percentage</t>
  </si>
  <si>
    <t>1-%</t>
  </si>
  <si>
    <t>Reële aanschafwaarden desinvesteringen</t>
  </si>
  <si>
    <t>Reële aanschafwaarde desinvesteringen van jaar ... EHS buiten scope</t>
  </si>
  <si>
    <t>Reële aanschafwaarde desinvesteringen van jaar ... EHS binnen scope</t>
  </si>
  <si>
    <t>Reële aanschafwaarde desinvesteringen van jaar ... HS binnen scope</t>
  </si>
  <si>
    <t>Reële aanschafwaarde desinvesteringen van jaar ... HS buiten scope</t>
  </si>
  <si>
    <t>Reële aanschafwaarde desinvesteringen van jaar ... Systeem</t>
  </si>
  <si>
    <t>Reële aanschafwaarde desinvesteringen, gecorrigeerd naar maand van desinvesteren</t>
  </si>
  <si>
    <t>Verwachte verandering OPEX a.g.v. uitbreiding/krimp van de netomvang</t>
  </si>
  <si>
    <t>Percentage binnen scope per activaklasse</t>
  </si>
  <si>
    <t>Volgnummer ACM</t>
  </si>
  <si>
    <t>Ophalen benodigde inputs</t>
  </si>
  <si>
    <t>Tariefcategorie</t>
  </si>
  <si>
    <t>Hulpkolommen voor berekening</t>
  </si>
  <si>
    <t>SHV</t>
  </si>
  <si>
    <t>Nee</t>
  </si>
  <si>
    <t>Voldoet het voorstel voor de tarieven?</t>
  </si>
  <si>
    <t>Rekenmodule tarievenbesluit TenneT 2022</t>
  </si>
  <si>
    <t>Statische efficiëntieparameter</t>
  </si>
  <si>
    <t>Verwachte kapitaalkosten bijschatten EHS binnen scope</t>
  </si>
  <si>
    <t>Verwachte kapitaalkosten bijschatten EHS buiten scope</t>
  </si>
  <si>
    <t>Verwachte kapitaalkosten bijschatten HS binnen scope</t>
  </si>
  <si>
    <t>Verwachte kapitaalkosten bijschatten HS buiten scope</t>
  </si>
  <si>
    <t xml:space="preserve">Verschil operationele kosten bijschatten EHS binnen scope a.g.v. gerealiseerde investeringen 2021 </t>
  </si>
  <si>
    <t>Berekening nacalculatie HS</t>
  </si>
  <si>
    <t xml:space="preserve">Verschil operationele kosten bijschatten HS binnen scope a.g.v. gerealiseerde investeringen 2021 </t>
  </si>
  <si>
    <t>Verwachte kapitaalkosten bijschatten systeem</t>
  </si>
  <si>
    <t xml:space="preserve">Verschil operationele kosten bijschatten systeem a.g.v. gerealiseerde investeringen 2021 </t>
  </si>
  <si>
    <t>Verwachte kosten EHS o.b.v. geschatte afloopinvesteringen WUI's</t>
  </si>
  <si>
    <t>Verwachte kapitaalkosten doorrollen EHS binnen scope</t>
  </si>
  <si>
    <t>Verwachte kapitaalkosten doorrollen EHS buiten scope excl. Cobra-kabel</t>
  </si>
  <si>
    <t>Verandering opex door verandering in aanschafwaarden ten opzichte van gemiddelde 2018-2020 binnen scope</t>
  </si>
  <si>
    <t>Verandering opex door verandering in aanschafwaarden ten opzichte van gemiddelde 2018-2020 buiten scope</t>
  </si>
  <si>
    <t>Verwachte kosten HS o.b.v. geschatte afloopinvesteringen WUI's</t>
  </si>
  <si>
    <t>Verwachte kapitaalkosten doorrollen HS binnen scope</t>
  </si>
  <si>
    <t xml:space="preserve">Verwachte kapitaalkosten doorrollen HS buiten scope </t>
  </si>
  <si>
    <t>Verwachte efficiënte kapitaalkosten doorrollen EHS buiten scope Cobra-kabel</t>
  </si>
  <si>
    <t>[berekeningstabbladen]</t>
  </si>
  <si>
    <t>Hyperlink</t>
  </si>
  <si>
    <t>Niet openbaar</t>
  </si>
  <si>
    <t>Zijn de tarieven conform voorstel TenneT?</t>
  </si>
  <si>
    <t>Tarieven, rekenvolumina en inkomsten</t>
  </si>
  <si>
    <t>Berekening mutatie frontier shift over meerdere jaren</t>
  </si>
  <si>
    <t xml:space="preserve">Op dit tabblad berekent de ACM samengestelde percentages voor de toepassing van de CPI, de frontier shift en het rentepercentage tariefcorrecties. Bij de toepassing van de samengestelde percentages wordt niet tussentijds afgerond. </t>
  </si>
  <si>
    <t xml:space="preserve">1 - frontier shift van … naar … </t>
  </si>
  <si>
    <t>1 - frontier shift</t>
  </si>
  <si>
    <t xml:space="preserve">1 + rentepercentage tariefcorrecties van … naar … </t>
  </si>
  <si>
    <t xml:space="preserve">Daling efficiënte operationele kosten a.g.v. veranderende netomvang </t>
  </si>
  <si>
    <t>Daling operationele kosten door desinvesteringen van jaar … systeem</t>
  </si>
  <si>
    <t>Verwachte kosten EHS o.b.v. gerealiseerde afloopinvesteringen WUI's</t>
  </si>
  <si>
    <t>Verwachte kosten HS o.b.v. gerealiseerde afloopinvesteringen WUI's</t>
  </si>
  <si>
    <t>Correctie verrekening faillissementen PV partijen</t>
  </si>
  <si>
    <t>Rekenmodule tarievenbesluit TenneT 2024</t>
  </si>
  <si>
    <t>Netverliezen EHS</t>
  </si>
  <si>
    <t>Blindvermogen EHS</t>
  </si>
  <si>
    <t>Oplossen transportbeperkingen EHS</t>
  </si>
  <si>
    <t>Netverliezen HS</t>
  </si>
  <si>
    <t>Blindvermogen HS</t>
  </si>
  <si>
    <t>Oplossen transportbeperkingen HS</t>
  </si>
  <si>
    <t>Prognose inkoopkosten per product systeemtaak</t>
  </si>
  <si>
    <t>Regel- en reservevermogen</t>
  </si>
  <si>
    <t>Noodvermogen</t>
  </si>
  <si>
    <t>Primaire reserve</t>
  </si>
  <si>
    <t>Herstelvoorzieningen</t>
  </si>
  <si>
    <t>Waarde die uit de ACM-database wordt ingelezen in de cel.</t>
  </si>
  <si>
    <t>Database</t>
  </si>
  <si>
    <t>Tabblad met input uit een database</t>
  </si>
  <si>
    <t>Datum inladen</t>
  </si>
  <si>
    <t>Bewerkingen</t>
  </si>
  <si>
    <t>Na te calculeren bedragen</t>
  </si>
  <si>
    <t xml:space="preserve">Daling operationele kosten door desinvesteringen van jaar ... EHS </t>
  </si>
  <si>
    <t xml:space="preserve">Daling operationele kosten door desinvesteringen van jaar … HS </t>
  </si>
  <si>
    <t>Verschil operationele kosten bijschatten systeem a.g.v. gerealiseerde investeringen 2022</t>
  </si>
  <si>
    <t>Verwachte kosten o.b.v. bijgeschatte investeringen HS</t>
  </si>
  <si>
    <t>Verwachte kosten o.b.v. bijgeschatte investeringen systeem</t>
  </si>
  <si>
    <t>Jaar</t>
  </si>
  <si>
    <t>Categorie</t>
  </si>
  <si>
    <t>Waarde</t>
  </si>
  <si>
    <t>Netverliezen</t>
  </si>
  <si>
    <t>Blindvermogen betrekken</t>
  </si>
  <si>
    <t>Oplossen transportbeperkingen</t>
  </si>
  <si>
    <t>Inkoop transport bij regionale netbeheerders</t>
  </si>
  <si>
    <t>Kosten Cross Border Trade</t>
  </si>
  <si>
    <t>Reguleringsdata TenneT 2018</t>
  </si>
  <si>
    <t>Reguleringsdata TenneT 2019</t>
  </si>
  <si>
    <t>Reguleringsdata TenneT 2020</t>
  </si>
  <si>
    <t>Reguleringsdata TenneT 2021</t>
  </si>
  <si>
    <t>Reguleringsdata TenneT 2022</t>
  </si>
  <si>
    <t>Rekenmodule tarievenbesluit TenneT 2023</t>
  </si>
  <si>
    <t>Verwachte kosten o.b.v. bijgeschatte investeringen EHS</t>
  </si>
  <si>
    <t>Verwachte kosten o.b.v. gerealiseerde investeringen met afschrijvingstermijn &gt; 10 jaar EHS</t>
  </si>
  <si>
    <t xml:space="preserve">Verandering operationele kosten door gerealiseerde investeringen EHS binnen scope in 2021 </t>
  </si>
  <si>
    <t>Verandering operationele kosten door gerealiseerde investeringen EHS binnen scope in 2022</t>
  </si>
  <si>
    <t xml:space="preserve">Verandering operationele kosten door bijgeschatte investeringen systeem in 2021 </t>
  </si>
  <si>
    <t>Verandering operationele kosten door bijgeschatte investeringen systeem in 2022</t>
  </si>
  <si>
    <t xml:space="preserve">Verandering operationele kosten door bijgeschatte investeringen EHS binnen scope in 2021 </t>
  </si>
  <si>
    <t>Verandering operationele kosten door bijgeschatte investeringen EHS binnen scope in 2022</t>
  </si>
  <si>
    <t xml:space="preserve">Verandering operationele kosten door bijgeschatte investeringen HS binnen scope in 2021 </t>
  </si>
  <si>
    <t>Verandering operationele kosten door bijgeschatte investeringen HS binnen scope in 2022</t>
  </si>
  <si>
    <t>Verandering operationele kosten door bijgeschatte investeringen HS buiten scope in 2021</t>
  </si>
  <si>
    <t>Verandering operationele kosten door bijgeschatte investeringen HS buiten scope in 2022</t>
  </si>
  <si>
    <t>Verandering operationele kosten door bijgeschatte investeringen EHS buiten scope in 2021</t>
  </si>
  <si>
    <t>Verandering operationele kosten door bijgeschatte investeringen EHS buiten scope in 2022</t>
  </si>
  <si>
    <t xml:space="preserve">Verandering operationele kosten door gerealiseerde investeringen EHS buiten scope in 2021 </t>
  </si>
  <si>
    <t>Verandering operationele kosten door gerealiseerde investeringen EHS buiten scope in 2022</t>
  </si>
  <si>
    <t xml:space="preserve">Verandering operationele kosten door gerealiseerde investeringen HS binnen scope in 2021 </t>
  </si>
  <si>
    <t>Verandering operationele kosten door gerealiseerde investeringen HS binnen scope in 2022</t>
  </si>
  <si>
    <t xml:space="preserve">Verandering operationele kosten door gerealiseerde investeringen HS buiten scope in 2021 </t>
  </si>
  <si>
    <t>Verandering operationele kosten door gerealiseerde investeringen HS buiten scope in 2022</t>
  </si>
  <si>
    <t>Verandering operationele kosten door gerealiseerde investeringen systeem in 2021</t>
  </si>
  <si>
    <t>Verandering operationele kosten door gerealiseerde investeringen systeem in 2022</t>
  </si>
  <si>
    <t>Verwachte kosten HS o.b.v. gerealiseerde investeringen met afschrijvingstermijn &gt; 10 jaar HS</t>
  </si>
  <si>
    <t>Verwachte kosten systeem o.b.v. gerealiseerde investeringen met afschrijvingstermijn &gt; 10 jaar systeem</t>
  </si>
  <si>
    <t>Verschil operationele kosten bijschatten EHS binnen scope a.g.v. gerealiseerde investeringen 2022</t>
  </si>
  <si>
    <t>Verschil operationele kosten bijschatten HS binnen scope a.g.v. gerealiseerde investeringen 2022</t>
  </si>
  <si>
    <t>Jaar desinvestering</t>
  </si>
  <si>
    <t>Maand desinvestering</t>
  </si>
  <si>
    <t>GAW activa geactiveerd t/m 2020  EHS binnen scope</t>
  </si>
  <si>
    <t>GAW activa geactiveerd t/m 2020  EHS buiten scope excl. Cobra-kabel</t>
  </si>
  <si>
    <t>GAW activa geactiveerd t/m 2020  EHS buiten scope Cobra-kabel excl. ARO</t>
  </si>
  <si>
    <t>GAW activa geactiveerd t/m 2020  EHS buiten scope Cobra-kabel ARO</t>
  </si>
  <si>
    <t>GAW activa bijschatten vanaf 2021 EHS binnen scope</t>
  </si>
  <si>
    <t>GAW activa bijschatten vanaf 2021 EHS buiten scope</t>
  </si>
  <si>
    <t>GAW activa geactiveerd t/m 2020 HS binnen scope</t>
  </si>
  <si>
    <t>GAW activa geactiveerd t/m 2020 HS buiten scope</t>
  </si>
  <si>
    <t>GAW activa bijschatten vanaf 2021 HS binnen scope</t>
  </si>
  <si>
    <t>GAW activa bijschatten vanaf 2021 HS buiten scope</t>
  </si>
  <si>
    <t>GAW activa geactiveerd t/m 2020 systeem</t>
  </si>
  <si>
    <t>GAW activa bijschatten vanaf 2021 systeem</t>
  </si>
  <si>
    <t>WACC</t>
  </si>
  <si>
    <t>Reeël-plus WACC bestaand vermogen uit MB (voor belasting)</t>
  </si>
  <si>
    <t>Reeël-plus WACC nieuw vermogen uit MB (voor belasting)</t>
  </si>
  <si>
    <t>Reëel-plus WACC uit het methodebesluit</t>
  </si>
  <si>
    <t>Percentage bijschatten nieuw vermogen</t>
  </si>
  <si>
    <t>Percentage bijschatten bestaand vermogen</t>
  </si>
  <si>
    <t>Percentages nieuw en bestaand vermogen</t>
  </si>
  <si>
    <t>%-punt</t>
  </si>
  <si>
    <t>Berekening tariefcorrecties</t>
  </si>
  <si>
    <t>Tariefcorrecties</t>
  </si>
  <si>
    <t>Berekening verandering vermogenskosten EHS door nagecalculeerde rente</t>
  </si>
  <si>
    <t>Berekening verandering vermogenskosten HS door nagecalculeerde rente</t>
  </si>
  <si>
    <t>Berekening verandering vermogenskosten systeemtaken door nagecalculeerde rente</t>
  </si>
  <si>
    <t>Bedragen in de berekening in de blauw gekleurde cellen zijn inclusief het rentepercentage voor tariefcorrecties.</t>
  </si>
  <si>
    <t>Berekening nog te vergoeden verschil efficiënte kosten EHS bijschatten a.g.v. gerealiseerde investeringen per jaar</t>
  </si>
  <si>
    <t>Berekening nog te vergoeden verschil efficiënte kosten HS bijschatten a.g.v. gerealiseerde investeringen per jaar</t>
  </si>
  <si>
    <t>Deze correctie verrekent een correctie in de berekening van de periodieke aansluitvergoeding van enkele regionale netbeheerders.</t>
  </si>
  <si>
    <t>GAW activa geactiveerd t/m 2020 EHS binnen scope</t>
  </si>
  <si>
    <t>GAW activa geactiveerd t/m 2020 EHS buiten scope excl. Cobra-kabel</t>
  </si>
  <si>
    <t>GAW activa geactiveerd t/m 2020 EHS buiten scope Cobra-kabel excl. ARO</t>
  </si>
  <si>
    <t>GAW activa geactiveerd t/m 2020 EHS buiten scope Cobra-kabel ARO</t>
  </si>
  <si>
    <t>Berekening verschil hoogte WACC</t>
  </si>
  <si>
    <t>Verandering reëel-plus WACC door nacalculatie rente</t>
  </si>
  <si>
    <t>Verandering vermogenskosten doorrollen EHS binnen scope</t>
  </si>
  <si>
    <t>Verandering vermogenskosten doorrollen EHS buiten scope</t>
  </si>
  <si>
    <t>Verandering vermogenskosten bijschatten EHS binnen scope</t>
  </si>
  <si>
    <t>Verandering vermogenskosten bijschatten EHS buiten scope</t>
  </si>
  <si>
    <t>Verandering vermogenskosten doorrollen HS binnen scope</t>
  </si>
  <si>
    <t>Verandering vermogenskosten doorrollen HS buiten scope</t>
  </si>
  <si>
    <t>Verandering vermogenskosten bijschatten HS binnen scope</t>
  </si>
  <si>
    <t>Verandering vermogenskosten bijschatten HS buiten scope</t>
  </si>
  <si>
    <t>Verandering vermogenskosten doorrollen systeemtaken</t>
  </si>
  <si>
    <t>Verandering vermogenskosten bijschatten systeemtaken</t>
  </si>
  <si>
    <t>Blindvermogen betrekken EHS</t>
  </si>
  <si>
    <t>Blindvermogen betrekken HS</t>
  </si>
  <si>
    <t>8. Input voorschot IKE&amp;V</t>
  </si>
  <si>
    <t>Verwachte operationele kosten EHS buiten scope Cobra-kabel</t>
  </si>
  <si>
    <t>Op dit blad worden de gerealiseerd inkoopkosten transport naastgelegen netten uit de database opgehaald. Dit omvat de inkoopkosten transport bij regionale netbeheerder(s) en de Inter-TSO compensation.</t>
  </si>
  <si>
    <t>Subcategorie</t>
  </si>
  <si>
    <t>EHS - Directe OPEX</t>
  </si>
  <si>
    <t>HS - Directe OPEX</t>
  </si>
  <si>
    <t>Correctie inkomsten aansluitdiensten EHS</t>
  </si>
  <si>
    <t>Prijspeil desinvestering</t>
  </si>
  <si>
    <t>Jaar opgave reguleringsdata</t>
  </si>
  <si>
    <t>Correctie toevoeging totale kosten a.g.v. herberekende WACC</t>
  </si>
  <si>
    <t>Deze correctie verrekent de inkomsten op het EHS netvlak als gevolg van wijzigingen in de inkomsten van de aansluitdiensten in afgelopen jaren. Wijzigingen kunnen bijvoorbeeld plaatsvinden door het wijzigen van een factuur of als gevolg van een geschilprocedure.</t>
  </si>
  <si>
    <t>Op dit blad worden de gerealiseerde inkoopkosten energie en vermogen uit de reguleringsdata database opgehaald. Deze inputgegevens worden gebruikt bij de nacalculatie inkoopkosten energie en vermogen.</t>
  </si>
  <si>
    <t>Bedragen in de berekeningen in de blauw gekleurde cellen zijn inclusief het rentepercentage voor tariefcorrecties.</t>
  </si>
  <si>
    <t>Gegevens ARO NorNed-kabel t.b.v. berekening kapitaalkosten</t>
  </si>
  <si>
    <t>Waarde ultimo jaar t</t>
  </si>
  <si>
    <t>Vermogenskosten (WACC*GAW)</t>
  </si>
  <si>
    <t>Gerealiseerde kapitaalkosten ARO NorNed-kabel</t>
  </si>
  <si>
    <t>Indexatiefactor 2022-2026</t>
  </si>
  <si>
    <t>Berekening nog te vergoeden kapitaalkosten ARO NorNed-kabel</t>
  </si>
  <si>
    <t>Gestandaardiseerde activa waarde ARO NorNed-kabel EHS</t>
  </si>
  <si>
    <t>Gegevens ARO NorNed-kabel t.b.v. berekening kapitaalkosten EHS</t>
  </si>
  <si>
    <t>Verwijzing naar in deze module berekende waarde.</t>
  </si>
  <si>
    <t>Verandering vermogenskosten ARO NorNed-kabel buiten scope</t>
  </si>
  <si>
    <t>Waarde ultimo jaar t NorNed-kabel buiten scope</t>
  </si>
  <si>
    <r>
      <t>De gegevens die de ACM ophaalt uit de database staan in deze rekenmodule als tabel met tabelnaam. Dit zijn de tabellen "</t>
    </r>
    <r>
      <rPr>
        <i/>
        <sz val="10"/>
        <rFont val="Arial"/>
        <family val="2"/>
      </rPr>
      <t>Desinvesteringen</t>
    </r>
    <r>
      <rPr>
        <sz val="10"/>
        <rFont val="Arial"/>
        <family val="2"/>
      </rPr>
      <t>", "</t>
    </r>
    <r>
      <rPr>
        <i/>
        <sz val="10"/>
        <rFont val="Arial"/>
        <family val="2"/>
      </rPr>
      <t>Realisatie_inkoopkosten_energie_en_vermogen</t>
    </r>
    <r>
      <rPr>
        <sz val="10"/>
        <rFont val="Arial"/>
        <family val="2"/>
      </rPr>
      <t>", en "</t>
    </r>
    <r>
      <rPr>
        <i/>
        <sz val="10"/>
        <rFont val="Arial"/>
        <family val="2"/>
      </rPr>
      <t>Realisatie_inkoopkosten_transport_naastgelegen_netten</t>
    </r>
    <r>
      <rPr>
        <sz val="10"/>
        <rFont val="Arial"/>
        <family val="2"/>
      </rPr>
      <t>". De ACM haalt op de relevante berekeningstabbladen gegevens uit deze tabellen op door gebruik te maken van de SOM-functie. In de SOM-functie neemt de ACM voorwaarden op, om specifieke gegevens uit de tabellen met input uit de database te selecteren.</t>
    </r>
  </si>
  <si>
    <t>Deze correctie betreft de verrekening van zowel openstaande facturen die TenneT heeft voldaan in het kader van het balanshandhavingsprocesverrekening in verband met faillissementen en eventuele ontvangsten als gevolg van finale afwikkelingen.</t>
  </si>
  <si>
    <t>Correctie inkomsten transportdiensten</t>
  </si>
  <si>
    <t>Correctie inkomsten aansluitdiensten</t>
  </si>
  <si>
    <t>Correctie investeringen met een afschrijvingstermijn langer dan tien jaar systeemtaak</t>
  </si>
  <si>
    <t>Geschatte kapitaalkosten ARO</t>
  </si>
  <si>
    <t>Ja</t>
  </si>
  <si>
    <t>Dit bestand is bedoeld ter verduidelijking van de berekeningen door ACM. Aan dit bestand kunnen geen rechten worden ontleend.</t>
  </si>
  <si>
    <t>in de zestiende maand voorafgaande aan het jaar t, zoals deze maandelijks wordt vastgesteld door het CBS. Dit komt neer op de jaarmutatie van de CPI in augustus voorafgaande aan jaar t.</t>
  </si>
  <si>
    <t>Reguleringsdata TenneT 2023</t>
  </si>
  <si>
    <t>Gewijzigde X-factorberekening Transporttaken TenneT 2022-2026</t>
  </si>
  <si>
    <t>Gewijzigde GAW-berekening TenneT voor de reguleringsperiode 2022-2026</t>
  </si>
  <si>
    <t>Bijlage 1a bij het gewijzigd methodebesluit TenneT systeemtaken 2022-2026</t>
  </si>
  <si>
    <t>ACM/UIT/600685</t>
  </si>
  <si>
    <t>ACM/UIT/600678</t>
  </si>
  <si>
    <t>Gewijzigde X-factorberekening Transporttaken TenneT</t>
  </si>
  <si>
    <t>Gewijzigde doelmatigheidsfactorberekening Systeemtaken TenneT</t>
  </si>
  <si>
    <t>Gewijzigd methodebesluit systeemtaken TenneT 2022-2026</t>
  </si>
  <si>
    <t>Gewijzigd methodebesluit transporttaken TenneT 2022-2026</t>
  </si>
  <si>
    <t>Gewijzigd methodebesluit transporttaken TenneT 2022-2026, paragraaf 7.4.1, randnummer 271; Gewijzigd methodebesluit systeemtaken TenneT 2022-2026, paragraaf 7.4.1, randnummer 111.</t>
  </si>
  <si>
    <t>Gewijzigd methodebesluit transporttaken TenneT 2022-2026, paragraaf 7.4.2, randnummer 276</t>
  </si>
  <si>
    <t>Gewijzigd methodebesluit transporttaken TenneT 2022-2026, paragraaf 7.3.3, randnummers 212-213</t>
  </si>
  <si>
    <t>Gewijzigd methodebesluit transporttaken TenneT 2022-2026, paragraaf 7.4.3, randnummer 327b</t>
  </si>
  <si>
    <t>1+CPI van 2018 naar 2025</t>
  </si>
  <si>
    <t>1+CPI van 2019 naar 2025</t>
  </si>
  <si>
    <t>1+CPI van 2020 naar 2025</t>
  </si>
  <si>
    <t>Prognose inkoopkosten transport bij regionale netbeheerders</t>
  </si>
  <si>
    <t>Realisatie inkoopkosten transport bij regionale netbeheerders</t>
  </si>
  <si>
    <t>Prognose Inter-TSO compensation</t>
  </si>
  <si>
    <t>Verschil operationele kosten bijschatten systeem a.g.v. gerealiseerde investeringen 2023</t>
  </si>
  <si>
    <t>Verandering operationele kosten door gerealiseerde investeringen EHS binnen scope in 2023</t>
  </si>
  <si>
    <t>Verandering operationele kosten door gerealiseerde investeringen EHS buiten scope in 2023</t>
  </si>
  <si>
    <t>Verandering operationele kosten door bijgeschatte investeringen EHS binnen scope in 2023</t>
  </si>
  <si>
    <t>Verandering operationele kosten door bijgeschatte investeringen EHS buiten scope in 2023</t>
  </si>
  <si>
    <t>Verschil operationele kosten bijschatten EHS binnen scope a.g.v. gerealiseerde investeringen 2023</t>
  </si>
  <si>
    <t xml:space="preserve">Verschil operationele kosten bijschatten EHS buiten scope a.g.v. gerealiseerde investeringen 2021 </t>
  </si>
  <si>
    <t>Verschil operationele kosten bijschatten EHS buiten scope a.g.v. gerealiseerde investeringen 2022</t>
  </si>
  <si>
    <t>Verschil operationele kosten bijschatten EHS buiten scope a.g.v. gerealiseerde investeringen 2023</t>
  </si>
  <si>
    <t>Voorschotspercentage</t>
  </si>
  <si>
    <t>Resterende nacalculatie</t>
  </si>
  <si>
    <t>Gewijzigde doelmatigheidsfactorberekening Systeemtaken TenneT, tab 8, rij 78</t>
  </si>
  <si>
    <t>Verandering operationele kosten door bijgeschatte investeringen systeem in 2023</t>
  </si>
  <si>
    <t>Gewijzigde doelmatigheidsfactorberekening Systeemtaken TenneT, tab 8, rij 77</t>
  </si>
  <si>
    <t>Gewijzigde doelmatigheidsfactorberekening Systeemtaken TenneT, tab 8, rij 76</t>
  </si>
  <si>
    <t>Gewijzigde doelmatigheidsfactorberekening Systeemtaken TenneT, tab 7, rij 39</t>
  </si>
  <si>
    <t>Gewijzigde X-factorberekening Transporttaken TenneT, tab 8, rij 217</t>
  </si>
  <si>
    <t>Verandering operationele kosten door bijgeschatte investeringen HS buiten scope in 2023</t>
  </si>
  <si>
    <t>Gewijzigde X-factorberekening Transporttaken TenneT, tab 8, rij 216</t>
  </si>
  <si>
    <t>Gewijzigde X-factorberekening Transporttaken TenneT, tab 8, rij 215</t>
  </si>
  <si>
    <t>Gewijzigde X-factorberekening Transporttaken TenneT, tab 7, rij 70</t>
  </si>
  <si>
    <t>Gewijzigde X-factorberekening Transporttaken TenneT, tab 8, rij 209</t>
  </si>
  <si>
    <t>Verandering operationele kosten door bijgeschatte investeringen HS binnen scope in 2023</t>
  </si>
  <si>
    <t>Gewijzigde X-factorberekening Transporttaken TenneT, tab 8, rij 208</t>
  </si>
  <si>
    <t>Gewijzigde X-factorberekening Transporttaken TenneT, tab 8, rij 207</t>
  </si>
  <si>
    <t>Gewijzigde X-factorberekening Transporttaken TenneT, tab 7, rij 69</t>
  </si>
  <si>
    <t>Gewijzigde X-factorberekening Transporttaken TenneT, tab 8, rij 184</t>
  </si>
  <si>
    <t>Gewijzigde X-factorberekening Transporttaken TenneT, tab 8, rij 183</t>
  </si>
  <si>
    <t>Gewijzigde X-factorberekening Transporttaken TenneT, tab 8, rij 182</t>
  </si>
  <si>
    <t>Gewijzigde X-factorberekening Transporttaken TenneT, tab 7, rij 60</t>
  </si>
  <si>
    <t>Gewijzigde X-factorberekening Transporttaken TenneT, tab 8, rij 176</t>
  </si>
  <si>
    <t>Gewijzigde X-factorberekening Transporttaken TenneT, tab 8, rij 175</t>
  </si>
  <si>
    <t>Gewijzigde X-factorberekening Transporttaken TenneT, tab 8, rij 174</t>
  </si>
  <si>
    <t>Gewijzigde X-factorberekening Transporttaken TenneT, tab 7, rij 59</t>
  </si>
  <si>
    <t>Verandering operationele kosten door gerealiseerde investeringen HS binnen scope in 2023</t>
  </si>
  <si>
    <t>Verandering operationele kosten door gerealiseerde investeringen HS buiten scope in 2023</t>
  </si>
  <si>
    <t>Verandering operationele kosten door gerealiseerde investeringen systeem in 2023</t>
  </si>
  <si>
    <t xml:space="preserve">Verschil operationele kosten bijschatten HS buiten scope a.g.v. gerealiseerde investeringen 2021 </t>
  </si>
  <si>
    <t>Verschil operationele kosten bijschatten HS buiten scope a.g.v. gerealiseerde investeringen 2022</t>
  </si>
  <si>
    <t>Initiële waarde en mutatie ARO NorNed-kabel</t>
  </si>
  <si>
    <t>Reële afschrijvingen a.g.v. initiële waarde ARO NorNed-kabel 2022</t>
  </si>
  <si>
    <t>Reële afschrijvingen a.g.v. mutatie ARO NorNed-kabel 2023</t>
  </si>
  <si>
    <t>Al verrekende kapitaalkosten ARO NorNed-kabel</t>
  </si>
  <si>
    <t>Nog te vergoeden gerealiseerde kapitaalkosten ARO NorNed-kabel</t>
  </si>
  <si>
    <t>Verschil operationele kosten bijschatten HS binnen scope a.g.v. gerealiseerde investeringen 2023</t>
  </si>
  <si>
    <t>Verschil operationele kosten bijschatten HS buiten scope a.g.v. gerealiseerde investeringen 2023</t>
  </si>
  <si>
    <t>Berekening nog te vergoeden verschil efficiënte kosten systeem bijschatten a.g.v. gerealiseerde investeringen per jaar</t>
  </si>
  <si>
    <t>Gewijzigde X-factorberekening Transporttaken TenneT, tab 6, rij 43</t>
  </si>
  <si>
    <t>Gewijzigde X-factorberekening Transporttaken TenneT, tab 8, rij 173</t>
  </si>
  <si>
    <t>Gewijzigde X-factorberekening Transporttaken TenneT, tab 6, rij 44</t>
  </si>
  <si>
    <t>Gewijzigde X-factorberekening Transporttaken TenneT, tab 6, rij 45</t>
  </si>
  <si>
    <t>Gewijzigde X-factorberekening Transporttaken TenneT, tab 8, rij 181</t>
  </si>
  <si>
    <t>Gewijzigde X-factorberekening Transporttaken TenneT, tab 8, rij 192</t>
  </si>
  <si>
    <t>Gewijzigde X-factorberekening Transporttaken TenneT, tab 6, rij 54</t>
  </si>
  <si>
    <t>Gewijzigde X-factorberekening Transporttaken TenneT, tab 8, rij 206</t>
  </si>
  <si>
    <t>Gewijzigde X-factorberekening Transporttaken TenneT, tab 6, rij 55</t>
  </si>
  <si>
    <t>Gewijzigde X-factorberekening Transporttaken TenneT, tab 8, rij 214</t>
  </si>
  <si>
    <t>Data ten behoeve van correctie bijgeschatte investeringen afschrijvingstermijn &gt; 10 jaar</t>
  </si>
  <si>
    <t>Verwachte kosten o.b.v. gerealiseerde investeringen met afschrijvingstermijn &gt; 10 jaar systeem</t>
  </si>
  <si>
    <t>Data ten behoeve van de correctie efficiënte kosten gerealiseerde afloopinvesteringen WUI's</t>
  </si>
  <si>
    <t>Al verrekende verschillen efficiënte kosten a.g.v. gerealiseerde afloopinvesteringen WUI's</t>
  </si>
  <si>
    <t>Data ten behoeve van de correcties door de herrekende WACC</t>
  </si>
  <si>
    <t>Berekening correctie investeringen afschrijvingstermijn &gt; 10 jaar EHS</t>
  </si>
  <si>
    <t>Berekening correctie investeringen afschrijvingstermijn &gt; 10 jaar HS</t>
  </si>
  <si>
    <t>Berekening correctie investeringen afschrijvingstermijn &gt; 10 jaar systeem</t>
  </si>
  <si>
    <t>Tariefcorrectie efficiënte kosten EHS gerealiseerde investeringen met afschr. &gt; 10 jaar, exlc ARO NorNed-kabel</t>
  </si>
  <si>
    <t>Tariefcorrectie kapitaalkosten ARO NorNed-kabel</t>
  </si>
  <si>
    <t>Tariefcorrectie efficiënte kosten HS gerealiseerde investeringen met afschr. &gt; 10 jaar</t>
  </si>
  <si>
    <t>Tariefcorrectie kosten systeem gerealiseerde investeringen met afschr. &gt; 10 jaar</t>
  </si>
  <si>
    <t>Verandering vermogenskosten doorrollen a.g.v. herrekende WACC</t>
  </si>
  <si>
    <t>Verandering vermogenskosten bijschatten a.g.v. herrekende WACC</t>
  </si>
  <si>
    <t xml:space="preserve">Totale verandering efficiënte vermogenskosten a.g.v. herrekende WACC </t>
  </si>
  <si>
    <t>Totale verandering efficiënte vermogenskosten EHS a.g.v. herrekende WACC</t>
  </si>
  <si>
    <t>Totale verandering efficiënte vermogenskosten HS a.g.v. herrekende WACC</t>
  </si>
  <si>
    <t>Totale verandering vermogenskosten a.g.v. herrekende WACC</t>
  </si>
  <si>
    <t>Totale verandering vermogenskosten systeemtaken a.g.v. herrekende WACC</t>
  </si>
  <si>
    <t>Berekening correctie efficiënte kosten gerealiseerde afloopinvesteringen WUI's EHS</t>
  </si>
  <si>
    <t xml:space="preserve">Inzet congestie-ontvangsten </t>
  </si>
  <si>
    <t>Inzet congestie-ontvangsten</t>
  </si>
  <si>
    <t>kW max gewogen per maand</t>
  </si>
  <si>
    <t>kW max gewogen per week (max 600 uur)</t>
  </si>
  <si>
    <t>kW max gewogen per week 
(max 600 uur)</t>
  </si>
  <si>
    <t>Deze correctie betreft inzet van de congestie-ontvangsten bij het vaststellen van de transporttarieven.</t>
  </si>
  <si>
    <t>kW max gewogen (per maand/week)</t>
  </si>
  <si>
    <t>kW max gewogen per week: kW max gewogen per maand</t>
  </si>
  <si>
    <t>50% kW max gewogen per maand/week</t>
  </si>
  <si>
    <t>Rekenmodule projectprocedure investeringen</t>
  </si>
  <si>
    <t>Herrekende reëel-plus WACC</t>
  </si>
  <si>
    <t>Rekenmodule projectprocedure investeringen, tab 4, cel K20</t>
  </si>
  <si>
    <t>Rekenmodule projectprocedure investeringen, tab 4, cel J17</t>
  </si>
  <si>
    <t>Rekenmodule projectprocedure investeringen, tab 4, cel K17</t>
  </si>
  <si>
    <t>Rekenmodule projectprocedure investeringen, tab 4, cel J20</t>
  </si>
  <si>
    <t>Data ten behoeve van correcties op toevoegingen projectprocedure investeringen</t>
  </si>
  <si>
    <t>Gewijzigde GAW-berekening TenneT</t>
  </si>
  <si>
    <t>Gewijzigde GAW-berekening TenneT, tab 3, cellen B13:F13</t>
  </si>
  <si>
    <t>Gewijzigde GAW-berekening TenneT, tab 3, cellen B14:F14</t>
  </si>
  <si>
    <t>Gewijzigde GAW-berekening TenneT, tab 3, cellen B15:F15</t>
  </si>
  <si>
    <t>Gewijzigde GAW-berekening TenneT, tab 3, cellen B16:F16</t>
  </si>
  <si>
    <t>Gewijzigde GAW-berekening TenneT, tab 3, cellen B17:F17</t>
  </si>
  <si>
    <t>Gewijzigde GAW-berekening TenneT, tab 3, cellen B18:F18</t>
  </si>
  <si>
    <t>Gewijzigde GAW-berekening TenneT, tab 3, cellen B19:F19</t>
  </si>
  <si>
    <t>Gewijzigde GAW-berekening TenneT, tab 3, cellen B20:F20</t>
  </si>
  <si>
    <t>Gewijzigde GAW-berekening TenneT, tab 3, cellen B21:F21</t>
  </si>
  <si>
    <t>Gewijzigde GAW-berekening TenneT, tab 3, cellen B22:F22</t>
  </si>
  <si>
    <t>Gewijzigde GAW-berekening TenneT, tab 3, cellen B23:F23</t>
  </si>
  <si>
    <t>Gewijzigde GAW-berekening TenneT, tab 3, cellen B24:F24</t>
  </si>
  <si>
    <t>Gewijzigde GAW-berekening TenneT, tab 3, cellen B25:F25</t>
  </si>
  <si>
    <t>Gewijzigde GAW-berekening TenneT, tab 3, cellen B26:F26</t>
  </si>
  <si>
    <t>Gewijzigde GAW-berekening TenneT, tab 3, cellen B27:F27</t>
  </si>
  <si>
    <t>Gewijzigde GAW-berekening TenneT, tab 3, cellen B28:F28</t>
  </si>
  <si>
    <t>Gewijzigde GAW-berekening TenneT, tab 3, cellen B29:F29</t>
  </si>
  <si>
    <t>Gewijzigde GAW-berekening TenneT, tab 3, cellen B30:F30</t>
  </si>
  <si>
    <t>Gewijzigde GAW-berekening TenneT, tab 3, cellen B31:F31</t>
  </si>
  <si>
    <t>Gewijzigde GAW-berekening TenneT, tab 3, cellen B32:F32</t>
  </si>
  <si>
    <t>Gewijzigde GAW-berekening TenneT, tab 3, cellen B33:F33</t>
  </si>
  <si>
    <t>Gewijzigde GAW-berekening TenneT, tab 3, cellen B34:F34</t>
  </si>
  <si>
    <t>Gewijzigde GAW-berekening TenneT, tab 3, cellen B35:F35</t>
  </si>
  <si>
    <t>Gewijzigde GAW-berekening TenneT, tab 3, cellen B36:F36</t>
  </si>
  <si>
    <t>Gewijzigde GAW-berekening TenneT, tab 3, cellen B37:F37</t>
  </si>
  <si>
    <t>Gewijzigde GAW-berekening TenneT, tab 3, cellen B38:F38</t>
  </si>
  <si>
    <t>Gewijzigde GAW-berekening TenneT, tab 3, cellen B39:F39</t>
  </si>
  <si>
    <t>Gewijzigde GAW-berekening TenneT, tab 3, cellen B40:F40</t>
  </si>
  <si>
    <t>Gewijzigde GAW-berekening TenneT, tab 3, cellen B41:F41</t>
  </si>
  <si>
    <t>Gewijzigde GAW-berekening TenneT, tab 3, cellen B42:F42</t>
  </si>
  <si>
    <t>Gewijzigde GAW-berekening TenneT, tab 3, cellen B43:F43</t>
  </si>
  <si>
    <t>Gewijzigde GAW-berekening TenneT, tab 3, cellen B44:F44</t>
  </si>
  <si>
    <t>Gewijzigde GAW-berekening TenneT, tab 3, cellen B45:F45</t>
  </si>
  <si>
    <t>Gewijzigde GAW-berekening TenneT, tab 3, cellen B46:F46</t>
  </si>
  <si>
    <t>Gestandaardiseerde activa waarde uit de update gewijzigde GAW-berekening TenneT</t>
  </si>
  <si>
    <t>Gestandaardiseerde activa waarde (GAW) uit update gewijzigde GAW-berekening TenneT EHS</t>
  </si>
  <si>
    <t>Gestandaardiseerde activa waarde (GAW) uit update gewijzigde GAW-berekening TenneT HS</t>
  </si>
  <si>
    <t>Gestandaardiseerde activa waarde (GAW) uit update gewijzigde GAW-berekening TenneT systeem</t>
  </si>
  <si>
    <t>Herrekende reëel-plus WACC nieuw vermogen (voor belasting)</t>
  </si>
  <si>
    <t>Herrekende reëel-plus WACC bestaand vermogen rente (voor belasting)</t>
  </si>
  <si>
    <t>Verandering reëel-plus WACC nieuw vermogen</t>
  </si>
  <si>
    <t>Verandering reëel-plus WACC bestaand vermogen</t>
  </si>
  <si>
    <t>kW max gewogen per week : kW max gewogen per maand</t>
  </si>
  <si>
    <t>Totaal resterende nacalculatie systeemtaak</t>
  </si>
  <si>
    <t>Totaal resterende nacalculatie transporttaak HS</t>
  </si>
  <si>
    <t>Totaal resterende nacalculatie transporttaak EHS</t>
  </si>
  <si>
    <t>Op dit tabblad berekent de ACM de daling van de operationele kosten als gevolg van desinvesteringen. De ACM corrigeert het oorspronkelijke investeringsbedrag voor inflatie tot het jaar van verwijderen. De cumulatieve aanschafwaarde van de verwijderde activa leidt dan tot een neerwaartse correctie van de operationele kosten gelijk aan 1% van de verwijderde activa. De ACM stelt hierbij voor elke desinvestering vast of dit actief oorspronkelijk in de benchmark stond. Als dit het geval is, wordt op de correctie als gevolg van deze desinvestering ook de benchmarkscore toegepast.</t>
  </si>
  <si>
    <t>Verrekening kosten net op zee fase I</t>
  </si>
  <si>
    <t>Restitutie systeemdienstentarieven n.a.v. DOW-uitspraak: claimperiode vóór 1-7-2011</t>
  </si>
  <si>
    <t>Restitutie systeemdienstentarieven n.a.v. DOW-uitspraak: claimperiode na 1-7-2011</t>
  </si>
  <si>
    <t xml:space="preserve">In het methodebesluit systeemtaken 2014-2016 heeft de ACM geconcludeerd dat, ten gevolge van de uitspraak van het CBb van 23 juli 2012 inzake DOW Benelux B.V. bepaalde afnemers in het verleden onverschuldigde systeemdiensten hebben betaald. Deze correctie verrekent de wijzigingen in inkomsten uit de systeemdienstentarieven omdat TenneT deze afnemers dient te restitueren. </t>
  </si>
  <si>
    <t>Verrekening kosten net op zee fase I niet gedekt door subsidie</t>
  </si>
  <si>
    <t>Verrekening kosten net op zee fase II niet gedekt door subsidie</t>
  </si>
  <si>
    <t>Mogelijkheden van bezwaar en beroep staan open tegen het besluit waarbij dit bestand hoort (zie kenmerken hierboven).</t>
  </si>
  <si>
    <t>Correctie investeringen met een afschrijvingstermijn langer dan tien jaar transportaak</t>
  </si>
  <si>
    <t>Totale correcties investeringen afschrijvingstermijn langer dan 10 jaar inclusief kapitaalkosten ARO NorNed-kabel</t>
  </si>
  <si>
    <t>Correctie als bedoeld in artikel 19, derde lid, van Verordening 2019/943</t>
  </si>
  <si>
    <t>Deze investering wordt in de bron aangeduid met de naam Windpark Friesland.</t>
  </si>
  <si>
    <t xml:space="preserve">De investering Marnezijl-Oudehaske (HS) bestaat uit twee deelprojecten waarvoor in de bron aparte nacalculaties berekend zijn, namelijk Windpark Friesland A en Windpark Friesland B. </t>
  </si>
  <si>
    <t>e-mail : info@acm.nl</t>
  </si>
  <si>
    <t>2026</t>
  </si>
  <si>
    <t>Deze correctie verrekent de inkomsten op het EHS netvlak als gevolg van een verschil tussen de realisatie en de prognose van de aansluitdienst en meterhuur in 2024.</t>
  </si>
  <si>
    <t>Deze correctie verrekent de inkomsten op het HS netvlak als gevolg van een verschil tussen de realisatie en de prognose van de aansluitdienst en meterhuur in 2024.</t>
  </si>
  <si>
    <t>Percentages nieuw en bestaand vermogen uit update gewijzigde X-factorberekening Transporttaken</t>
  </si>
  <si>
    <t xml:space="preserve">Percentages nieuw en bestaand vermogen uit update gewijzigde doelmatigheidsfactorberekening Systeemtaken </t>
  </si>
  <si>
    <t>Verandering operationele kosten door bijgeschatte investeringen EHS binnen scope in 2024</t>
  </si>
  <si>
    <t>Verandering operationele kosten door bijgeschatte investeringen EHS buiten scope in 2024</t>
  </si>
  <si>
    <t>Verandering operationele kosten door bijgeschatte investeringen HS binnen scope in 2024</t>
  </si>
  <si>
    <t>Verandering operationele kosten door bijgeschatte investeringen HS buiten scope in 2024</t>
  </si>
  <si>
    <t>Verandering operationele kosten door bijgeschatte investeringen systeem in 2024</t>
  </si>
  <si>
    <t>Verandering operationele kosten door gerealiseerde investeringen EHS binnen scope in 2024</t>
  </si>
  <si>
    <t>Verandering operationele kosten door gerealiseerde investeringen EHS buiten scope in 2024</t>
  </si>
  <si>
    <t>Verandering operationele kosten door gerealiseerde investeringen systeem in 2024</t>
  </si>
  <si>
    <t>Verandering operationele kosten door gerealiseerde investeringen HS buiten scope in 2024</t>
  </si>
  <si>
    <t>Verandering operationele kosten door gerealiseerde investeringen HS binnen scope in 2024</t>
  </si>
  <si>
    <t>Op dit tabblad berekent de ACM de nacalculaties op de inkoopkosten energie en vermogen:
- Voor inkoopkosten die binnen de transporttaak vallen gaat het niet om een volledige nacalculatie van het verschil tussen schatting en realisatie, maar om een gedeeltelijke nacalculatie op basis van een bonus-malusregeling. Een kwart van het verschil tussen prognose en realisatie is voor rekening van TenneT, tot een maximum van 20% afwijking op de geschatte kosten. Het meerdere aan kosten boven de afwijking van 20% wordt volledig nagecalculeerd. De schatting voor de inkoopkosten energie en vermogen binnen de transporttaak is gebaseerd op de realisaties in de jaren 2018 t/m 2020, gecorrigeerd met frontier shift en CPI.
- Voor inkoopkosten die binnen de systeemtaak vallen gaat het om een volledige nacalculatie van het verschil tussen schatting en realisatie. De schatting voor de inkoopkosten energie en vermogen binnen de systeemtaak is tevens gebaseerd op de realisaties in de jaren 2018 t/m 2020, gecorrigeerd met frontier shift en CPI.  
- Bij de berekening van de correcties inkoopkosten energie en vermogen 2024 houdt de ACM rekening met het voorschot voor deze correcties zoals verwerkt in het Tarievenbesluit 2025.</t>
  </si>
  <si>
    <t>Reële afschrijvingen a.g.v. mutatie ARO NorNed-kabel 2024</t>
  </si>
  <si>
    <t>Totaal verschil kapitaalkosten bijschatten EHS binnen scope a.g.v. gerealiseerde investeringen 2021-2024</t>
  </si>
  <si>
    <t>Verschil operationele kosten bijschatten EHS binnen scope a.g.v. gerealiseerde investeringen 2024</t>
  </si>
  <si>
    <t>Verschil operationele kosten bijschatten EHS buiten scope a.g.v. gerealiseerde investeringen 2024</t>
  </si>
  <si>
    <t>Totaal verschil kapitaalkosten bijschatten EHS buiten scope a.g.v. gerealiseerde investeringen 2021-2024</t>
  </si>
  <si>
    <t>Totaal verschil kapitaalkosten bijschatten HS binnen scope a.g.v. gerealiseerde investeringen 2021-2024</t>
  </si>
  <si>
    <t>Verschil operationele kosten bijschatten HS binnen scope a.g.v. gerealiseerde investeringen 2024</t>
  </si>
  <si>
    <t>Totaal verschil kapitaalkosten bijschatten HS buiten scope a.g.v. gerealiseerde investeringen 2021-2024</t>
  </si>
  <si>
    <t>Verschil operationele kosten bijschatten HS buiten scope a.g.v. gerealiseerde investeringen 2024</t>
  </si>
  <si>
    <t>Verschil operationele kosten bijschatten systeem a.g.v. gerealiseerde investeringen 2024</t>
  </si>
  <si>
    <t>Totaal verschil kapitaalkosten bijschatten systeem a.g.v. gerealiseerde investeringen 2021-2024</t>
  </si>
  <si>
    <t xml:space="preserve">Percentages nieuw en bestaand vermogen uit de update gewijzigde X-factorberekening Transporttaken </t>
  </si>
  <si>
    <t>Percentages nieuw en bestaand vermogen uit de update gewijzigde doelmatigheidsfactorberekening Systeemtaken</t>
  </si>
  <si>
    <t>Reëel-plus WACC uit het gewijzigd methodebesluit</t>
  </si>
  <si>
    <t>Rekenvolumina 2026</t>
  </si>
  <si>
    <t>Gewijzigde X-factorberekening Transporttaken TenneT, tab 8, rij 177</t>
  </si>
  <si>
    <t>Gewijzigde X-factorberekening Transporttaken TenneT, tab 8, rij 185</t>
  </si>
  <si>
    <t>Gewijzigde X-factorberekening Transporttaken TenneT, tab 8, rij 218</t>
  </si>
  <si>
    <t>Gewijzigde X-factorberekening Transporttaken TenneT, tab 8, rij 210</t>
  </si>
  <si>
    <t>Gewijzigde doelmatigheidsfactorberekening Systeemtaken TenneT, tab 8, rij 79</t>
  </si>
  <si>
    <t>Op dit tabblad berekent de ACM het verschil tussen de geschatte efficiënte kosten (kapitaalkosten en operationele kosten) in het gewijzigde X-factormodel transporttaken TenneT 2022-2026 en de herrekende geschatte efficiënte kosten (kapitaalkosten en operationele kosten) in de update van het gewijzigde X-factormodel transporttaken TenneT 2022-2026 a.g.v. de gerealiseerde investeringen met een afschrijvingstermijn langer dan 10 jaar. In de update van het gewijzigde X-factormodel is de input overgenomen uit een update van de gewijzigde GAW-berekening waarbij de gerealiseerde afloopinvesteringen van enkele WUI's opgenomen zijn in plaats van de geschatte afloopinvesteringen.</t>
  </si>
  <si>
    <t xml:space="preserve">Verwachte kosten HS o.b.v. gerealiseerde investeringen met afschrijvingstermijn &gt; 10 jaar </t>
  </si>
  <si>
    <t>Verandering operationele kosten door gerealiseerde investeringen HS binnen scope in 2021</t>
  </si>
  <si>
    <t>Update gewijzigde X-factorberekening Transporttaken TenneT t.b.v. Tarievenbesluit 2026, tab 1, rij 66</t>
  </si>
  <si>
    <t>1-FS van 2018 naar 2025</t>
  </si>
  <si>
    <t>1-FS van 2019 naar 2025</t>
  </si>
  <si>
    <t>1-FS van 2020 naar 2025</t>
  </si>
  <si>
    <t>Voorschotspercentage nacalculatie inkoopkosten E&amp;V 2025</t>
  </si>
  <si>
    <t xml:space="preserve">- De WACC correctie op de vermogenskosten voor de ARO van de NorNed-kabel wordt apart berekend. Deze maken namelijk geen onderdeel uit van het aangepast x-factormodel voor de transporttaken, maar zijn apart berekend op tabblad 24.  
</t>
  </si>
  <si>
    <t>Correctie investeringen afschrijvingstermijn langer dan tien jaar EHS</t>
  </si>
  <si>
    <t>Correctie operationele kosten netcongestie</t>
  </si>
  <si>
    <t xml:space="preserve"> </t>
  </si>
  <si>
    <t xml:space="preserve">Afschrijvingstermijn </t>
  </si>
  <si>
    <t>Jaar begin afschrijven</t>
  </si>
  <si>
    <t>Maand begin afschrijven</t>
  </si>
  <si>
    <t>Afschrijvingstermijn</t>
  </si>
  <si>
    <t>Afschrijving in laatste jaar</t>
  </si>
  <si>
    <t>Afschrijving in eerste jaar</t>
  </si>
  <si>
    <t>Laatste jaar afschrijving</t>
  </si>
  <si>
    <t>Standaard afschrijving</t>
  </si>
  <si>
    <t>Hulpkolommen voor berekening afschrijving</t>
  </si>
  <si>
    <t>Toelichting bij bijzonderheden:</t>
  </si>
  <si>
    <t>Reguleringsdata TenneT 2024</t>
  </si>
  <si>
    <t>Rekenmodule tarievenbesluit TenneT 2025</t>
  </si>
  <si>
    <t>n.t.b.</t>
  </si>
  <si>
    <t>Op dit blad staan inputgegevens voor relevante parameters in de berekening van de totale inkomsten en de tarieven. Deze parameters betreffen achtereenvolgens: CPI, frontier shift, rentepercentage tariefcorrecties, x-factor en doelmatigheidsfactor, verwachte verandering OPEX a.g.v. uitbreiding/krimp, statische efficiëntieparameter, WACC, percentages nieuw en bestaand vermogen, percentage binnen scope per activaklasse en overige parameters.</t>
  </si>
  <si>
    <t>2020 t/m 2021: Methodebesluit 2017-2021, paragraaf 8.2.4; 2022 t/m 2026: Gewijzigd methodebesluit transporttaken TenneT 2022-2026, paragraaf 7.4.4, randnummer 411</t>
  </si>
  <si>
    <t>Update gewijzigde X-factorberekening Transporttaken TenneT t.b.v. Tarievenbesluit 2026, tab 1, rij 67</t>
  </si>
  <si>
    <t>Update gewijzigde X-factorberekening Transporttaken TenneT t.b.v. Tarievenbesluit 2026, tab 1, rij 70</t>
  </si>
  <si>
    <t>Rekenmodule projectprocedure investeringen, tab 4, cel J30</t>
  </si>
  <si>
    <t>Volgnummer t.b.v. nacalculatie</t>
  </si>
  <si>
    <t>Volgnummer rapportage in reguleringsdata</t>
  </si>
  <si>
    <t>Bepaling kosten van na te calculeren investeringen</t>
  </si>
  <si>
    <t>Jaar
 ingebruikname</t>
  </si>
  <si>
    <t>Maand begin 
afschrijven</t>
  </si>
  <si>
    <t>Regulatorische waarde
Inclusief bouwrente voor niet-projectprocedure investeringen (EUR)</t>
  </si>
  <si>
    <t>Berekening nominale afschrijving per investering</t>
  </si>
  <si>
    <t>Berekening stijging operationele kosten</t>
  </si>
  <si>
    <t>Correctie operationele kosten cybersecurity</t>
  </si>
  <si>
    <t>Correctie operationele kosten cybersecurity HS</t>
  </si>
  <si>
    <t>Correctie operationele kosten cybersecurity EHS</t>
  </si>
  <si>
    <t>KW max gewogen per maand</t>
  </si>
  <si>
    <t>KW max gewogen per week (max 600 uur)</t>
  </si>
  <si>
    <t>(Nominale afschrijving * indexatiefactor)</t>
  </si>
  <si>
    <t>Totale gerealiseerde kosten investeringen met een afschrijvingstermijn van 5 of 10 jaar</t>
  </si>
  <si>
    <t xml:space="preserve">Deze correctie betreft toegenomen operationele kosten gerelateerd aan cybersecurity </t>
  </si>
  <si>
    <t xml:space="preserve">Deze correctie betreft toegenomen operationele kosten gerelateerd aan netcongestie </t>
  </si>
  <si>
    <t>Berekening reël-plus afschrijving per investering</t>
  </si>
  <si>
    <t>(Aanschafwaarde - reëel-plus afschrijvingen)</t>
  </si>
  <si>
    <t>Berekening reëel-plus activawaarde ultimo jaar per investering</t>
  </si>
  <si>
    <t>(reël-plus afschrijving + vermogenskosten + stijging operationele kosten)</t>
  </si>
  <si>
    <r>
      <t xml:space="preserve">Regulatorische waarde
</t>
    </r>
    <r>
      <rPr>
        <sz val="10"/>
        <rFont val="Arial"/>
        <family val="2"/>
      </rPr>
      <t>Inclusief bouwrente</t>
    </r>
    <r>
      <rPr>
        <b/>
        <sz val="10"/>
        <rFont val="Arial"/>
        <family val="2"/>
      </rPr>
      <t xml:space="preserve"> (EUR)</t>
    </r>
  </si>
  <si>
    <t>1+CPI van … naar …</t>
  </si>
  <si>
    <t>1-FS van … naar …</t>
  </si>
  <si>
    <r>
      <t>Op</t>
    </r>
    <r>
      <rPr>
        <i/>
        <sz val="10"/>
        <rFont val="Arial"/>
        <family val="2"/>
      </rPr>
      <t xml:space="preserve"> tabblad 28. Correctie investeringen met een afschrijvingstermijn van 5 of 10 jaar</t>
    </r>
    <r>
      <rPr>
        <sz val="10"/>
        <rFont val="Arial"/>
        <family val="2"/>
      </rPr>
      <t xml:space="preserve"> wordt de Excel-functie </t>
    </r>
    <r>
      <rPr>
        <i/>
        <sz val="10"/>
        <rFont val="Arial"/>
        <family val="2"/>
      </rPr>
      <t>Macht</t>
    </r>
    <r>
      <rPr>
        <sz val="10"/>
        <rFont val="Arial"/>
        <family val="2"/>
      </rPr>
      <t xml:space="preserve"> gebruikt om in de kolommen Z t/m AC de reël-plus afschrijving per investering te berekenen. Deze functie zorgt ervoor dat de nominale afschrijving voor ieder jaar na ingebruikname wordt vermenigvuldigd met de indexatiefactor. In het jaar van ingebruiname is de waarde van de macht nul waardoor de nominale afschrijving wordt vermenigvudligd met één. </t>
    </r>
  </si>
  <si>
    <t>Op dit tabblad berekent de ACM de correctie die ziet op de operationele en kapitaalkosten die volgen uit investeringen met een afschrijvingstermijn van 5 of 10 jaar die direct volgen uit nieuwe wet- en regelgeving of gerelateerd zijn aan cybersecurity of netcongestie.</t>
  </si>
  <si>
    <t>Correctie investeringen met een afschrijvingstermijn van maximaal tien jaar transporttaak</t>
  </si>
  <si>
    <t>Correctie investeringen met een afschrijvingstermijn van maximaal tien jaar systeemtaak</t>
  </si>
  <si>
    <t>21. Voorschot IKE&amp;V</t>
  </si>
  <si>
    <t>22. Prognoses IKTNN</t>
  </si>
  <si>
    <t>10. Voorstel tarieven en RV</t>
  </si>
  <si>
    <t>2027</t>
  </si>
  <si>
    <t>Correctie omzet aansluitdienst en meterhuur EHS 2025</t>
  </si>
  <si>
    <t>Prognose omzet aansluitdienst en meterhuur EHS 2027</t>
  </si>
  <si>
    <t xml:space="preserve">Op dit tabblad vult TenneT gegevens in ten behoeve van de berekening van de totale inkomsten in 2027. De ACM schrijft een aantal correcties en prognoses voor die TenneT jaarlijks in moet vullen. Daarnaast heeft TenneT zelf de mogelijkheid een aantal (incidentele) correcties op te geven. </t>
  </si>
  <si>
    <t>Correctie omzet aansluitdienst en meterhuur HS 2025</t>
  </si>
  <si>
    <t>Prognose omzet aansluitdienst en meterhuur HS 2027</t>
  </si>
  <si>
    <t>Correctie onderzoekskosten niet-geactiveerde verkabelingsprojecten 2025</t>
  </si>
  <si>
    <t>Nacalculatiemodel WACC 2025, tab 1, rij 71</t>
  </si>
  <si>
    <t>Nacalculatiemodel WACC 2025, tab 1, rij 55</t>
  </si>
  <si>
    <t>Op dit tabblad staan per jaar de gegevens die de ACM gebruikt voor de berekening van de totale inkomsten van TenneT in 2027. Bij elk gegeven is een bron aangegeven.</t>
  </si>
  <si>
    <t>Geschatte kapitaalkosten voor de actualisatie ARO Cobra-kabel 2021 t/m 2025 in 2027</t>
  </si>
  <si>
    <t>Correctie toevoeging totale kosten a.g.v. herberekende WACC 2025 in 2027 EHS</t>
  </si>
  <si>
    <t>Correctie toevoeging totale kosten a.g.v. herberekende WACC 2025 in 2027 HS</t>
  </si>
  <si>
    <t>Correctie toevoeging vermogenskosten projectprocedure investeringen EHS 2025 in 2027</t>
  </si>
  <si>
    <t>Correctie toevoeging vermogenskosten projectprocedure investeringen HS 2025 in 2027</t>
  </si>
  <si>
    <t>Prognose inkoopkosten transport bij regionale netbeheerder(s) 2025</t>
  </si>
  <si>
    <t>Prognose Inter-TSO compensation 2025</t>
  </si>
  <si>
    <t>Rekenmodule tarievenbesluit TenneT 2025, tab 4, cel K22</t>
  </si>
  <si>
    <t>Rekenmodule tarievenbesluit TenneT 2025, tab 4, cel J23</t>
  </si>
  <si>
    <t>Verwachte nacalculatie inkoopkosten E&amp;V transporttaak 2025 in tarievenbesluit 2026</t>
  </si>
  <si>
    <t>Verwachte nacalculatie inkoopkosten E&amp;V systeemtaak 2025 in tarievenbesluit 2026</t>
  </si>
  <si>
    <t>Data ten behoeve van de nacalculatie inkoopkosten energie en vermogen 2025 in 2027</t>
  </si>
  <si>
    <t>Verandering operationele kosten door bijgeschatte investeringen EHS binnen scope in 2025</t>
  </si>
  <si>
    <t>Verandering operationele kosten door bijgeschatte investeringen EHS buiten scope in 2025</t>
  </si>
  <si>
    <t>Verandering operationele kosten door bijgeschatte investeringen HS binnen scope in 2025</t>
  </si>
  <si>
    <t>Verandering operationele kosten door bijgeschatte investeringen HS buiten scope in 2025</t>
  </si>
  <si>
    <t>Gewijzigde X-factorberekening Transporttaken TenneT, tab 8, rij 178</t>
  </si>
  <si>
    <t>Gewijzigde X-factorberekening Transporttaken TenneT, tab 8, rij 186</t>
  </si>
  <si>
    <t>Gewijzigde X-factorberekening Transporttaken TenneT, tab 8, rij 211</t>
  </si>
  <si>
    <t>Gewijzigde X-factorberekening Transporttaken TenneT, tab 8, rij 219</t>
  </si>
  <si>
    <t>Verandering operationele kosten door bijgeschatte investeringen systeem in 2025</t>
  </si>
  <si>
    <t>Gewijzigde doelmatigheidsfactorberekening Systeemtaken TenneT, tab 8, rij 80</t>
  </si>
  <si>
    <t>Verandering operationele kosten door gerealiseerde investeringen HS binnen scope in 2025</t>
  </si>
  <si>
    <t>Verandering operationele kosten door gerealiseerde investeringen HS buiten scope in 2025</t>
  </si>
  <si>
    <t>Verandering operationele kosten door gerealiseerde investeringen systeem in 2025</t>
  </si>
  <si>
    <t>Verandering operationele kosten door gerealiseerde investeringen EHS binnen scope in 2025</t>
  </si>
  <si>
    <t>Verandering operationele kosten door gerealiseerde investeringen EHS buiten scope in 2025</t>
  </si>
  <si>
    <t>Reële afschrijvingen a.g.v. mutatie ARO NorNed-kabel 2025</t>
  </si>
  <si>
    <t>Al verrekende gerealiseerde kapitaalkosten ARO NorNed-kabel in tarievenbesluit 2026</t>
  </si>
  <si>
    <t>Verwachte kapitaalkosten bijschatten EHS binnen scope o.b.v. gerealiseerde inv. 2021-2025 en bijgeschatte inv. 2026</t>
  </si>
  <si>
    <t>Verwachte kapitaalkosten bijschatten EHS buiten scope o.b.v. gerealiseerde inv. 2021-2025 en bijgeschatte inv. 2026</t>
  </si>
  <si>
    <t>Verwachte kapitaalkosten bijschatten HS buiten scope o.b.v. gerealiseerde inv. 2021-2025 en bijgeschatte inv. 2026</t>
  </si>
  <si>
    <t>Verwachte kapitaalkosten bijschatten HS binnen scope o.b.v. gerealiseerde inv. 2021-2025 en bijgeschatte inv. 2026</t>
  </si>
  <si>
    <t>Verwachte kapitaalkosten doorrollen EHS binnen scope o.b.v. gerealiseerde afloopinv. WUI's in RD 2021-2025</t>
  </si>
  <si>
    <t>Verandering opex door verandering in aanschafwaarden ten opzichte van gemiddelde 2018-2020 binnen scope o.b.v. WUI's in RD 2021-2025</t>
  </si>
  <si>
    <t>Verwachte kapitaalkosten doorrollen EHS buiten scope excl. Cobra-kabel o.b.v. gerealiseerde afloopinv. WUI's in RD 2021-2025</t>
  </si>
  <si>
    <t>Verwachte efficiënte kapitaalkosten doorrollen EHS buiten scope Cobra-kabel o.b.v. gerealiseerde afloopinv. WUI's in RD 2021-2025</t>
  </si>
  <si>
    <t>Verandering opex door verandering in aanschafwaarden ten opzichte van gemiddelde 2018-2020 buiten scope o.b.v. WUI's in RD 2021-2025</t>
  </si>
  <si>
    <t>Verwachte operationele kosten EHS buiten scope Cobra-kabel o.b.v. gerealiseerde afloopinv. WUI's in RD 2021-2025</t>
  </si>
  <si>
    <t>Verwachte kapitaalkosten doorrollen HS binnen scope o.b.v. gerealiseerde afloopinv. WUI's in RD 2021-2025</t>
  </si>
  <si>
    <t>Verwachte kapitaalkosten doorrollen HS buiten scope o.b.v. gerealiseerde afloopinv. WUI's in RD 2021-2025</t>
  </si>
  <si>
    <t>Rekenmodule tarievenbesluit TenneT 2026 tab 25, rij 150</t>
  </si>
  <si>
    <t>Rekenmodule tarievenbesluit TenneT 2026 tab 25, rij 156</t>
  </si>
  <si>
    <t>Rekenmodule tarievenbesluit TenneT 2026 tab 25, rij 116</t>
  </si>
  <si>
    <t>Rekenmodule tarievenbesluit TenneT 2026 tab 25, rij 122</t>
  </si>
  <si>
    <t>Rekenmodule tarievenbesluit TenneT 2026 tab 25, rij 171</t>
  </si>
  <si>
    <t>Al verrekende verschillen kosten EHS a.g.v. gerealiseerde investeringen 2021-2024 (excl. toepassing theta)</t>
  </si>
  <si>
    <t>Al verrekende verschillen kosten HS a.g.v. gerealiseerde investeringen 2021-2024 (excl. toepassing theta)</t>
  </si>
  <si>
    <t>Al verrekende verschillen kosten systeem a.g.v. gerealiseerde investeringen 2021-2024</t>
  </si>
  <si>
    <t>Rekenmodule tarievenbesluit TenneT 2026 tab 25, rij 137</t>
  </si>
  <si>
    <t>Verschil efficiënte kosten EHS doorrollen a.g.v. gerealiseerde afloopinvesteringen WUI's 2021-2023 in 2025</t>
  </si>
  <si>
    <t>Verschil efficiënte kosten HS doorrollen a.g.v. gerealiseerde afloopinvesteringen WUI's 2021-2023 in 2025</t>
  </si>
  <si>
    <t>Vergoedde verschil efficiënte kosten EHS doorrollen a.g.v. gerealiseerde afloopinvesteringen WUI's 2021-2024 in 2026</t>
  </si>
  <si>
    <t>Vergoedde verschil efficiënte kosten HS doorrollen a.g.v. gerealiseerde afloopinvesteringen WUI's 2021-2024 in 2026</t>
  </si>
  <si>
    <t>Rekenmodule tarievenbesluit TenneT 2026, tab 26, rij 54</t>
  </si>
  <si>
    <t>Rekenmodule tarievenbesluit TenneT 2025, tab 26, rij 55</t>
  </si>
  <si>
    <t>Rekenmodule tarievenbesluit TenneT 2026, tab 26, rij 69</t>
  </si>
  <si>
    <t>Rekenmodule tarievenbesluit TenneT 2026, tab 26, rij 84</t>
  </si>
  <si>
    <t>Tarieven 2025</t>
  </si>
  <si>
    <t>Totale inkomsten EHS TOVT 2025</t>
  </si>
  <si>
    <t>Totale inkomsten EHS TAVT 2025 uit EHS</t>
  </si>
  <si>
    <t>Totale inkomsten HS TOVT 2025</t>
  </si>
  <si>
    <t>Totale inkomsten HS TAVT 2025 (met EHS)</t>
  </si>
  <si>
    <t>EUR, pp 2025</t>
  </si>
  <si>
    <t>Rekenmodule tarievenbesluit TenneT 2025, tab 5, rij 17</t>
  </si>
  <si>
    <t>Rekenmodule tarievenbesluit TenneT 2026, tab 5, rij 18</t>
  </si>
  <si>
    <t>Rekenmodule tarievenbesluit TenneT 2025, tab 5, rij 21</t>
  </si>
  <si>
    <t>Rekenmodule tarievenbesluit TenneT 2026, tab 5, rij 22</t>
  </si>
  <si>
    <t>Rekenmodule tarievenbesluit TenneT 2025, tab 30, cel H43</t>
  </si>
  <si>
    <t>Rekenmodule tarievenbesluit TenneT 2025, tab 30, cel H46</t>
  </si>
  <si>
    <t>Rekenmodule tarievenbesluit TenneT 2025, tab 30, cel H60</t>
  </si>
  <si>
    <t>Rekenmodule tarievenbesluit TenneT 2025, tab 30, cel H64</t>
  </si>
  <si>
    <t>- De ACM heeft met een filter de benodigde gegevens van alle desinvesteringen opgegeven in de reguleringsdata 2021 t/m 2025 geselecteerd. 
- Voor een aantal investeringen was er in de database geen informatie beschikbaar over het prijspeil waarin deze investeringen zijn gerapporteerd. De ACM heeft het prijspeil van deze investeringen handmatig ingevuld op basis van de door TenneT gerapporteerde gegevens. De cellen waarvoor dit geldt zijn roze gekleurd.</t>
  </si>
  <si>
    <t xml:space="preserve">Op dit tabblad staan de gegevens die de ACM gebruikt voor het berekenen van de daling van de operationele kosten als gevolg van de desinvesteringen in 2021 t/m 2025. </t>
  </si>
  <si>
    <r>
      <t xml:space="preserve">De ACM heeft met een filter de benodigde gegevens voor de gerealiseerde inkoopkosten energie en vermogen opgegeven in de reguleringsdata 2018, 2019, 2020, 2022, 2023, 2024 en 2025 geselecteerd. Voor de kostencategorieën </t>
    </r>
    <r>
      <rPr>
        <i/>
        <sz val="10"/>
        <rFont val="Arial"/>
        <family val="2"/>
      </rPr>
      <t xml:space="preserve">Netverliezen, Blindvermogen betrekken, Regel- en reservevermogen, Noodvermogen, Primaire reserve </t>
    </r>
    <r>
      <rPr>
        <sz val="10"/>
        <rFont val="Arial"/>
        <family val="2"/>
      </rPr>
      <t xml:space="preserve">en </t>
    </r>
    <r>
      <rPr>
        <i/>
        <sz val="10"/>
        <rFont val="Arial"/>
        <family val="2"/>
      </rPr>
      <t xml:space="preserve">Herstelvoorzieningen </t>
    </r>
    <r>
      <rPr>
        <sz val="10"/>
        <rFont val="Arial"/>
        <family val="2"/>
      </rPr>
      <t xml:space="preserve">laadt de ACM de in de reguleringsdata opgegeven waarde </t>
    </r>
    <r>
      <rPr>
        <i/>
        <sz val="10"/>
        <rFont val="Arial"/>
        <family val="2"/>
      </rPr>
      <t>Totaal inclusief sancties</t>
    </r>
    <r>
      <rPr>
        <sz val="10"/>
        <rFont val="Arial"/>
        <family val="2"/>
      </rPr>
      <t xml:space="preserve"> in vanuit de database. Op de kostencategorie </t>
    </r>
    <r>
      <rPr>
        <i/>
        <sz val="10"/>
        <rFont val="Arial"/>
        <family val="2"/>
      </rPr>
      <t xml:space="preserve">Oplossen transportbeperkingen </t>
    </r>
    <r>
      <rPr>
        <sz val="10"/>
        <rFont val="Arial"/>
        <family val="2"/>
      </rPr>
      <t xml:space="preserve">zijn geen sancties van toepassing. Voor deze categorie laadt de ACM daarom de waarde </t>
    </r>
    <r>
      <rPr>
        <i/>
        <sz val="10"/>
        <rFont val="Arial"/>
        <family val="2"/>
      </rPr>
      <t>Totaal</t>
    </r>
    <r>
      <rPr>
        <sz val="10"/>
        <rFont val="Arial"/>
        <family val="2"/>
      </rPr>
      <t xml:space="preserve"> in vanuit de database.</t>
    </r>
  </si>
  <si>
    <t>Segment</t>
  </si>
  <si>
    <t>Reguleringsdata TenneT 2021, tab 1B; Reguleringsdata TenneT 2022, tab 1B; Reguleringsdata TenneT 2023, tab 1B; Reguleringsdata TenneT 2024, tab 1B; Reguleringsdata TenneT 2025, tab 1B</t>
  </si>
  <si>
    <t>Reguleringsdata TenneT 2018, tab 2B; Reguleringsdata TenneT 2019, tab 2B; Reguleringsdata TenneT 2020, tab 2B; Reguleringsdata TenneT 2022, tab 2B; Reguleringsdata TenneT 2023, tab 2B; Reguleringsdata TenneT 2024 tab 2B; Reguleringsdata 2025 2B</t>
  </si>
  <si>
    <t>Reguleringsdata 2018, tab 2A; Reguleringsdata 2019, tab 2A; Reguleringsdata 2020, tab 2A; Reguleringsdata 2022, tab 2A; Reguleringsdata 2023, tab 2A; Reguleringsdata 2024, tab 2A; Reguleringsdata 2025, tab 2A</t>
  </si>
  <si>
    <t>Rentepercentage tariefcorrecties van 31/12/2025 tot 1/7/2027</t>
  </si>
  <si>
    <t xml:space="preserve">Schatting inkomsten uit inkomstenbesluit TenneT op Land 2027 </t>
  </si>
  <si>
    <t>1+rentepercentage van 2025 naar 2027</t>
  </si>
  <si>
    <t>Rekenmodule tarievenbesluit TenneT 2026, tab 8, cel H28</t>
  </si>
  <si>
    <t>Rekenmodule tarievenbesluit TenneT 2026, tab 21, cel AJ88</t>
  </si>
  <si>
    <t>Rekenmodule tarievenbesluit TenneT 2026, tab 21, cel AJ96</t>
  </si>
  <si>
    <t>Rekenmodule tarievenbesluit TenneT 2026, tab 21, cel AJ104</t>
  </si>
  <si>
    <t>Rekenmodule tarievenbesluit TenneT 2026, tab 21, cel AJ115</t>
  </si>
  <si>
    <t>Rekenmodule tarievenbesluit TenneT 2026, tab 21, cel AJ123</t>
  </si>
  <si>
    <t>Rekenmodule tarievenbesluit TenneT 2026, tab 21, cel AJ131</t>
  </si>
  <si>
    <t>Rekenmodule tarievenbesluit TenneT 2026, tab 21, cel AJ140</t>
  </si>
  <si>
    <t>Rekenmodule tarievenbesluit TenneT 2026, tab 21, cel AJ144</t>
  </si>
  <si>
    <t>Rekenmodule tarievenbesluit TenneT 2026, tab 21, cel AJ148</t>
  </si>
  <si>
    <t>Rekenmodule tarievenbesluit TenneT 2026, tab 21, cel AJ152</t>
  </si>
  <si>
    <t>Correctie omzet aansluitdienst en meterhuur 2025</t>
  </si>
  <si>
    <t>Inkoopkosten transport bij regionale netbeheerders 2025</t>
  </si>
  <si>
    <t>EUR, 2025</t>
  </si>
  <si>
    <t>EUR, 2027</t>
  </si>
  <si>
    <t>Verschil tussen realisatie en prognose 2025</t>
  </si>
  <si>
    <t>Correctie omzet aansluitdienst en meterhuur 2025 in 2027</t>
  </si>
  <si>
    <t>Correctie inkoopkosten transport bij regionale netbeheerders(s) 2025 in 2027</t>
  </si>
  <si>
    <t>Correctie Inter-TSO Compensation 2025 in 2027</t>
  </si>
  <si>
    <t>Op dit tabblad berekent de ACM de correcties voor de omzet aansluitdienst en meterhuur 2025 en voor de inkoopkosten transport naastgelegen netten 2025. Die laatste categorie omvat de inkoopkosten transport bij regionale netbeheerder(s) en de Inter-TSO compensation. De ACM berekent telkens het verschil tussen de realisatie en de prognose, vervolgens wordt dit bedrag met het rentepercentage tariefcorrecties aangepast.</t>
  </si>
  <si>
    <t>Inter-TSO compensation 2025</t>
  </si>
  <si>
    <t>Correctie efficiënte operationele kosten door desinvesteringen in tarieven 2027</t>
  </si>
  <si>
    <t>Correctie efficiënte operationele kosten door desinvesteringen in tarieven 2027 EHS</t>
  </si>
  <si>
    <t>Correctie efficiënte operationele kosten door desinvesteringen in tarieven 2027 HS</t>
  </si>
  <si>
    <t>Correctie efficiënte operationele kosten door desinvesteringen in tarieven 2027 systeem</t>
  </si>
  <si>
    <t>1 + rentepercentage van ... naar 2027</t>
  </si>
  <si>
    <t>Verwachte kapitaalkosten bijschatten systeem o.b.v. gerealiseerde inv. 2021-2025 en bijgeschatte inv. 2026</t>
  </si>
  <si>
    <t>Al verrekende gerealiseerde kapitaalkosten ARO NorNed-kabel in 2026</t>
  </si>
  <si>
    <t>Berekening verschil kosten EHS bijschatten a.g.v. gerealiseerde investeringen 2021-2025</t>
  </si>
  <si>
    <t>Totaal verschil kapitaalkosten bijschatten EHS binnen scope a.g.v. gerealiseerde investeringen 2021-2025</t>
  </si>
  <si>
    <t>Totaal verschil kapitaalkosten bijschatten EHS buiten scope a.g.v. gerealiseerde investeringen 2021-2025</t>
  </si>
  <si>
    <t>Verschil operationele kosten bijschatten EHS binnen scope a.g.v. gerealiseerde investeringen 2025</t>
  </si>
  <si>
    <t>Verschil operationele kosten bijschatten EHS buiten scope a.g.v. gerealiseerde investeringen 2025</t>
  </si>
  <si>
    <t>Nog te vergoeden verschil kosten EHS bijschatten a.g.v. gerealiseerde investeringen 2021-2025</t>
  </si>
  <si>
    <t xml:space="preserve"> - De kapitaalkosten a.g.v. de in 2022 gevormde ARO voor de NorNed-kabel worden apart berekend. In de berekeningen in het X-factormodel wordt namelijk ook rekening gehouden met veranderingen van de operationele kosten a.g.v. de gerealiseerde investeringen. Het vormen van ARO leidt niet tot operationele kosten, maar uitsluitend tot kapitaalkosten. De ACM voegt deze apart berekende kapitaalkosten voor de ARO voor de NorNed-kabel toe aan de tariefcorrectie bijgeschatte investeringen. 
- In de tarievenbesluiten 2023 t/m 2026 hebben al tariefcorrecties plaatsgevonden voor het verschil in de efficiënte kosten in de jaren 2022 t/m 2026 a.g.v. de gerealiseerde investeringen in 2021 t/m 2024. Deze verschillen worden daarom niet meegenomen in de berekening van de tariefcorrecties voor de tarieven 2027.
</t>
  </si>
  <si>
    <t>Tariefcorrectie kapitaalkosten ARO NorNed-kabel in 2027</t>
  </si>
  <si>
    <t>Totaal verschil kapitaalkosten bijschatten HS binnen scope a.g.v. gerealiseerde investeringen 2021-2025</t>
  </si>
  <si>
    <t>Berekening verschil kosten HS bijschatten a.g.v. gerealiseerde investeringen 2021-2025</t>
  </si>
  <si>
    <t>Verschil operationele kosten bijschatten HS binnen scope a.g.v. gerealiseerde investeringen 2025</t>
  </si>
  <si>
    <t>Verschil operationele kosten bijschatten systeem a.g.v. gerealiseerde investeringen 2025</t>
  </si>
  <si>
    <t>Totaal verschil kapitaalkosten bijschatten systeem a.g.v. gerealiseerde investeringen 2021-2025</t>
  </si>
  <si>
    <t>Berekening verschil kosten systeem bijschatten a.g.v. gerealiseerde investeringen 2021-2025</t>
  </si>
  <si>
    <t>Nog te vergoeden verschil kosten systeem bijschatten a.g.v. gerealiseerde investeringen 2021-2025</t>
  </si>
  <si>
    <t>Totaal verschil kapitaalkosten bijschatten HS buiten scope a.g.v. gerealiseerde investeringen 2021-2025</t>
  </si>
  <si>
    <t>Verschil operationele kosten bijschatten HS buiten scope a.g.v. gerealiseerde investeringen 2025</t>
  </si>
  <si>
    <t>Nog te vergoeden verschil kosten HS bijschatten a.g.v. gerealiseerde investeringen 2021-2025</t>
  </si>
  <si>
    <t>Tariefcorrectie efficiënte kosten gerealiseerde investeringen HS in 2027</t>
  </si>
  <si>
    <t>Verschil efficiënte kosten HS doorrollen a.g.v. gerealiseerde afloopinvesteringen WUI's 2021-2024 in 2025</t>
  </si>
  <si>
    <t>Berekening verschil kosten EHS doorrollen a.g.v. gerealiseerde afloopinvesteringen WUI's 2021-2025</t>
  </si>
  <si>
    <t>Totaal verschil kapitaalkosten doorrollen EHS binnen scope o.b.v. gerealiseerde afloopinv. WUI's in RD 2021-2025</t>
  </si>
  <si>
    <t>Totaal verschil verandering opex door verandering in aanschafwaarden ten opzichte van gemiddelde 2018-2020 binnen scope o.b.v. WUI's in RD 2021-2025</t>
  </si>
  <si>
    <t>Totaal verschil kapitaalkosten doorrollen EHS buiten scope excl. Cobra-kabel o.b.v. gerealiseerde afloopinv. WUI's in RD 2021-2025</t>
  </si>
  <si>
    <t>Totaal verschil verwachte kapitaalkosten doorrollen EHS buiten scope Cobra-kabel o.b.v. gerealiseerde afloopinv. WUI's in RD 2021-2025</t>
  </si>
  <si>
    <t>Totaal verschil verandering opex door verandering in aanschafwaarden ten opzichte van gemiddelde 2018-2020 buiten scope o.b.v. WUI's in RD 2021-2025</t>
  </si>
  <si>
    <t>Totaal verschil verwachte operationele kosten EHS buiten scope Cobra-kabel o.b.v. gerealiseerde afloopinv. WUI's in RD 2021-2025</t>
  </si>
  <si>
    <t>Te vergoeden kosten EHS doorrollen a.g.v. gerealiseerde afloopinvesteringen WUI's 2021-2025</t>
  </si>
  <si>
    <t>Totaal nog te vergoeden verschil kosten EHS doorrollen a.g.v. gerealiseerde afloopinvesteringen WUI's 2021-2025</t>
  </si>
  <si>
    <t>Tariefcorrectie efficiënte kosten EHS doorrollen a.g.v. gerealiseerde afloopinvesteringen WUI's 2021-2025</t>
  </si>
  <si>
    <t>Totaal verschil kosten EHS o.b.v. gerealiseerde afloopinv. WUI"s in RD 2021-2025</t>
  </si>
  <si>
    <t>Berekening verschil kosten HS doorrollen a.g.v. gerealiseerde afloopinvesteringen WUI's 2021-2025</t>
  </si>
  <si>
    <t>Totaal verschil kapitaalkosten doorrollen HS binnen scope o.b.v. gerealiseerde afloopinv. WUI's in RD 2021-2025</t>
  </si>
  <si>
    <t>Totaal verschil kapitaalkosten doorrollen HS buiten scope o.b.v. gerealiseerde afloopinv. WUI's in RD 2021-2025</t>
  </si>
  <si>
    <t>Te vergoeden kosten HS doorrollen a.g.v. gerealiseerde afloopinvesteringen WUI's 2021-2025</t>
  </si>
  <si>
    <t>Totaal nog te vergoeden verschil kosten HS doorrollen a.g.v. gerealiseerde afloopinvesteringen WUI's 2021-2025</t>
  </si>
  <si>
    <t>Tariefcorrectie efficiënte kosten HS doorrollen a.g.v. gerealiseerde afloopinvesteringen WUI's 2021-2025</t>
  </si>
  <si>
    <t>Totaal verschil kosten HS o.b.v. gerealiseerde afloopinv. WUI"s in RD 2021-2025</t>
  </si>
  <si>
    <t>Op dit tabblad berekent de ACM het verschil tussen de vermogenskosten zoals geschat in het gewijzigde X-factormodel voor de transporttaken en het gewijzigde doelmatigheidsfactormodel voor de systeemtaken o.b.v. de WACC 2025 uit de gewijzigde methodebesluiten, en de vermogenskosten o.b.v. de herrekende WACC 2025. De ACM gebruikt hiervoor het verschil tussen de WACC uit het gewijzigde methodebesluit en de herrekende WACC 2025 in procentpunten, en vermenigvuldigt dit verschil – al dan niet met toepassing van de statische efficiëntieparameter – met de gestandaardiseerde activa waarde (GAW).
De ACM houdt hierbij ook rekening met de in 2021 t/m 2025 gerealiseerde investeringen met een afschrijvingstermijn langer dan 10 jaar. Deze investeringen, die de ACM in de reguleringsperiode 2022-2026 nacalculeert, hebben invloed op de GAW van de bijgeschatte (en deels nagecalculeerde) investeringen vanaf 2021, én op de percentages nieuw- en bestaand vermogen die de ACM gebruikt om de vermogenskosten voor investeringen vanaf 2021 te bepalen. Ook houdt de ACM rekening met de nagecalculeerde afloopinvesteringen van WUI's opgegeven in de reguleringsdata van 2021 t/m 2025.</t>
  </si>
  <si>
    <t>Correctie efficiënte vermogenskosten transporttaken a.g.v. herrekende WACC 2025 in 2027 EHS</t>
  </si>
  <si>
    <t>Correctie efficiënte vermogenskosten transporttaken a.g.v. herrekende WACC 2025 in 2027 HS</t>
  </si>
  <si>
    <t>Correctie efficiënte vermogenskosten systeemtaken a.g.v. herrekende WACC 2025 in 2027</t>
  </si>
  <si>
    <t>1 + rentepercentage van 2025 naar 2027</t>
  </si>
  <si>
    <t>Correctie investeringen met afschrijvingstermijn t/m 10 jaar EHS in 2027</t>
  </si>
  <si>
    <t>Correctie investeringen met afschrijvingstermijn t/m 10 jaar HS in 2027</t>
  </si>
  <si>
    <t>Correctie investeringen met afschrijvingstermijn  t/m 10 jaar Systeem in 2027</t>
  </si>
  <si>
    <t>Totale correctie kosten 2025 a.g.v. investeringen met afschrijvingstermijn t/m 10 jaar EHS</t>
  </si>
  <si>
    <t>Totale correctie kosten 2025 a.g.v. investeringen met afschrijvingstermijn t/m 10 jaar HS</t>
  </si>
  <si>
    <t>Totale correctie kosten 2025 a.g.v. investeringen met afschrijvingstermijn t/m 10 jaar Systeem</t>
  </si>
  <si>
    <t>Realisatie volumina 2025</t>
  </si>
  <si>
    <t>Totale inkomsten HS TAVT 2025</t>
  </si>
  <si>
    <t>Toegestane tariefinkomsten EHS 2025</t>
  </si>
  <si>
    <t>Toegestane tariefinkomsten HS 2025</t>
  </si>
  <si>
    <t>Realisatie tariefinkomsten EHS 2025</t>
  </si>
  <si>
    <t>Realisatie tariefinkomsten HS 2025</t>
  </si>
  <si>
    <t>Omzetcorrectie op basis van volumeverschillen EHS 2025 in 2027</t>
  </si>
  <si>
    <t>EUR, pp 2027</t>
  </si>
  <si>
    <t>Omzetcorrectie op basis van volumeverschillen HS 2025 in 2027</t>
  </si>
  <si>
    <t xml:space="preserve">Op dit tabblad berekent de ACM de omzet van TenneT in 2025 op basis van daadwerkelijk gefactureerde volumina. De ACM berekent vervolgens de correctie op de omzet 2025, door het verschil te nemen tussen de toegestane tariefinkomsten (op basis van de rekenvolumina 2025) en de gerealiseerde tariefinkomsten (op basis van de daadwerkelijk gefactureerde volumina in 2025). Op deze correctie wordt het rentepercentage voor tariefcorrecties toegepast. </t>
  </si>
  <si>
    <t>Correctie inkomsten transportdiensten EHS in 2027</t>
  </si>
  <si>
    <t>Correctie inkomsten aansluitdiensten EHS in 2027</t>
  </si>
  <si>
    <t>Correctie verrekening garantstelling faillissementen in 2027</t>
  </si>
  <si>
    <t>Correctie inkomsten transportdiensten HS in 2027</t>
  </si>
  <si>
    <t>Correctie inkomsten aansluitdiensten HS in 2027</t>
  </si>
  <si>
    <t>Correctie verrekening faillissementen PV partijen in 2027</t>
  </si>
  <si>
    <t>Restitutie systeemdienstentarieven n.a.v. DOW-uitspraak: claimperiode vóór 1-7-2011 in 2027</t>
  </si>
  <si>
    <t>Restitutie systeemdienstentarieven n.a.v. DOW-uitspraak: claimperiode na 1-7-2011 in 2027</t>
  </si>
  <si>
    <t>Correctie onderzoekskosten niet-geactiveerde verkabelingsprojecten 2025 in 2027</t>
  </si>
  <si>
    <t>1+rentepercentage van 2019 naar 2027</t>
  </si>
  <si>
    <t>1+rentepercentage van 2020 naar 2027</t>
  </si>
  <si>
    <t>1+rentepercentage van 2021 naar 2027</t>
  </si>
  <si>
    <t>1+rentepercentage van 2022 naar 2027</t>
  </si>
  <si>
    <t>1+rentepercentage van 2023 naar 2027</t>
  </si>
  <si>
    <t>1+rentepercentage van 2024 naar 2027</t>
  </si>
  <si>
    <t>Verwachte tariefinkomsten met tarievenvoorstel 2027</t>
  </si>
  <si>
    <t>Toegestane tariefinkomsten uit transporttarieven 2027</t>
  </si>
  <si>
    <t>Tarieven 2027 EHS</t>
  </si>
  <si>
    <t>Tarieven 2027 HS</t>
  </si>
  <si>
    <t>Realisatie volumina EHS 2025</t>
  </si>
  <si>
    <t>Realisatie volumina HS 2025</t>
  </si>
  <si>
    <t>Voorstel tarieven 2027</t>
  </si>
  <si>
    <t>Voorstel rekenvolumina 2027</t>
  </si>
  <si>
    <t>Voorstel TenneT voor 2027</t>
  </si>
  <si>
    <t>Rekenmodule Tarievenbesluit TenneT 2026, tabblad 9</t>
  </si>
  <si>
    <t>Reguleringsdata TenneT 2025, tabblad 1D</t>
  </si>
  <si>
    <t>Deze prognose verrekent de schatting voor de verwachte inkomsten op het EHS netvlak volgens het Inkomstenbesluit TenneT op Land 2027-2031</t>
  </si>
  <si>
    <t>Deze prognose verrekent de schatting voor de verwachte inkomsten op het HS netvlak volgens het Inkomstenbesluit TenneT op Land 2027-2031</t>
  </si>
  <si>
    <t>Totale inkomsten exclusief tariefcorrecties 2027</t>
  </si>
  <si>
    <t>Tariefcategorie/fase (NOZ)</t>
  </si>
  <si>
    <t>Prijspeil gerapporteerde desinvestering (jaar)</t>
  </si>
  <si>
    <t>Oorspronkelijk investeringsbedrag
Inclusief bouwrente voor niet RCR-investeringen (EUR)</t>
  </si>
  <si>
    <t>Correctie inkoopkosten transport bij regionale netbeheerders 2025</t>
  </si>
  <si>
    <t>Correctie InterTSO compensation 2025</t>
  </si>
  <si>
    <t>Omzetcorrectie op basis van volumeverschillen 2025</t>
  </si>
  <si>
    <t>Correctie vermogenskosten transporttaak door de herrekende WACC 2025</t>
  </si>
  <si>
    <t>Correctie vermogenskosten systeemtaak door de herrekende WACC 2025</t>
  </si>
  <si>
    <t>Correctie vermogenskosten projectprocedure investeringen in aanbouw 2025</t>
  </si>
  <si>
    <t>Correctie toevoeging totale kosten projectprocedure investeringen in gebruik door de herrekende WACC 2025</t>
  </si>
  <si>
    <t>Correctie efficiënte (vermogens)kosten Diemen-Lelystad-Ens in 2027</t>
  </si>
  <si>
    <t xml:space="preserve">N.t.b. </t>
  </si>
  <si>
    <t>ACM/26/201015</t>
  </si>
  <si>
    <t xml:space="preserve">Op dit tabblad staan per tariefdrager de tarieven 2025, de rekenvolumina 2026 en de totale inkomsten 2025, uitgesplitst voor de netvlakken EHS en HS. Deze gegevens worden gebruikt ten behoeve van de berekening van de omzetcorrectie (het verschil tussen de toegestane inkomsten en de gerealiseerde inkomsten). </t>
  </si>
  <si>
    <t>Totaal tariefcorrecties 2027</t>
  </si>
  <si>
    <t>Totale inkomsten 2027</t>
  </si>
  <si>
    <t>Tabblad 4 - Totale inkomsten TenneT 2027</t>
  </si>
  <si>
    <t>Correctie efficiënte kosten Marnezijl-Oudehaske 2025 in 2027</t>
  </si>
  <si>
    <t>Correctie efficiënte kosten gerealiseerde afloopinvesteringen WUI's in 2021 t/m 2025</t>
  </si>
  <si>
    <t>Correctie operationele kosten door desinvesteringen in 2021 t/m 2025 transporttaak</t>
  </si>
  <si>
    <t>Correctie operationele kosten door desinvesteringen in 2021 t/m 2025 systeemtaak</t>
  </si>
  <si>
    <t>Correctie operationele kosten netcongestie 2025</t>
  </si>
  <si>
    <t>Correctie operationele kosten cybersecurity 2022 t/m 2025</t>
  </si>
  <si>
    <t>Correctie inkoopkosten energie en vermogen transporttaak 2025</t>
  </si>
  <si>
    <t>Correctie inkoopkosten energie en vermogen systeemtaak 2025</t>
  </si>
  <si>
    <t>Update gewijzigde X-factorberekening Transporttaken TenneT t.b.v. Tarievenbesluit TenneT op Land 2027, tab 1, rij 79</t>
  </si>
  <si>
    <t>Update gewijzigde X-factorberekening Transporttaken TenneT t.b.v. Tarievenbesluit TenneT op Land 2027, tab 1, rij 80</t>
  </si>
  <si>
    <t>Update gewijzigde doelmatigheidsfactorberekening TenneT t.b.v. Tarievenbesluit TenneT op Land 2027, tab 1, rij 37</t>
  </si>
  <si>
    <t>Update gewijzigde doelmatigheidsfactorberekening TenneT t.b.v. Tarievenbesluit TenneT op Land 2027, tab 1, rij 38</t>
  </si>
  <si>
    <t>Rekenmodule afschrijvingen TenneT 2026, tab 4, cellen R68, W77, X89 en Y101</t>
  </si>
  <si>
    <t>Rekenmodule afschrijvingen TenneT 2026, tab 4, rij 68</t>
  </si>
  <si>
    <t>Rekenmodule afschrijvingen TenneT 2026, tab 4, rij 77</t>
  </si>
  <si>
    <t>Rekenmodule afschrijvingen TenneT 2026, tab 4, rij 89</t>
  </si>
  <si>
    <t>Rekenmodule afschrijvingen TenneT 2026, tab 4, rij 101</t>
  </si>
  <si>
    <t>Update gewijzigde X-factorberekening Transporttaken TenneT t.b.v. Tarievenbesluit TenneT op Land 2027, tab 1, rij 61</t>
  </si>
  <si>
    <t>Update gewijzigde X-factorberekening Transporttaken TenneT t.b.v. Tarievenbesluit TenneT op Land 2027, tab 1, rij 62</t>
  </si>
  <si>
    <t>Update gewijzigde X-factorberekening Transporttaken TenneT t.b.v. Tarievenbesluit 2026, tab 1, rij 64</t>
  </si>
  <si>
    <t>Update gewijzigde X-factorberekening Transporttaken TenneT t.b.v. Tarievenbesluit 2026, tab 1, rij 65</t>
  </si>
  <si>
    <t>Update gewijzigde X-factorberekening Transporttaken TenneT t.b.v. Tarievenbesluit 2026, tab 1, rij 71</t>
  </si>
  <si>
    <t>Update gewijzigde X-factorberekening Transporttaken TenneT t.b.v. Tarievenbesluit 2026, tab 1, rij 73</t>
  </si>
  <si>
    <t>Update gewijzigde X-factorberekening Transporttaken TenneT t.b.v. Tarievenbesluit 2026, tab 1, rij 74</t>
  </si>
  <si>
    <t>Update gewijzigde GAW-berekening TenneT t.b.v. Tarievenbesluiten 2027, tab 2, rij 16</t>
  </si>
  <si>
    <t>Update gewijzigde GAW-berekening TenneT t.b.v. Tarievenbesluiten 2027, tab 2, rij 18</t>
  </si>
  <si>
    <t>Nacalculatie efficiënte (vermogens)kosten Marnezijl-Oudehaske EHS 2025 in 2027</t>
  </si>
  <si>
    <t>Nacalculatie efficiënte (vermogens)kosten Windpark Friesland A 2025 in 2027</t>
  </si>
  <si>
    <t>Nacalculatie efficiënte (vermogens)kosten Windpark Friesland B 2025 in 2027</t>
  </si>
  <si>
    <t>Nacalculatie efficiënte (vermogens)kosten Marnezijl-Oudehaske HS 2025 in 2027</t>
  </si>
  <si>
    <t>Correctie efficiënte(vermogens)kosten Diemen-Lelystad-Ens EHS in 2027</t>
  </si>
  <si>
    <t>Nacalculatie efficiënte (vermogens)kosten Eemshaven Oudeschip-Vierverlaten EHS 2016 t/m 2025 in 2027</t>
  </si>
  <si>
    <t>Nacalculatie efficiënte (vermogens)kosten Eemshaven Oudeschip-Vierverlaten HS 2016 t/m 2025 in 2027</t>
  </si>
  <si>
    <t>Nacalculatie efficiënte (vermogens)kosten Krimpen-Geertruidenberg 2018 t/m 2025 in 2027</t>
  </si>
  <si>
    <t>Nacalculatie efficiënte (vermogens)kosten HKN/HKW: onshore-deel van investering NoZ 2019 t/m 2025 in 2027</t>
  </si>
  <si>
    <t>Rekenmodule projectprocedure investeringen 2027, tab 4, cel J26</t>
  </si>
  <si>
    <t>Correctie inkoopkosten transporttaak EHS 2025 in 2027</t>
  </si>
  <si>
    <t>Voorschotspercentage 2025 in tarievenbesluit 2026</t>
  </si>
  <si>
    <t>Voorschotspercentage nacalculatie inkoopkosten E&amp;V 2025 in tarievenbesluit 2026</t>
  </si>
  <si>
    <t>Al verrekende verwachte nacalculatie in tarievenbesluit 2026</t>
  </si>
  <si>
    <t>Correctie inkoopkosten transporttaak HS 2025 in 2027</t>
  </si>
  <si>
    <t>Correctie inkoopkosten systeemtaak 2025 in 2027</t>
  </si>
  <si>
    <t>Gerealiseerde totale kosten t/m 2025 obv herrekende reëel-plus WACC</t>
  </si>
  <si>
    <t>Tabblad 5 - Tarieven en rekenvolumina 2027</t>
  </si>
  <si>
    <t>Tarieven 2027</t>
  </si>
  <si>
    <t>Rekenvolumina 2027</t>
  </si>
  <si>
    <t>Nacalculatie efficiënte (vermogens)kosten Eemshaven Oudeschip-Vierverlaten 2016 t/m 2025 in 2027</t>
  </si>
  <si>
    <t>Toegestane tariefinkomsten transporttarieven voor 2027 EHS</t>
  </si>
  <si>
    <t>Toegestane tariefinkomsten transporttarieven voor 2027 HS</t>
  </si>
  <si>
    <t>Op dit tabblad geeft de ACM de tarieven en rekenvolumina per tariefdrager voor 2027 weer.
De controles hieronder gaan na of de tarieven en rekenvolumina die in dit resultaat worden weergegeven gelijk zijn aan de tarieven en rekenvolumina die TenneT heeft voorgesteld.</t>
  </si>
  <si>
    <t>Te vergoeden deel tariefcorrecties 2025 in 2027 a.g.v. spreiding nacalculaties</t>
  </si>
  <si>
    <t>Totaal te vergoeden nacalculaties 2025 in 2027</t>
  </si>
  <si>
    <t>Totaal nacalculaties 2025</t>
  </si>
  <si>
    <t>Constanten</t>
  </si>
  <si>
    <t>Verdeling nacalculaties 2025</t>
  </si>
  <si>
    <t>Update gewijzigde GAW-berekening TenneT t.b.v.Tarievenbesluiten 2027, tab 2, rij 20</t>
  </si>
  <si>
    <t>Update gewijzigde GAW-berekening TenneT t.b.v. Tarievenbesluiten 2027, tab 2, rij 22</t>
  </si>
  <si>
    <t>Update gewijzigde GAW-berekening TenneT t.b.v. Tarievenbesluiten 2027, tab 2, rij 34</t>
  </si>
  <si>
    <t>Update gewijzigde GAW-berekening TenneT t.b.v. Tarievenbesluiten 2027, tab 2, rij 36</t>
  </si>
  <si>
    <t>Update gewijzigde GAW-berekening TenneT t.b.v. Tarievenbesluiten 2027, tab 2, rij 27</t>
  </si>
  <si>
    <t>Update gewijzigde GAW-berekening TenneT t.b.v. Tarievenbesluiten 2027, tab 2, rij 29</t>
  </si>
  <si>
    <t>Update gewijzigde GAW-berekening TenneT t.b.v. Tarievenbesluiten 2027, tab 2, rij 45</t>
  </si>
  <si>
    <t>Update gewijzigde GAW-berekening TenneT t.b.v. Tarievenbesluiten 2027, tab 2, rij 47</t>
  </si>
  <si>
    <t>Update gewijzigde GAW-berekening TenneT t.b.v. Tarievenbesluiten 2027, tab 2, rij 90</t>
  </si>
  <si>
    <t>Update gewijzigde GAW-berekening TenneT t.b.v. Tarievenbesluiten 2027, tab 2, rij 95</t>
  </si>
  <si>
    <t>Nacalculatie efficiënte (vermogens)kosten Lelystad-Diemen 2025 in 2027</t>
  </si>
  <si>
    <t xml:space="preserve">De investering Diemen-Lelystad-Ens (EHS) bestaat uit twee deelprojecten waarvoor in de bron aparte nacalculaties berekend zijn, namelijk Ens-Lelystad en Lelystad-Diemen. Ens-Lelystad wordt niet meer nagecalculeerd na de nacalculatie van de efficiënte kosten in het tarievenbesluit 2026 omdat deze investering is opgenomen in de GAW. </t>
  </si>
  <si>
    <t>Rekenmodule projectprocedure investeringen, tab 4, cel K21</t>
  </si>
  <si>
    <t>Rekenmodule projectprocedure investeringen, tab 4, cel K22</t>
  </si>
  <si>
    <t>Rekenmodule projectprocedure investeringen 2027, tab 4, cel J23</t>
  </si>
  <si>
    <t>Rekenmodule projectprocedure investeringen 2027, tab 4, cel J24</t>
  </si>
  <si>
    <t>Rekenmodule projectprocedure investeringen 2027, tab 4, cel K24</t>
  </si>
  <si>
    <t>Rekenmodule projectprocedure investeringen 2027, tab 4, cel J25</t>
  </si>
  <si>
    <t>Dit voorstel dient overeen te komen met de rekenvolumina uit het Inkomstenbesluit TenneT op Land 2027 t/m 2031</t>
  </si>
  <si>
    <t>Onderdeel van de gemaakte kosten voor de uitvoering van artikel 3.27 van de Energiewet</t>
  </si>
  <si>
    <t xml:space="preserve">Op dit tabblad vult de ACM gerealiseerde investeringen met een afschrijvingstermijn van 5 of 10 jaar in, indien deze direct volgen uit wijzigingen aan wet- en regelgeving of gerelateerd zijn aan netcongestie of cybersecurity. Voor deze investeringen is afgestemd dat deze nagecalculeerd worden, ondanks dat ze niet binnen een in het methodebesluit aangekondigde nacalculatie vallen. </t>
  </si>
  <si>
    <t xml:space="preserve">Volgens het gewijzigd methodebesluit transporttaken worden alleen investeringen met een afschrijvingstermijn langer dan 10 jaar nagecalculeerd. De ACM heeft besloten dat TenneT investeringen met een afschrijvingstermijn gelijk aan of korter dan 10 jaar ook worden nagecalculeerd als deze direct volgen uit wijzigingen aan wet- en regelgeving. Welke investeringen aan deze voorwaarde voldoen is door de ACM beoordeeld voordat deze worden opgenomen in het Tarievenvoorstel. In het Tarievenbesluit wordt dit verder toegelicht. </t>
  </si>
  <si>
    <t xml:space="preserve">Tabblad 9 - Parameters </t>
  </si>
  <si>
    <t>Tabblad 10 - Brondata</t>
  </si>
  <si>
    <t>Tabblad 11 - Tarieven, rekenvolumina en omzet</t>
  </si>
  <si>
    <t>Tabblad 12 - Input nacalculatie investeringen met een afschrijvingstermijn van 5 of 10 jaar</t>
  </si>
  <si>
    <t>Tabblad 13 - Input desinvesteringen</t>
  </si>
  <si>
    <t>Tabblad 14 - Realisaties inkoopkosten energie en vermogen</t>
  </si>
  <si>
    <t>Tabblad 15 - Inkoopkosten transport naastgelegen netten</t>
  </si>
  <si>
    <t>Tabblad 16 - Berekening op basis van parameters</t>
  </si>
  <si>
    <t>Tabblad 18 - Correcties omzet aansluitdienst &amp; meterhuur en inkoopkosten transport naastgelegen netten</t>
  </si>
  <si>
    <t>Tabblad 17 - Correctie inkoopkosten energie en vermogen</t>
  </si>
  <si>
    <t>Tabblad 19 - Correctie desinvesteringen</t>
  </si>
  <si>
    <t>Tabblad 20 - Correctie investeringen met afschrijvingstermijn &gt; 10 jaar</t>
  </si>
  <si>
    <t>Tabblad 22 - Correctie WACC</t>
  </si>
  <si>
    <t>Tabblad 23 - Correctie investeringen met een afschrijvingstermijn van 5 of 10 jaar</t>
  </si>
  <si>
    <t>Tabblad 24 - Omzetcorrectie op basis van volumeverschillen</t>
  </si>
  <si>
    <t>Tabblad 25 - Overige correcties</t>
  </si>
  <si>
    <t>Tabblad 26 - Controle tarieven</t>
  </si>
  <si>
    <t>4. Totale inkomsten 2027</t>
  </si>
  <si>
    <t>5. Tarieven en RV 2027</t>
  </si>
  <si>
    <t>7. Spreiding nacalculaties 2025</t>
  </si>
  <si>
    <t>10. Brondata</t>
  </si>
  <si>
    <t>11. Tarieven, RV en omzet</t>
  </si>
  <si>
    <t>12. Input inv. &lt;= 10 jaar</t>
  </si>
  <si>
    <t>13. Input desinvesteringen</t>
  </si>
  <si>
    <t>14. Reallisaties IKE&amp;V</t>
  </si>
  <si>
    <t>15. Realisaties IKTNN</t>
  </si>
  <si>
    <t>16. Berekening parameters</t>
  </si>
  <si>
    <t>9. Parameters</t>
  </si>
  <si>
    <t>17. Correctie IKE&amp;V</t>
  </si>
  <si>
    <t>18. Correcties OA&amp;M en IKTNN</t>
  </si>
  <si>
    <t>19. Correctie desinvesteringen</t>
  </si>
  <si>
    <t>20. Correctie bijschatten</t>
  </si>
  <si>
    <t>21. Correctie afloopinv. WUI</t>
  </si>
  <si>
    <t>22. Correctie WACC</t>
  </si>
  <si>
    <t>23. Correctie inv. &lt;= 10 jaar</t>
  </si>
  <si>
    <t>24. Omzetcorrectie</t>
  </si>
  <si>
    <t>25. Overige correcties</t>
  </si>
  <si>
    <t>26. Controle tarieven</t>
  </si>
  <si>
    <t>Tabblad 8 - Voorstel tarieven en rekenvolumina</t>
  </si>
  <si>
    <t>Tabblad 7 - Spreiding nacalculaties 2025</t>
  </si>
  <si>
    <t>Schatting inkomsten 2027 uit inkomstenbesluit TenneT op Land 2027-2031 EHS</t>
  </si>
  <si>
    <t>Schatting inkomsten 2027 uit inkomstenbesluit TenneT op Land 2027-2031 HS</t>
  </si>
  <si>
    <t>Reguleringsdata TenneT 2025</t>
  </si>
  <si>
    <t>Rekenmodule tarievenbesluit TenneT 2026</t>
  </si>
  <si>
    <t>Rekenmodule afschrijvingen TenneT 2027</t>
  </si>
  <si>
    <t>Update gewijzigde GAW-berekening TenneT t.b.v. Tarievenbesluiten 2027</t>
  </si>
  <si>
    <t>Update gewijzigde doelmatigheidsfactorberekening Systeemtaken TenneT t.b.v. Tarievenbesluit 2027</t>
  </si>
  <si>
    <t>Update gewijzigde X-factorberekening Transporttaken TenneT t.b.v. Tarievenbesluit 2027</t>
  </si>
  <si>
    <t>Rekenmodule afschrijvingen projectprocedure investeringen en ARO’s 2027</t>
  </si>
  <si>
    <t>Nacalculatiemodel WACC 2025</t>
  </si>
  <si>
    <t>Prognose omzet aansluitdienst en meterhuur 2027</t>
  </si>
  <si>
    <t>Tarievenbesluit TenneT op Land 2027</t>
  </si>
  <si>
    <t>Directe operationele kosten HS Randmeren-net</t>
  </si>
  <si>
    <t xml:space="preserve">Data ten behoeve van correctie operationele kosten a.g.v. overname HS Randmeren-net </t>
  </si>
  <si>
    <t>CPI van 2024 naar 2025</t>
  </si>
  <si>
    <t>Percentage directe operationele kosten HS in 2024</t>
  </si>
  <si>
    <t xml:space="preserve">Percentage indirecte operationele kosten HS in 2024 </t>
  </si>
  <si>
    <t>Verdeling directe en indirecte operationele kosten 2024</t>
  </si>
  <si>
    <t>Correctie operationele kosten 2025 a.g.v. overname HS-Randmeren-net</t>
  </si>
  <si>
    <t>Directe operationele kosten HS-Randmeren 2025</t>
  </si>
  <si>
    <t xml:space="preserve">Berekening indirecte operationele kosten HS-Randmeren 2025 </t>
  </si>
  <si>
    <t xml:space="preserve">Deze correctie berekent de operationele kosten die TenneT vergoed krijgt als gevolg van de overname van het HS Randmeren-net van Liander in 2025. </t>
  </si>
  <si>
    <t>Reguleringsdata TenneT 2024, tab 2A, berekend als J43 / (J43 + K43)</t>
  </si>
  <si>
    <t>Reguleringsdata TenneT 2024, tab 2A, berekend als K43 / (J43 + K43)</t>
  </si>
  <si>
    <t>Update gewijzigde X-factorberekening Transporttaken TenneT t.b.v. Tarievenbesluit TenneT op Land 2027, tab 1, rij 29</t>
  </si>
  <si>
    <t>Update gewijzigde X-factorberekening Transporttaken TenneT t.b.v. Tarievenbesluit TenneT op Land 2027, tab 1, rij 30</t>
  </si>
  <si>
    <t>Update gewijzigde X-factorberekening Transporttaken TenneT t.b.v. Tarievenbesluit TenneT op Land 2027, tab 1, rij 31</t>
  </si>
  <si>
    <t>Update gewijzigde X-factorberekening Transporttaken TenneT t.b.v. Tarievenbesluit TenneT op Land 2027, tab 1, rij 32</t>
  </si>
  <si>
    <t>Update gewijzigde X-factorberekening Transporttaken TenneT t.b.v. Tarievenbesluit TenneT op Land 2027, tab 1, rij 33</t>
  </si>
  <si>
    <t>Update gewijzigde X-factorberekening Transporttaken TenneT t.b.v. Tarievenbesluit TenneT op Land 2027, tab 1, rij 34</t>
  </si>
  <si>
    <t>Update gewijzigde X-factorberekening Transporttaken TenneT t.b.v. Tarievenbesluit TenneT op Land 2027, tab 1, rij 36</t>
  </si>
  <si>
    <t>Update gewijzigde X-factorberekening Transporttaken TenneT t.b.v. Tarievenbesluit TenneT op Land 2027, tab 1, rij 37</t>
  </si>
  <si>
    <t>Update gewijzigde X-factorberekening Transporttaken TenneT t.b.v. Tarievenbesluit TenneT op Land 2027, tab 1, rij 38</t>
  </si>
  <si>
    <t>Update gewijzigde X-factorberekening Transporttaken TenneT t.b.v. Tarievenbesluit TenneT op Land 2027, tab 1, rij 39</t>
  </si>
  <si>
    <t>Update gewijzigde X-factorberekening Transporttaken TenneT t.b.v. Tarievenbesluit TenneT op Land 2027, tab 1, rij 40</t>
  </si>
  <si>
    <t>Update gewijzigde X-factorberekening Transporttaken TenneT t.b.v. Tarievenbesluit TenneT op Land 2027, tab 1, rij 41</t>
  </si>
  <si>
    <t>Update gewijzigde X-factorberekening Transporttaken TenneT t.b.v. Tarievenbesluit TenneT op Land 2027, tab 1, rij 44</t>
  </si>
  <si>
    <t>Update gewijzigde X-factorberekening Transporttaken TenneT t.b.v. Tarievenbesluit TenneT op Land 2027, tab 1, rij 45</t>
  </si>
  <si>
    <t>Update gewijzigde X-factorberekening Transporttaken TenneT t.b.v. Tarievenbesluit TenneT op Land 2027, tab 1, rij 46</t>
  </si>
  <si>
    <t>Update gewijzigde X-factorberekening Transporttaken TenneT t.b.v. Tarievenbesluit TenneT op Land 2027, tab 1, rij 47</t>
  </si>
  <si>
    <t>Update gewijzigde X-factorberekening Transporttaken TenneT t.b.v. Tarievenbesluit TenneT op Land 2027, tab 1, rij 48</t>
  </si>
  <si>
    <t>Update gewijzigde X-factorberekening Transporttaken TenneT t.b.v. Tarievenbesluit TenneT op Land 2027, tab 1, rij 49</t>
  </si>
  <si>
    <t>Update gewijzigde X-factorberekening Transporttaken TenneT t.b.v. Tarievenbesluit TenneT op Land 2027, tab 1, rij 51</t>
  </si>
  <si>
    <t>Update gewijzigde X-factorberekening Transporttaken TenneT t.b.v. Tarievenbesluit TenneT op Land 2027, tab 1, rij 52</t>
  </si>
  <si>
    <t>Update gewijzigde X-factorberekening Transporttaken TenneT t.b.v. Tarievenbesluit TenneT op Land 2027, tab 1, rij 53</t>
  </si>
  <si>
    <t>Update gewijzigde X-factorberekening Transporttaken TenneT t.b.v. Tarievenbesluit TenneT op Land 2027, tab 1, rij 54</t>
  </si>
  <si>
    <t>Update gewijzigde X-factorberekening Transporttaken TenneT t.b.v. Tarievenbesluit TenneT op Land 2027, tab 1, rij 55</t>
  </si>
  <si>
    <t>Update gewijzigde X-factorberekening Transporttaken TenneT t.b.v. Tarievenbesluit TenneT op Land 2027, tab 1, rij 56</t>
  </si>
  <si>
    <t>Update gewijzigde doelmatigheidsfactorberekening Systeemtaken TenneT t.b.v. Tarievenbesluit TenneT op Land 2027, tab 1, rij 27</t>
  </si>
  <si>
    <t>Update gewijzigde doelmatigheidsfactorberekening Systeemtaken TenneT t.b.v. Tarievenbesluit TenneT op Land 2027, tab 1, rij 28</t>
  </si>
  <si>
    <t>Update gewijzigde doelmatigheidsfactorberekening Systeemtaken TenneT t.b.v. Tarievenbesluit TenneT op Land 2027, tab 1, rij 29</t>
  </si>
  <si>
    <t>Update gewijzigde doelmatigheidsfactorberekening Systeemtaken TenneT t.b.v. Tarievenbesluit TenneT op Land 2027, tab 1, rij 30</t>
  </si>
  <si>
    <t>Update gewijzigde doelmatigheidsfactorberekening Systeemtaken TenneT t.b.v. Tarievenbesluit TenneT op Land 2027, tab 1, rij 31</t>
  </si>
  <si>
    <t>Rekenmodule projectprocedure investeringen TenneT op Land 2027</t>
  </si>
  <si>
    <t>Update gewijzigde GAW-berekening TenneT voor de reguleringsperiode 2022-2026 t.b.v. Tarievenbesluiten 2027</t>
  </si>
  <si>
    <t>Update gewijzigde X-factorberekening Transporttaken TenneT 2022-2026 t.b.v. Tarievenbesluit TenneT op Land 2027</t>
  </si>
  <si>
    <t>Update gewijzigde doelmatigheidsfactorberekening Systeemtaken TenneT 2022-2026 t.b.v. Tarievenbesluit op Land 2027</t>
  </si>
  <si>
    <t>Model WACC-nacalculatie voor tarievenbesluiten GTS, TenneT en DSB's</t>
  </si>
  <si>
    <t xml:space="preserve">Deze berekeningsmethode is omschreven in nota van toelichting bij het meest recente wijzigingsbesluit (https://zoek.officielebekendmakingen.nl/stb-2025-438.html). In deze rekenmodule heeft de ACM de voorlopige cijfers gebaseerd op de basisherfinancieringsrente van de ECB van 2,4%. Dit was de stand van deze rente ten tijde van het versturen van het informatieverzoek. </t>
  </si>
  <si>
    <t xml:space="preserve">De roze cellen betreffen voorlopige cijfers voor de wettelijke rente, gezien de definitieve waarden pas begin 2027 bekend worden. De ACM stelt deze voorlopige cijfers vast aan de hand van de berekeningsmethode van de wettelijke rente zoals gehanteerd bij de meest recente wijziging van de wettelijke rente. </t>
  </si>
  <si>
    <t>De ACM heeft besloten om voor alle nacalculaties vanaf 2022 de wettelijke rente als rentepercentage tariefcorrecties te hanteren. Dit percentage werd tot en met juli 2025 halfjaarlijks door De Nederlandsche Bank gepubliceerd. Daarna baseert de ACM zich op de website van Rijksoverheid en wijzigingsbesluiten in de Staatscourant.</t>
  </si>
  <si>
    <t>Rijksoverheid</t>
  </si>
  <si>
    <t>Tarievencode Elektriciteit 2026</t>
  </si>
  <si>
    <t>Tarievencode elektricteit 2026, artikel 3.9(2), onderdeel a, subonderdeel 1°</t>
  </si>
  <si>
    <t>Tarievencode elektricteit 2026, artikel 3.9(1), onderdeel a, subonderdeel 2°</t>
  </si>
  <si>
    <t>Tarievencode elektricteit 2026, artikel 3.9(1), onderdeel a, subonderdeel 1°</t>
  </si>
  <si>
    <t>Tarievencode elektricteit 2026, artikel 3.9(2), onderdeel a, subonderdeel 2°</t>
  </si>
  <si>
    <t>In het Tarievenbesluit TenneT op Land 2027 zal de ACM de voorlopige cijfers baseren op de stand van deze rente op de in de nota van toelichting beschreven peildatum (eind oktober).</t>
  </si>
  <si>
    <t>Deze rekenmodule wordt gebruikt bij het vaststellen van het Tarievenbesluit TenneT op Land 2027.</t>
  </si>
  <si>
    <t>Deze rekenmodule bevat alle gegevens die nodig zijn om de tarieven voor het transmissiesysteem voor elektriciteit op land  te berekenen voor het jaar 2027</t>
  </si>
  <si>
    <t>1+rentepercentage van 2018 naar 2027</t>
  </si>
  <si>
    <t>Ophalen totale nacalculaties t/m 2025 in prijspeil 2027</t>
  </si>
  <si>
    <t>Spreiding nacalculaties</t>
  </si>
  <si>
    <t>Totaal nog te vergoeden nacalculaties na 2027 a.g.v. spreiding nacalculaties</t>
  </si>
  <si>
    <t>Totaal tariefcorrecties te vergoeden in 2027</t>
  </si>
  <si>
    <t>Voorstel TenneT percentage nacalculatie tariefcorrecties 2025 te vergoeden in 2027</t>
  </si>
  <si>
    <t xml:space="preserve">Totaal tariefcorrecties t/m 2025 </t>
  </si>
  <si>
    <t xml:space="preserve">Op dit tabblad doet TenneT een voorstel voor het spreiden van de nacalculaties die zien op de jaren t/m 2025 die normaliter in 2027 vergoed worden. Dit is een uitwerking van de afspraak uit de Sectorovereenkomst Methodebesluiten 2027 t/m 2031. Het spreiden van nacalculaties moet bijdragen aan een stabieler tariefverloop tijdens de overgang van de oude naar de nieuwe reguleringsperiode. 
TenneT moet in cel H14 een percentage van waarmee zij een voorstel doet voor het in 2027 te verrekenen deel van de nacalculaties. </t>
  </si>
  <si>
    <t>Invulmodule systeembeheerder van het landelijke transmissiesysteem 2027</t>
  </si>
  <si>
    <t>=SOM((_2b_opex_inkoop_e_v[Segment]="EHS")*(_2b_opex_inkoop_e_v[Categorie]=$B29)*(_2b_opex_inkoop_e_v[Jaar]=AD$10)*(_2b_opex_inkoop_e_v[Waarde]))</t>
  </si>
  <si>
    <t>=SOM((_2b_opex_inkoop_e_v[Segment]="EHS")*(_2b_opex_inkoop_e_v[Categorie]=$B29)*(_2b_opex_inkoop_e_v[Jaar]=AE$10)*(_2b_opex_inkoop_e_v[Waarde]))</t>
  </si>
  <si>
    <t>=SOM((_2b_opex_inkoop_e_v[Segment]="EHS")*(_2b_opex_inkoop_e_v[Categorie]=$B30)*(_2b_opex_inkoop_e_v[Jaar]=AE$10)*(_2b_opex_inkoop_e_v[Waarde]))</t>
  </si>
  <si>
    <t>=som((_2b_opex_inkoop_e_v[Segment]="EHS")*(_2b_opex_inkoop_e_v[Categorie]=$B30)*(_2b_opex_inkoop_e_v[Jaar]=AD$10)*(_2b_opex_inkoop_e_v[Waarde]))</t>
  </si>
  <si>
    <t>=som((_2b_opex_inkoop_e_v[Segment]="EHS")*(_2b_opex_inkoop_e_v[Categorie]=$B31)*(_2b_opex_inkoop_e_v[Jaar]=AD$10)*(_2b_opex_inkoop_e_v[Waarde]))</t>
  </si>
  <si>
    <t>=som((_2b_opex_inkoop_e_v[Segment]="EHS")*(_2b_opex_inkoop_e_v[Categorie]=$B31)*(_2b_opex_inkoop_e_v[Jaar]=AE$10)*(_2b_opex_inkoop_e_v[Waarde]))</t>
  </si>
  <si>
    <t>=som((_2b_opex_inkoop_e_v[Segment]="EHS")*(_2b_opex_inkoop_e_v[Categorie]=$B31)*(_2b_opex_inkoop_e_v[Jaar]=AF$10)*(_2b_opex_inkoop_e_v[Waarde]))</t>
  </si>
  <si>
    <t>=som((_2b_opex_inkoop_e_v[Segment]="EHS")*(_2b_opex_inkoop_e_v[Categorie]=$B30)*(_2b_opex_inkoop_e_v[Jaar]=AF$10)*(_2b_opex_inkoop_e_v[Waarde]))</t>
  </si>
  <si>
    <t>=som((_2b_opex_inkoop_e_v[Segment]="EHS")*(_2b_opex_inkoop_e_v[Categorie]=$B29)*(_2b_opex_inkoop_e_v[Jaar]=AF$10)*(_2b_opex_inkoop_e_v[Waarde]))</t>
  </si>
  <si>
    <t>=som((_2b_opex_inkoop_e_v[Segment]="HS")*(_2b_opex_inkoop_e_v[Categorie]=$B34)*(_2b_opex_inkoop_e_v[Jaar]=AD$10)*(_2b_opex_inkoop_e_v[Waarde]))</t>
  </si>
  <si>
    <t>=som((_2b_opex_inkoop_e_v[Segment]="HS")*(_2b_opex_inkoop_e_v[Categorie]=$B34)*(_2b_opex_inkoop_e_v[Jaar]=AE$10)*(_2b_opex_inkoop_e_v[Waarde]))</t>
  </si>
  <si>
    <t>=som((_2b_opex_inkoop_e_v[Segment]="HS")*(_2b_opex_inkoop_e_v[Categorie]=$B34)*(_2b_opex_inkoop_e_v[Jaar]=AF$10)*(_2b_opex_inkoop_e_v[Waarde]))</t>
  </si>
  <si>
    <t>=som((_2b_opex_inkoop_e_v[Segment]="HS")*(_2b_opex_inkoop_e_v[Categorie]=$B35)*(_2b_opex_inkoop_e_v[Jaar]=AD$10)*(_2b_opex_inkoop_e_v[Waarde]))</t>
  </si>
  <si>
    <t>=som((_2b_opex_inkoop_e_v[Segment]="HS")*(_2b_opex_inkoop_e_v[Categorie]=$B35)*(_2b_opex_inkoop_e_v[Jaar]=AE$10)*(_2b_opex_inkoop_e_v[Waarde]))</t>
  </si>
  <si>
    <t>=som((_2b_opex_inkoop_e_v[Segment]="HS")*(_2b_opex_inkoop_e_v[Categorie]=$B35)*(_2b_opex_inkoop_e_v[Jaar]=AF$10)*(_2b_opex_inkoop_e_v[Waarde]))</t>
  </si>
  <si>
    <t>=som((_2b_opex_inkoop_e_v[Segment]="HS")*(_2b_opex_inkoop_e_v[Categorie]=$B36)*(_2b_opex_inkoop_e_v[Jaar]=AD$10)*(_2b_opex_inkoop_e_v[Waarde]))</t>
  </si>
  <si>
    <t>=som((_2b_opex_inkoop_e_v[Segment]="HS")*(_2b_opex_inkoop_e_v[Categorie]=$B36)*(_2b_opex_inkoop_e_v[Jaar]=AE$10)*(_2b_opex_inkoop_e_v[Waarde]))</t>
  </si>
  <si>
    <t>=som((_2b_opex_inkoop_e_v[Segment]="HS")*(_2b_opex_inkoop_e_v[Categorie]=$B36)*(_2b_opex_inkoop_e_v[Jaar]=AF$10)*(_2b_opex_inkoop_e_v[Waarde]))</t>
  </si>
  <si>
    <t>=som((_2b_opex_inkoop_e_v[Categorie]=$B39)*(_2b_opex_inkoop_e_v[Jaar]=AD$10)*(_2b_opex_inkoop_e_v[Waarde]))</t>
  </si>
  <si>
    <t>=som((_2b_opex_inkoop_e_v[Categorie]=$B39)*(_2b_opex_inkoop_e_v[Jaar]=AE$10)*(_2b_opex_inkoop_e_v[Waarde]))</t>
  </si>
  <si>
    <t>=som((_2b_opex_inkoop_e_v[Categorie]=$B39)*(_2b_opex_inkoop_e_v[Jaar]=AF$10)*(_2b_opex_inkoop_e_v[Waarde]))</t>
  </si>
  <si>
    <t>=som((_2b_opex_inkoop_e_v[Categorie]=$B40)*(_2b_opex_inkoop_e_v[Jaar]=AD$10)*(_2b_opex_inkoop_e_v[Waarde]))</t>
  </si>
  <si>
    <t>=som((_2b_opex_inkoop_e_v[Categorie]=$B40)*(_2b_opex_inkoop_e_v[Jaar]=AE$10)*(_2b_opex_inkoop_e_v[Waarde]))</t>
  </si>
  <si>
    <t>=som((_2b_opex_inkoop_e_v[Categorie]=$B40)*(_2b_opex_inkoop_e_v[Jaar]=AF$10)*(_2b_opex_inkoop_e_v[Waarde]))</t>
  </si>
  <si>
    <t>=som((_2b_opex_inkoop_e_v[Categorie]=$B41)*(_2b_opex_inkoop_e_v[Jaar]=AD$10)*(_2b_opex_inkoop_e_v[Waarde]))</t>
  </si>
  <si>
    <t>=som((_2b_opex_inkoop_e_v[Categorie]=$B41)*(_2b_opex_inkoop_e_v[Jaar]=AE$10)*(_2b_opex_inkoop_e_v[Waarde]))</t>
  </si>
  <si>
    <t>=som((_2b_opex_inkoop_e_v[Categorie]=$B41)*(_2b_opex_inkoop_e_v[Jaar]=AF$10)*(_2b_opex_inkoop_e_v[Waarde]))</t>
  </si>
  <si>
    <t>=som((_2b_opex_inkoop_e_v[Categorie]=$B42)*(_2b_opex_inkoop_e_v[Jaar]=AD$10)*(_2b_opex_inkoop_e_v[Waarde]))</t>
  </si>
  <si>
    <t>=som((_2b_opex_inkoop_e_v[Categorie]=$B42)*(_2b_opex_inkoop_e_v[Jaar]=AE$10)*(_2b_opex_inkoop_e_v[Waarde]))</t>
  </si>
  <si>
    <t>=som((_2b_opex_inkoop_e_v[Categorie]=$B42)*(_2b_opex_inkoop_e_v[Jaar]=AF$10)*(_2b_opex_inkoop_e_v[Waarde]))</t>
  </si>
  <si>
    <t>=som((_2b_opex_inkoop_e_v[Segment]="EHS")*(_2b_opex_inkoop_e_v[Categorie]=$B29)*(_2b_opex_inkoop_e_v[Jaar]=AK$10)*(_2b_opex_inkoop_e_v[Waarde]))</t>
  </si>
  <si>
    <t>=som((_2b_opex_inkoop_e_v[Segment]="EHS")*(_2b_opex_inkoop_e_v[Categorie]=$B30)*(_2b_opex_inkoop_e_v[Jaar]=AK$10)*(_2b_opex_inkoop_e_v[Waarde]))</t>
  </si>
  <si>
    <t>=som((_2b_opex_inkoop_e_v[Segment]="EHS")*(_2b_opex_inkoop_e_v[Categorie]=$B31)*(_2b_opex_inkoop_e_v[Jaar]=AK$10)*(_2b_opex_inkoop_e_v[Waarde]))</t>
  </si>
  <si>
    <t>=som((_2b_opex_inkoop_e_v[Segment]="HS")*(_2b_opex_inkoop_e_v[Categorie]=$B34)*(_2b_opex_inkoop_e_v[Jaar]=AK$10)*(_2b_opex_inkoop_e_v[Waarde]))</t>
  </si>
  <si>
    <t>=som((_2b_opex_inkoop_e_v[Segment]="HS")*(_2b_opex_inkoop_e_v[Categorie]=$B35)*(_2b_opex_inkoop_e_v[Jaar]=AK$10)*(_2b_opex_inkoop_e_v[Waarde]))</t>
  </si>
  <si>
    <t>=som((_2b_opex_inkoop_e_v[Segment]="HS")*(_2b_opex_inkoop_e_v[Categorie]=$B36)*(_2b_opex_inkoop_e_v[Jaar]=AK$10)*(_2b_opex_inkoop_e_v[Waarde]))</t>
  </si>
  <si>
    <t>=som((_2b_opex_inkoop_e_v[Categorie]=$B39)*(_2b_opex_inkoop_e_v[Jaar]=AK$10)*(_2b_opex_inkoop_e_v[Waarde]))</t>
  </si>
  <si>
    <t>=som((_2b_opex_inkoop_e_v[Categorie]=$B40)*(_2b_opex_inkoop_e_v[Jaar]=AK$10)*(_2b_opex_inkoop_e_v[Waarde]))</t>
  </si>
  <si>
    <t>=som((_2b_opex_inkoop_e_v[Categorie]=$B41)*(_2b_opex_inkoop_e_v[Jaar]=AK$10)*(_2b_opex_inkoop_e_v[Waarde]))</t>
  </si>
  <si>
    <t>=som((_2b_opex_inkoop_e_v[Categorie]=$B42)*(_2b_opex_inkoop_e_v[Jaar]=AK$10)*(_2b_opex_inkoop_e_v[Waarde]))</t>
  </si>
  <si>
    <t>='10. Brondata'!AK49</t>
  </si>
  <si>
    <t>='10. Brondata'!AK50</t>
  </si>
  <si>
    <t>='10. Brondata'!AK51</t>
  </si>
  <si>
    <t>='10. Brondata'!AK53</t>
  </si>
  <si>
    <t>='10. Brondata'!AK54</t>
  </si>
  <si>
    <t>='10. Brondata'!AK55</t>
  </si>
  <si>
    <t>='10. Brondata'!AK58</t>
  </si>
  <si>
    <t>='10. Brondata'!AK59</t>
  </si>
  <si>
    <t>='10. Brondata'!AK60</t>
  </si>
  <si>
    <t>='10. Brondata'!AK61</t>
  </si>
  <si>
    <t>=GEMIDDELDE(AD29*$H$16*$H$21;AE29*$H$17*$H$22;AF29*$H$18*$H$23)</t>
  </si>
  <si>
    <t>=GEMIDDELDE(AD30*$H$16*$H$21;AE30*$H$17*$H$22;AF30*$H$18*$H$23)</t>
  </si>
  <si>
    <t>=GEMIDDELDE(AD31*$H$16*$H$21;AE31*$H$17*$H$22;AF31*$H$18*$H$23)</t>
  </si>
  <si>
    <t>=GEMIDDELDE(AD34*$H$16*$H$21;AE34*$H$17*$H$22;AF34*$H$18*$H$23)</t>
  </si>
  <si>
    <t>=GEMIDDELDE(AD35*$H$16*$H$21;AE35*$H$17*$H$22;AF35*$H$18*$H$23)</t>
  </si>
  <si>
    <t>=GEMIDDELDE(AD36*$H$16*$H$21;AE36*$H$17*$H$22;AF36*$H$18*$H$23)</t>
  </si>
  <si>
    <t>=GEMIDDELDE(AD39*$H$16*$H$21;AE39*$H$17*$H$22;AF39*$H$18*$H$23)</t>
  </si>
  <si>
    <t>=GEMIDDELDE(AD40*$H$16*$H$21;AE40*$H$17*$H$22;AF40*$H$18*$H$23)</t>
  </si>
  <si>
    <t>=GEMIDDELDE(AD41*$H$16*$H$21;AE41*$H$17*$H$22;AF41*$H$18*$H$23)</t>
  </si>
  <si>
    <t>=GEMIDDELDE(AD42*$H$16*$H$21;AE42*$H$17*$H$22;AF42*$H$18*$H$23)</t>
  </si>
  <si>
    <t>=AK29-AK65</t>
  </si>
  <si>
    <t>=0,25*AK83</t>
  </si>
  <si>
    <t>=ALS(AK83&lt;0; -0,05*AK65; 0,05*AK65)</t>
  </si>
  <si>
    <t>=ALS(AK83&lt;0;MAX(AK84:AK85);MIN(AK84:AK85))</t>
  </si>
  <si>
    <t>=AK83-AK86</t>
  </si>
  <si>
    <t>=AK48*$H$45</t>
  </si>
  <si>
    <t>=AK87-AK89</t>
  </si>
  <si>
    <t>=AK30-AK66</t>
  </si>
  <si>
    <t>=0,25*AK93</t>
  </si>
  <si>
    <t>=ALS(AK93&lt;0; -0,05*AK66; 0,05*AK66)</t>
  </si>
  <si>
    <t>=ALS(AK93&lt;0;MAX(AK94:AK95);MIN(AK94:AK95))</t>
  </si>
  <si>
    <t>=AK93-AK96</t>
  </si>
  <si>
    <t>=AK49*$H$45</t>
  </si>
  <si>
    <t>=AK97-AK99</t>
  </si>
  <si>
    <t>=AK31-AK67</t>
  </si>
  <si>
    <t>=0,25*AK103</t>
  </si>
  <si>
    <t>=ALS(AK103&lt;0; -0,05*AK67; 0,05*AK67)</t>
  </si>
  <si>
    <t>=ALS(AK103&lt;0;MAX(AK104:AK105);MIN(AK104:AK105))</t>
  </si>
  <si>
    <t>=AK103-AK106</t>
  </si>
  <si>
    <t>=AK50*$H$45</t>
  </si>
  <si>
    <t>=AK107-AK109</t>
  </si>
  <si>
    <t>=AK34-AK70</t>
  </si>
  <si>
    <t>=0,25*AK117</t>
  </si>
  <si>
    <t>=ALS(AK117&lt;0; -0,05*AK70; 0,05*AK70)</t>
  </si>
  <si>
    <t>=ALS(AK117&lt;0;MAX(AK118:AK119);MIN(AK118:AK119))</t>
  </si>
  <si>
    <t>=AK117-AK120</t>
  </si>
  <si>
    <t>=AK52*$H$45</t>
  </si>
  <si>
    <t>=AK121-AK123</t>
  </si>
  <si>
    <t>=AK35-AK71</t>
  </si>
  <si>
    <t>=0,25*AK127</t>
  </si>
  <si>
    <t>=ALS(AK127&lt;0; -0,05*AK71; 0,05*AK71)</t>
  </si>
  <si>
    <t>=ALS(AK127&lt;0;MAX(AK128:AK129);MIN(AK128:AK129))</t>
  </si>
  <si>
    <t>=AK127-AK130</t>
  </si>
  <si>
    <t>=AK53*$H$45</t>
  </si>
  <si>
    <t>=AK131-AK133</t>
  </si>
  <si>
    <t>=AK36-AK72</t>
  </si>
  <si>
    <t>=0,25*AK137</t>
  </si>
  <si>
    <t>=ALS(AK137&lt;0; -0,05*AK72; 0,05*AK72)</t>
  </si>
  <si>
    <t>=ALS(AK137&lt;0;MAX(AK138:AK139);MIN(AK138:AK139))</t>
  </si>
  <si>
    <t>=AK137-AK140</t>
  </si>
  <si>
    <t>=AK54*$H$45</t>
  </si>
  <si>
    <t>=AK141-AK143</t>
  </si>
  <si>
    <t>=AK39-AK75</t>
  </si>
  <si>
    <t>=AK57*$H$45</t>
  </si>
  <si>
    <t>=AK151-AK153</t>
  </si>
  <si>
    <t>=AK40-AK76</t>
  </si>
  <si>
    <t>=AK58*$H$45</t>
  </si>
  <si>
    <t>=AK157-AK159</t>
  </si>
  <si>
    <t>=AK41-AK77</t>
  </si>
  <si>
    <t>=AK59*$H$45</t>
  </si>
  <si>
    <t>=AK163-AK165</t>
  </si>
  <si>
    <t>=AK42-AK78</t>
  </si>
  <si>
    <t>=AK60*$H$45</t>
  </si>
  <si>
    <t>=AK169-AK171</t>
  </si>
  <si>
    <t>Invulmodule Tarievenvoorstel TenneT op Land 2027</t>
  </si>
  <si>
    <t xml:space="preserve">- Rekenmodule projectprocedure investeringen TenneT op Land 2027
- Invulmodule tarievenvoorstel TenneT op Zee 2027
</t>
  </si>
  <si>
    <t>Dit tabblad is een overzicht van de totale inkomsten 2027 van de beheerder van het landelijke hoogspanningsnet, TenneT TSO B.V. De ACM bepaalt de totale inkomsten inclusief tariefcorrecties in drie stappen:
1: de ACM berekent de totale inkomsten exclusief tariefcorrecties;
2: de ACM bepaalt de tariefcorrecties;
3: de ACM berekent de totale inkomsten inclusief tariefcorrecties.</t>
  </si>
  <si>
    <t>Correctie als bedoeld in artikel 41b, tweede lid, van de E-wet</t>
  </si>
  <si>
    <t>Correctie als bedoeld in artikel 41d, tweede lid, van de E-wet</t>
  </si>
  <si>
    <t>Correctie als bedoeld in artikel 41b, eerste lid, onderdeel l van de E-wet</t>
  </si>
  <si>
    <t>Correctie als bedoeld in artikel 3.80 van de Energiewet</t>
  </si>
  <si>
    <t>TenneT doet een voorstel voor de tarieven 2027. Op dit tabblad controleert de ACM het voorstel voor de tarieven van TenneT. Eerst berekent de ACM of de voorgestelde tarieven voldoen aan de toegestane inkomsten. Daarna berekent de ACM zelf de tarieven aan de hand van de Tarievencode Elektriciteit. Indien het voorstel van TenneT niet voldoet, dan stelt de ACM de tarieven vast op basis van de zelf berekende tarieven.</t>
  </si>
  <si>
    <t>De ACM heeft met een filter de benodigde gegevens voor de gerealiseerde inkoopkosten transport naastgelegen netten opgegeven in de reguleringsdata 2018, 2019, 2020, 2023, 2024 en 2025 geselecteerd.</t>
  </si>
  <si>
    <t>Op dit tabblad berekent de ACM het verschil tussen de geschatte efficiënte kosten (kapitaalkosten en operationele kosten) in het gewijzigde X-factormodel transporttaken TenneT 2022-2026 en de herrekende geschatte efficiënte kosten (kapitaalkosten en operationele kosten) in de update van het gewijzigde X-factormodel transporttaken TenneT 2022-2026 a.g.v. de gerealiseerde investeringen met een afschrijvingstermijn langer dan 10 jaar. In de update van het gewijzigde X-factormodel is de input overgenomen uit een update van de gewijzigde GAW-berekening waarbij bijgeschatte investeringen met een afschrijvingstermijn langer dan 10 jaar in 2021 t/m 2025 vervangen zijn door de gerealiseerde investeringen met een afschrijvingstermijn langer dan 10 jaar in 2021 t/m 2025. Ook voor de correctie voor systeemtaken wordt deze werkwijze gevolgd, maar dan via de update van de gewijzigde doelmatigheidsfactorberekening.</t>
  </si>
  <si>
    <t>Tariefcorrectie efficiënte kosten gerealiseerde investeringen EHS in 2027</t>
  </si>
  <si>
    <t>2026 veranderd in 2027</t>
  </si>
  <si>
    <t>Tariefcorrectie kosten gerealiseerde investeringen systeem in 2027</t>
  </si>
  <si>
    <t>Tariefcorrectie efficiënte kosten EHS doorrollen a.g.v. gerealiseerde afloopinvesteringen WUI's 2021-2025 in 2027</t>
  </si>
  <si>
    <t>Tariefcorrectie efficiënte kosten HS doorrollen a.g.v. gerealiseerde afloopinvesteringen WUI's 2021-2025 in 2027</t>
  </si>
  <si>
    <t xml:space="preserve">- In de tarievenbesluiten 2023 t/m 2026 hebben al nacalculaties plaatsgevonden voor het verschil in de efficiënte kosten in de jaren 2022 t/m 2026 a.g.v. de gerealiseerde afloopinvesteringen WUI's in 2021 t/m 2024. Deze verschillen worden daarom niet meegenomen in de berekening van de nacalculaties voor de tarieven 2027. 
</t>
  </si>
  <si>
    <t>Tabblad 21 - Correctie afloopinvesteringen WUI's</t>
  </si>
  <si>
    <t>Deze nacalculatie is in de voorbereiding op het Inkomstenbesluit 2026 geintroduceerd, waarbij is besloten dat een aantal investeringen uit eerdere jaren worden nagecalculeerd. Deze nacalculatie ziet daarom ook op operationele kosten en kapitaalkosten vanaf 2022 als gevolg van gerealiseerde investeringen in de jaren 2021 tot en met 2025.</t>
  </si>
  <si>
    <t>Verrekening vergoedingen net op zee fase I</t>
  </si>
  <si>
    <t>Verrekening vergoedingen net op zee fase II</t>
  </si>
  <si>
    <t xml:space="preserve">Op dit tabblad vult TenneT de gerealiseerde volumina 2025 en de voorgestelde tarieven en rekenvolumina voor 2027 in. De rekenvolumina representeren de afzet die in een jaar te verwachten is. 
De controles hieronder gaan na of de getallen die TenneT invult voor de tarieven en de rekenvolumina voldoen aan respectievelijk de Tarievencode Elektriciteit 2026 en de bepalingen in het methodebesluit TenneT op Land 2027-2031.
De voor 2027 voorgestelde rekenvolumina dienen overeen te komen met de rekenvolumina die de ACM heeft vastgesteld in het Inkomstenbesluit TenneT op Land 2027-2031.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</si>
</sst>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 numFmtId="164" formatCode="_ * #,##0.00_ ;_ * \-#,##0.00_ ;_ * &quot;-&quot;_ ;_ @_ "/>
    <numFmt numFmtId="165" formatCode="0.0%"/>
    <numFmt numFmtId="166" formatCode="_ * #,##0.000_ ;_ * \-#,##0.000_ ;_ * &quot;-&quot;???_ ;_ @_ "/>
    <numFmt numFmtId="167" formatCode="_ * #,##0.000_ ;_ * \-#,##0.000_ ;_ * &quot;-&quot;_ ;_ @_ "/>
    <numFmt numFmtId="168" formatCode="0_ ;\-0\ "/>
    <numFmt numFmtId="169" formatCode="_ * #,##0.0000000_ ;_ * \-#,##0.0000000_ ;_ * &quot;-&quot;_ ;_ @_ "/>
    <numFmt numFmtId="170" formatCode="_ * #,##0.000_ ;_ * \-#,##0.000_ ;_ * &quot;-&quot;??_ ;_ @_ "/>
    <numFmt numFmtId="171" formatCode="_ * #,##0_ ;_ * \-#,##0_ ;_ * &quot;-&quot;??_ ;_ @_ "/>
  </numFmts>
  <fonts count="33" x14ac:knownFonts="1">
    <font>
      <sz val="10"/>
      <color theme="1"/>
      <name val="Arial"/>
      <family val="2"/>
    </font>
    <font>
      <sz val="10"/>
      <color theme="1"/>
      <name val="Arial"/>
      <family val="2"/>
    </font>
    <font>
      <sz val="11"/>
      <color rgb="FF006100"/>
      <name val="Calibri"/>
      <family val="2"/>
      <scheme val="minor"/>
    </font>
    <font>
      <sz val="11"/>
      <color rgb="FF9C0006"/>
      <name val="Calibri"/>
      <family val="2"/>
      <scheme val="minor"/>
    </font>
    <font>
      <sz val="11"/>
      <color rgb="FF9C6500"/>
      <name val="Calibri"/>
      <family val="2"/>
      <scheme val="minor"/>
    </font>
    <font>
      <sz val="10"/>
      <name val="Arial"/>
      <family val="2"/>
    </font>
    <font>
      <b/>
      <sz val="10"/>
      <name val="Arial"/>
      <family val="2"/>
    </font>
    <font>
      <sz val="10"/>
      <name val="Arial"/>
      <family val="2"/>
    </font>
    <font>
      <b/>
      <sz val="14"/>
      <color theme="0"/>
      <name val="Arial"/>
      <family val="2"/>
    </font>
    <font>
      <i/>
      <sz val="10"/>
      <name val="Arial"/>
      <family val="2"/>
    </font>
    <font>
      <b/>
      <sz val="10"/>
      <color rgb="FFFF0000"/>
      <name val="Arial"/>
      <family val="2"/>
    </font>
    <font>
      <sz val="8"/>
      <color indexed="81"/>
      <name val="Tahoma"/>
      <family val="2"/>
    </font>
    <font>
      <sz val="10"/>
      <color indexed="55"/>
      <name val="Arial"/>
      <family val="2"/>
    </font>
    <font>
      <b/>
      <sz val="10"/>
      <color theme="0"/>
      <name val="Arial"/>
      <family val="2"/>
    </font>
    <font>
      <sz val="10"/>
      <color rgb="FFFF0000"/>
      <name val="Arial"/>
      <family val="2"/>
    </font>
    <font>
      <sz val="11"/>
      <color theme="1"/>
      <name val="Calibri"/>
      <family val="2"/>
      <scheme val="minor"/>
    </font>
    <font>
      <sz val="10"/>
      <color rgb="FF3F3F76"/>
      <name val="Arial"/>
      <family val="2"/>
    </font>
    <font>
      <b/>
      <sz val="10"/>
      <color rgb="FF3F3F3F"/>
      <name val="Arial"/>
      <family val="2"/>
    </font>
    <font>
      <b/>
      <sz val="10"/>
      <color rgb="FFFA7D00"/>
      <name val="Arial"/>
      <family val="2"/>
    </font>
    <font>
      <sz val="10"/>
      <color rgb="FFFA7D00"/>
      <name val="Arial"/>
      <family val="2"/>
    </font>
    <font>
      <u/>
      <sz val="11"/>
      <color theme="10"/>
      <name val="Calibri"/>
      <family val="2"/>
      <scheme val="minor"/>
    </font>
    <font>
      <u/>
      <sz val="10"/>
      <color theme="10"/>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i/>
      <sz val="10"/>
      <color rgb="FF7F7F7F"/>
      <name val="Arial"/>
      <family val="2"/>
    </font>
    <font>
      <b/>
      <sz val="10"/>
      <color theme="1"/>
      <name val="Arial"/>
      <family val="2"/>
    </font>
    <font>
      <sz val="10"/>
      <color theme="0"/>
      <name val="Arial"/>
      <family val="2"/>
    </font>
    <font>
      <u/>
      <sz val="11"/>
      <color theme="11"/>
      <name val="Calibri"/>
      <family val="2"/>
      <scheme val="minor"/>
    </font>
    <font>
      <sz val="8"/>
      <name val="Arial"/>
      <family val="2"/>
    </font>
    <font>
      <sz val="9.5"/>
      <color theme="1"/>
      <name val="Arial"/>
      <family val="2"/>
    </font>
    <font>
      <u/>
      <sz val="9.5"/>
      <color theme="10"/>
      <name val="Arial"/>
      <family val="2"/>
    </font>
  </fonts>
  <fills count="4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5F1F7A"/>
        <bgColor indexed="64"/>
      </patternFill>
    </fill>
    <fill>
      <patternFill patternType="solid">
        <fgColor rgb="FFFF00FF"/>
        <bgColor indexed="64"/>
      </patternFill>
    </fill>
    <fill>
      <patternFill patternType="solid">
        <fgColor rgb="FFFFCCFF"/>
        <bgColor indexed="64"/>
      </patternFill>
    </fill>
    <fill>
      <patternFill patternType="solid">
        <fgColor rgb="FFFFFFCC"/>
        <bgColor indexed="64"/>
      </patternFill>
    </fill>
    <fill>
      <patternFill patternType="solid">
        <fgColor rgb="FFCCFFFF"/>
        <bgColor indexed="64"/>
      </patternFill>
    </fill>
    <fill>
      <patternFill patternType="solid">
        <fgColor rgb="FFFFCC99"/>
        <bgColor indexed="64"/>
      </patternFill>
    </fill>
    <fill>
      <patternFill patternType="solid">
        <fgColor theme="0" tint="-4.9989318521683403E-2"/>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CC8D9"/>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
      <patternFill patternType="solid">
        <fgColor rgb="FF99FF99"/>
        <bgColor indexed="64"/>
      </patternFill>
    </fill>
    <fill>
      <patternFill patternType="solid">
        <fgColor rgb="FFE1FFE1"/>
        <bgColor indexed="64"/>
      </patternFill>
    </fill>
    <fill>
      <patternFill patternType="solid">
        <fgColor rgb="FFCCCCFF"/>
        <bgColor indexed="64"/>
      </patternFill>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
      <patternFill patternType="solid">
        <fgColor rgb="FFFFFF00"/>
        <bgColor indexed="64"/>
      </patternFill>
    </fill>
  </fills>
  <borders count="24">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ashDot">
        <color indexed="64"/>
      </left>
      <right/>
      <top style="dashDot">
        <color indexed="64"/>
      </top>
      <bottom/>
      <diagonal/>
    </border>
    <border>
      <left/>
      <right/>
      <top style="dashDot">
        <color indexed="64"/>
      </top>
      <bottom/>
      <diagonal/>
    </border>
    <border>
      <left/>
      <right style="dashDot">
        <color indexed="64"/>
      </right>
      <top style="dashDot">
        <color indexed="64"/>
      </top>
      <bottom/>
      <diagonal/>
    </border>
    <border>
      <left style="dashDot">
        <color indexed="64"/>
      </left>
      <right/>
      <top/>
      <bottom/>
      <diagonal/>
    </border>
    <border>
      <left/>
      <right style="dashDot">
        <color indexed="64"/>
      </right>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s>
  <cellStyleXfs count="69">
    <xf numFmtId="0" fontId="0" fillId="0" borderId="0">
      <alignment vertical="top"/>
    </xf>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0" fontId="5" fillId="0" borderId="0">
      <alignment vertical="top"/>
    </xf>
    <xf numFmtId="49" fontId="8" fillId="5" borderId="1">
      <alignment vertical="top"/>
    </xf>
    <xf numFmtId="49" fontId="6" fillId="16" borderId="1">
      <alignment vertical="top"/>
    </xf>
    <xf numFmtId="49" fontId="6" fillId="0" borderId="0">
      <alignment vertical="top"/>
    </xf>
    <xf numFmtId="41" fontId="5" fillId="9" borderId="0">
      <alignment vertical="top"/>
    </xf>
    <xf numFmtId="41" fontId="5" fillId="8" borderId="0">
      <alignment vertical="top"/>
    </xf>
    <xf numFmtId="41" fontId="5" fillId="7" borderId="0">
      <alignment vertical="top"/>
    </xf>
    <xf numFmtId="41" fontId="5" fillId="43" borderId="0">
      <alignment vertical="top"/>
    </xf>
    <xf numFmtId="41" fontId="5" fillId="6" borderId="0">
      <alignment vertical="top"/>
    </xf>
    <xf numFmtId="41" fontId="5" fillId="10" borderId="0">
      <alignment vertical="top"/>
    </xf>
    <xf numFmtId="49" fontId="10" fillId="0" borderId="0">
      <alignment vertical="top"/>
    </xf>
    <xf numFmtId="49" fontId="9" fillId="0" borderId="0">
      <alignment vertical="top"/>
    </xf>
    <xf numFmtId="0" fontId="16" fillId="12" borderId="3" applyNumberFormat="0" applyAlignment="0" applyProtection="0"/>
    <xf numFmtId="0" fontId="17" fillId="13" borderId="4" applyNumberFormat="0" applyAlignment="0" applyProtection="0"/>
    <xf numFmtId="0" fontId="18" fillId="13" borderId="3" applyNumberFormat="0" applyAlignment="0" applyProtection="0"/>
    <xf numFmtId="0" fontId="19" fillId="0" borderId="5" applyNumberFormat="0" applyFill="0" applyAlignment="0" applyProtection="0"/>
    <xf numFmtId="0" fontId="13" fillId="14" borderId="6" applyNumberFormat="0" applyAlignment="0" applyProtection="0"/>
    <xf numFmtId="0" fontId="15" fillId="15" borderId="7" applyNumberFormat="0" applyFont="0" applyAlignment="0" applyProtection="0"/>
    <xf numFmtId="0" fontId="20" fillId="0" borderId="0" applyNumberFormat="0" applyFill="0" applyBorder="0" applyAlignment="0" applyProtection="0"/>
    <xf numFmtId="43" fontId="15" fillId="0" borderId="0" applyFont="0" applyFill="0" applyBorder="0" applyAlignment="0" applyProtection="0"/>
    <xf numFmtId="41" fontId="15" fillId="0" borderId="0" applyFont="0" applyFill="0" applyBorder="0" applyAlignment="0" applyProtection="0"/>
    <xf numFmtId="44" fontId="15" fillId="0" borderId="0" applyFont="0" applyFill="0" applyBorder="0" applyAlignment="0" applyProtection="0"/>
    <xf numFmtId="42" fontId="15" fillId="0" borderId="0" applyFont="0" applyFill="0" applyBorder="0" applyAlignment="0" applyProtection="0"/>
    <xf numFmtId="9" fontId="15" fillId="0" borderId="0" applyFont="0" applyFill="0" applyBorder="0" applyAlignment="0" applyProtection="0"/>
    <xf numFmtId="0" fontId="22" fillId="0" borderId="0" applyNumberFormat="0" applyFill="0" applyBorder="0" applyAlignment="0" applyProtection="0"/>
    <xf numFmtId="0" fontId="23" fillId="0" borderId="8" applyNumberFormat="0" applyFill="0" applyAlignment="0" applyProtection="0"/>
    <xf numFmtId="0" fontId="24" fillId="0" borderId="9" applyNumberFormat="0" applyFill="0" applyAlignment="0" applyProtection="0"/>
    <xf numFmtId="0" fontId="25" fillId="0" borderId="10" applyNumberFormat="0" applyFill="0" applyAlignment="0" applyProtection="0"/>
    <xf numFmtId="0" fontId="25" fillId="0" borderId="0" applyNumberFormat="0" applyFill="0" applyBorder="0" applyAlignment="0" applyProtection="0"/>
    <xf numFmtId="0" fontId="14" fillId="0" borderId="0" applyNumberFormat="0" applyFill="0" applyBorder="0" applyAlignment="0" applyProtection="0"/>
    <xf numFmtId="0" fontId="26" fillId="0" borderId="0" applyNumberFormat="0" applyFill="0" applyBorder="0" applyAlignment="0" applyProtection="0"/>
    <xf numFmtId="0" fontId="27" fillId="0" borderId="11" applyNumberFormat="0" applyFill="0" applyAlignment="0" applyProtection="0"/>
    <xf numFmtId="0" fontId="28"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28" fillId="40" borderId="0" applyNumberFormat="0" applyBorder="0" applyAlignment="0" applyProtection="0"/>
    <xf numFmtId="0" fontId="29" fillId="0" borderId="0" applyNumberFormat="0" applyFill="0" applyBorder="0" applyAlignment="0" applyProtection="0"/>
    <xf numFmtId="49" fontId="21" fillId="0" borderId="0" applyFill="0" applyBorder="0" applyAlignment="0" applyProtection="0"/>
    <xf numFmtId="43" fontId="5" fillId="41" borderId="0" applyNumberFormat="0">
      <alignment vertical="top"/>
    </xf>
    <xf numFmtId="43" fontId="5" fillId="8" borderId="0" applyFont="0" applyFill="0" applyBorder="0" applyAlignment="0" applyProtection="0">
      <alignment vertical="top"/>
    </xf>
    <xf numFmtId="10" fontId="5" fillId="0" borderId="0" applyFont="0" applyFill="0" applyBorder="0" applyAlignment="0" applyProtection="0">
      <alignment vertical="top"/>
    </xf>
    <xf numFmtId="41" fontId="5" fillId="42" borderId="0">
      <alignment vertical="top"/>
    </xf>
    <xf numFmtId="41" fontId="5" fillId="44" borderId="0">
      <alignment vertical="top"/>
    </xf>
    <xf numFmtId="43" fontId="5" fillId="43" borderId="0">
      <alignment vertical="top"/>
    </xf>
    <xf numFmtId="43" fontId="5" fillId="42" borderId="0">
      <alignment vertical="top"/>
    </xf>
  </cellStyleXfs>
  <cellXfs count="182">
    <xf numFmtId="0" fontId="0" fillId="0" borderId="0" xfId="0">
      <alignment vertical="top"/>
    </xf>
    <xf numFmtId="0" fontId="6" fillId="0" borderId="0" xfId="4" applyFont="1">
      <alignment vertical="top"/>
    </xf>
    <xf numFmtId="0" fontId="5" fillId="0" borderId="0" xfId="4">
      <alignment vertical="top"/>
    </xf>
    <xf numFmtId="0" fontId="7" fillId="0" borderId="0" xfId="4" applyFont="1">
      <alignment vertical="top"/>
    </xf>
    <xf numFmtId="0" fontId="10" fillId="0" borderId="0" xfId="4" applyFont="1">
      <alignment vertical="top"/>
    </xf>
    <xf numFmtId="0" fontId="5" fillId="0" borderId="2" xfId="4" applyBorder="1">
      <alignment vertical="top"/>
    </xf>
    <xf numFmtId="49" fontId="8" fillId="5" borderId="1" xfId="5">
      <alignment vertical="top"/>
    </xf>
    <xf numFmtId="49" fontId="6" fillId="16" borderId="1" xfId="6">
      <alignment vertical="top"/>
    </xf>
    <xf numFmtId="0" fontId="7" fillId="0" borderId="2" xfId="4" applyFont="1" applyBorder="1" applyAlignment="1">
      <alignment horizontal="left" vertical="top" wrapText="1"/>
    </xf>
    <xf numFmtId="0" fontId="5" fillId="0" borderId="2" xfId="4" applyBorder="1" applyAlignment="1">
      <alignment horizontal="left" vertical="top" wrapText="1"/>
    </xf>
    <xf numFmtId="1" fontId="5" fillId="0" borderId="0" xfId="4" applyNumberFormat="1">
      <alignment vertical="top"/>
    </xf>
    <xf numFmtId="1" fontId="9" fillId="0" borderId="0" xfId="4" applyNumberFormat="1" applyFont="1">
      <alignment vertical="top"/>
    </xf>
    <xf numFmtId="0" fontId="12" fillId="0" borderId="0" xfId="4" applyFont="1">
      <alignment vertical="top"/>
    </xf>
    <xf numFmtId="0" fontId="8" fillId="5" borderId="1" xfId="5" applyNumberFormat="1">
      <alignment vertical="top"/>
    </xf>
    <xf numFmtId="0" fontId="14" fillId="0" borderId="0" xfId="4" applyFont="1">
      <alignment vertical="top"/>
    </xf>
    <xf numFmtId="49" fontId="13" fillId="5" borderId="2" xfId="5" applyFont="1" applyBorder="1">
      <alignment vertical="top"/>
    </xf>
    <xf numFmtId="0" fontId="5" fillId="11" borderId="0" xfId="4" applyFill="1">
      <alignment vertical="top"/>
    </xf>
    <xf numFmtId="49" fontId="7" fillId="16" borderId="0" xfId="6" applyFont="1" applyBorder="1">
      <alignment vertical="top"/>
    </xf>
    <xf numFmtId="49" fontId="5" fillId="16" borderId="2" xfId="6" applyFont="1" applyBorder="1">
      <alignment vertical="top"/>
    </xf>
    <xf numFmtId="0" fontId="5" fillId="0" borderId="0" xfId="4" quotePrefix="1">
      <alignment vertical="top"/>
    </xf>
    <xf numFmtId="49" fontId="10" fillId="0" borderId="0" xfId="14">
      <alignment vertical="top"/>
    </xf>
    <xf numFmtId="49" fontId="6" fillId="0" borderId="0" xfId="7">
      <alignment vertical="top"/>
    </xf>
    <xf numFmtId="49" fontId="9" fillId="0" borderId="0" xfId="15">
      <alignment vertical="top"/>
    </xf>
    <xf numFmtId="41" fontId="5" fillId="9" borderId="0" xfId="8">
      <alignment vertical="top"/>
    </xf>
    <xf numFmtId="9" fontId="5" fillId="0" borderId="0" xfId="4" applyNumberFormat="1">
      <alignment vertical="top"/>
    </xf>
    <xf numFmtId="41" fontId="5" fillId="7" borderId="0" xfId="10">
      <alignment vertical="top"/>
    </xf>
    <xf numFmtId="41" fontId="5" fillId="6" borderId="0" xfId="12">
      <alignment vertical="top"/>
    </xf>
    <xf numFmtId="41" fontId="5" fillId="43" borderId="0" xfId="11">
      <alignment vertical="top"/>
    </xf>
    <xf numFmtId="41" fontId="5" fillId="43" borderId="2" xfId="11" applyBorder="1">
      <alignment vertical="top"/>
    </xf>
    <xf numFmtId="43" fontId="12" fillId="0" borderId="0" xfId="63" applyFont="1" applyFill="1">
      <alignment vertical="top"/>
    </xf>
    <xf numFmtId="10" fontId="5" fillId="0" borderId="0" xfId="64">
      <alignment vertical="top"/>
    </xf>
    <xf numFmtId="41" fontId="5" fillId="42" borderId="0" xfId="65">
      <alignment vertical="top"/>
    </xf>
    <xf numFmtId="41" fontId="5" fillId="10" borderId="0" xfId="13">
      <alignment vertical="top"/>
    </xf>
    <xf numFmtId="41" fontId="5" fillId="8" borderId="0" xfId="9">
      <alignment vertical="top"/>
    </xf>
    <xf numFmtId="0" fontId="9" fillId="11" borderId="0" xfId="4" applyFont="1" applyFill="1">
      <alignment vertical="top"/>
    </xf>
    <xf numFmtId="49" fontId="5" fillId="0" borderId="0" xfId="7" applyFont="1">
      <alignment vertical="top"/>
    </xf>
    <xf numFmtId="0" fontId="5" fillId="41" borderId="0" xfId="62" applyNumberFormat="1">
      <alignment vertical="top"/>
    </xf>
    <xf numFmtId="0" fontId="6" fillId="0" borderId="0" xfId="4" applyFont="1" applyAlignment="1">
      <alignment horizontal="center" vertical="top"/>
    </xf>
    <xf numFmtId="0" fontId="5" fillId="0" borderId="12" xfId="4" applyBorder="1">
      <alignment vertical="top"/>
    </xf>
    <xf numFmtId="0" fontId="5" fillId="0" borderId="13" xfId="4" applyBorder="1">
      <alignment vertical="top"/>
    </xf>
    <xf numFmtId="0" fontId="5" fillId="0" borderId="14" xfId="4" applyBorder="1">
      <alignment vertical="top"/>
    </xf>
    <xf numFmtId="0" fontId="5" fillId="0" borderId="15" xfId="4" applyBorder="1">
      <alignment vertical="top"/>
    </xf>
    <xf numFmtId="0" fontId="5" fillId="0" borderId="16" xfId="4" applyBorder="1">
      <alignment vertical="top"/>
    </xf>
    <xf numFmtId="0" fontId="5" fillId="0" borderId="17" xfId="4" applyBorder="1">
      <alignment vertical="top"/>
    </xf>
    <xf numFmtId="0" fontId="5" fillId="0" borderId="18" xfId="4" applyBorder="1">
      <alignment vertical="top"/>
    </xf>
    <xf numFmtId="0" fontId="5" fillId="0" borderId="19" xfId="4" applyBorder="1">
      <alignment vertical="top"/>
    </xf>
    <xf numFmtId="41" fontId="5" fillId="43" borderId="0" xfId="11" applyAlignment="1">
      <alignment horizontal="center" vertical="top"/>
    </xf>
    <xf numFmtId="41" fontId="5" fillId="8" borderId="0" xfId="9" applyAlignment="1">
      <alignment horizontal="center" vertical="top"/>
    </xf>
    <xf numFmtId="41" fontId="5" fillId="9" borderId="0" xfId="8" applyAlignment="1">
      <alignment horizontal="center" vertical="top"/>
    </xf>
    <xf numFmtId="41" fontId="5" fillId="42" borderId="0" xfId="65" applyAlignment="1">
      <alignment horizontal="center" vertical="top"/>
    </xf>
    <xf numFmtId="41" fontId="5" fillId="41" borderId="0" xfId="62" applyNumberFormat="1">
      <alignment vertical="top"/>
    </xf>
    <xf numFmtId="49" fontId="6" fillId="16" borderId="1" xfId="6" applyAlignment="1">
      <alignment vertical="top" wrapText="1"/>
    </xf>
    <xf numFmtId="164" fontId="5" fillId="42" borderId="0" xfId="65" applyNumberFormat="1">
      <alignment vertical="top"/>
    </xf>
    <xf numFmtId="164" fontId="5" fillId="0" borderId="0" xfId="4" applyNumberFormat="1">
      <alignment vertical="top"/>
    </xf>
    <xf numFmtId="0" fontId="6" fillId="16" borderId="1" xfId="6" applyNumberFormat="1" applyAlignment="1">
      <alignment horizontal="left" vertical="top"/>
    </xf>
    <xf numFmtId="10" fontId="5" fillId="43" borderId="0" xfId="11" applyNumberFormat="1">
      <alignment vertical="top"/>
    </xf>
    <xf numFmtId="165" fontId="5" fillId="43" borderId="0" xfId="11" applyNumberFormat="1">
      <alignment vertical="top"/>
    </xf>
    <xf numFmtId="164" fontId="5" fillId="43" borderId="0" xfId="11" applyNumberFormat="1">
      <alignment vertical="top"/>
    </xf>
    <xf numFmtId="9" fontId="5" fillId="43" borderId="0" xfId="11" applyNumberFormat="1">
      <alignment vertical="top"/>
    </xf>
    <xf numFmtId="165" fontId="5" fillId="10" borderId="0" xfId="13" applyNumberFormat="1">
      <alignment vertical="top"/>
    </xf>
    <xf numFmtId="166" fontId="5" fillId="8" borderId="0" xfId="9" applyNumberFormat="1">
      <alignment vertical="top"/>
    </xf>
    <xf numFmtId="10" fontId="5" fillId="8" borderId="0" xfId="9" applyNumberFormat="1">
      <alignment vertical="top"/>
    </xf>
    <xf numFmtId="1" fontId="5" fillId="0" borderId="0" xfId="4" applyNumberFormat="1" applyAlignment="1">
      <alignment horizontal="left" vertical="top"/>
    </xf>
    <xf numFmtId="10" fontId="5" fillId="10" borderId="0" xfId="13" applyNumberFormat="1">
      <alignment vertical="top"/>
    </xf>
    <xf numFmtId="166" fontId="5" fillId="10" borderId="0" xfId="13" applyNumberFormat="1">
      <alignment vertical="top"/>
    </xf>
    <xf numFmtId="164" fontId="5" fillId="10" borderId="0" xfId="13" applyNumberFormat="1">
      <alignment vertical="top"/>
    </xf>
    <xf numFmtId="0" fontId="5" fillId="0" borderId="0" xfId="4" applyAlignment="1">
      <alignment vertical="top" wrapText="1"/>
    </xf>
    <xf numFmtId="9" fontId="5" fillId="10" borderId="0" xfId="13" applyNumberFormat="1">
      <alignment vertical="top"/>
    </xf>
    <xf numFmtId="164" fontId="5" fillId="7" borderId="0" xfId="10" applyNumberFormat="1">
      <alignment vertical="top"/>
    </xf>
    <xf numFmtId="164" fontId="5" fillId="8" borderId="0" xfId="9" applyNumberFormat="1">
      <alignment vertical="top"/>
    </xf>
    <xf numFmtId="164" fontId="5" fillId="9" borderId="0" xfId="8" applyNumberFormat="1">
      <alignment vertical="top"/>
    </xf>
    <xf numFmtId="10" fontId="5" fillId="43" borderId="0" xfId="64" applyFill="1">
      <alignment vertical="top"/>
    </xf>
    <xf numFmtId="165" fontId="5" fillId="43" borderId="0" xfId="64" applyNumberFormat="1" applyFill="1">
      <alignment vertical="top"/>
    </xf>
    <xf numFmtId="10" fontId="5" fillId="10" borderId="0" xfId="64" applyFill="1">
      <alignment vertical="top"/>
    </xf>
    <xf numFmtId="10" fontId="5" fillId="0" borderId="0" xfId="4" applyNumberFormat="1">
      <alignment vertical="top"/>
    </xf>
    <xf numFmtId="41" fontId="5" fillId="0" borderId="0" xfId="4" applyNumberFormat="1">
      <alignment vertical="top"/>
    </xf>
    <xf numFmtId="10" fontId="5" fillId="8" borderId="0" xfId="64" applyFill="1">
      <alignment vertical="top"/>
    </xf>
    <xf numFmtId="1" fontId="6" fillId="16" borderId="1" xfId="6" applyNumberFormat="1" applyAlignment="1">
      <alignment horizontal="left" vertical="top"/>
    </xf>
    <xf numFmtId="10" fontId="5" fillId="43" borderId="0" xfId="64" applyFont="1" applyFill="1">
      <alignment vertical="top"/>
    </xf>
    <xf numFmtId="0" fontId="6" fillId="16" borderId="1" xfId="6" applyNumberFormat="1">
      <alignment vertical="top"/>
    </xf>
    <xf numFmtId="167" fontId="5" fillId="10" borderId="0" xfId="13" applyNumberFormat="1">
      <alignment vertical="top"/>
    </xf>
    <xf numFmtId="0" fontId="5" fillId="0" borderId="0" xfId="4" applyAlignment="1">
      <alignment horizontal="left" vertical="top"/>
    </xf>
    <xf numFmtId="168" fontId="5" fillId="10" borderId="0" xfId="13" applyNumberFormat="1">
      <alignment vertical="top"/>
    </xf>
    <xf numFmtId="0" fontId="5" fillId="16" borderId="0" xfId="4" applyFill="1" applyAlignment="1">
      <alignment vertical="center"/>
    </xf>
    <xf numFmtId="49" fontId="6" fillId="16" borderId="0" xfId="7" applyFill="1">
      <alignment vertical="top"/>
    </xf>
    <xf numFmtId="0" fontId="5" fillId="16" borderId="0" xfId="4" applyFill="1" applyAlignment="1">
      <alignment vertical="center" wrapText="1"/>
    </xf>
    <xf numFmtId="3" fontId="5" fillId="0" borderId="0" xfId="4" applyNumberFormat="1">
      <alignment vertical="top"/>
    </xf>
    <xf numFmtId="0" fontId="5" fillId="0" borderId="0" xfId="4" applyAlignment="1">
      <alignment horizontal="left" vertical="top" wrapText="1"/>
    </xf>
    <xf numFmtId="49" fontId="21" fillId="0" borderId="2" xfId="61" applyBorder="1" applyAlignment="1">
      <alignment vertical="top"/>
    </xf>
    <xf numFmtId="41" fontId="9" fillId="8" borderId="0" xfId="9" applyFont="1" applyAlignment="1">
      <alignment horizontal="center" vertical="top"/>
    </xf>
    <xf numFmtId="169" fontId="5" fillId="0" borderId="0" xfId="4" applyNumberFormat="1">
      <alignment vertical="top"/>
    </xf>
    <xf numFmtId="0" fontId="31" fillId="0" borderId="0" xfId="0" applyFont="1">
      <alignment vertical="top"/>
    </xf>
    <xf numFmtId="41" fontId="5" fillId="44" borderId="0" xfId="8" applyFill="1">
      <alignment vertical="top"/>
    </xf>
    <xf numFmtId="41" fontId="5" fillId="44" borderId="0" xfId="11" applyFill="1">
      <alignment vertical="top"/>
    </xf>
    <xf numFmtId="41" fontId="5" fillId="44" borderId="0" xfId="66">
      <alignment vertical="top"/>
    </xf>
    <xf numFmtId="0" fontId="5" fillId="44" borderId="0" xfId="66" applyNumberFormat="1">
      <alignment vertical="top"/>
    </xf>
    <xf numFmtId="41" fontId="5" fillId="44" borderId="0" xfId="11" applyFill="1" applyAlignment="1">
      <alignment horizontal="center" vertical="top"/>
    </xf>
    <xf numFmtId="10" fontId="5" fillId="41" borderId="0" xfId="62" applyNumberFormat="1">
      <alignment vertical="top"/>
    </xf>
    <xf numFmtId="170" fontId="5" fillId="10" borderId="0" xfId="63" applyNumberFormat="1" applyFill="1">
      <alignment vertical="top"/>
    </xf>
    <xf numFmtId="0" fontId="14" fillId="0" borderId="0" xfId="4" applyFont="1" applyAlignment="1">
      <alignment vertical="top" wrapText="1"/>
    </xf>
    <xf numFmtId="3" fontId="0" fillId="0" borderId="0" xfId="0" applyNumberFormat="1">
      <alignment vertical="top"/>
    </xf>
    <xf numFmtId="165" fontId="5" fillId="10" borderId="0" xfId="64" applyNumberFormat="1" applyFill="1">
      <alignment vertical="top"/>
    </xf>
    <xf numFmtId="41" fontId="5" fillId="10" borderId="0" xfId="64" applyNumberFormat="1" applyFill="1">
      <alignment vertical="top"/>
    </xf>
    <xf numFmtId="0" fontId="5" fillId="0" borderId="2" xfId="4" applyBorder="1" applyAlignment="1">
      <alignment vertical="top" wrapText="1"/>
    </xf>
    <xf numFmtId="14" fontId="5" fillId="0" borderId="0" xfId="4" applyNumberFormat="1" applyAlignment="1">
      <alignment horizontal="left" vertical="top" wrapText="1"/>
    </xf>
    <xf numFmtId="165" fontId="5" fillId="0" borderId="0" xfId="4" applyNumberFormat="1" applyAlignment="1">
      <alignment horizontal="right" vertical="top"/>
    </xf>
    <xf numFmtId="10" fontId="5" fillId="7" borderId="0" xfId="10" applyNumberFormat="1">
      <alignment vertical="top"/>
    </xf>
    <xf numFmtId="49" fontId="6" fillId="16" borderId="1" xfId="6" applyAlignment="1">
      <alignment horizontal="left" vertical="top" wrapText="1"/>
    </xf>
    <xf numFmtId="14" fontId="5" fillId="0" borderId="0" xfId="4" applyNumberFormat="1" applyAlignment="1">
      <alignment horizontal="left" vertical="top"/>
    </xf>
    <xf numFmtId="0" fontId="8" fillId="5" borderId="1" xfId="5" applyNumberFormat="1" applyAlignment="1">
      <alignment horizontal="left" vertical="top"/>
    </xf>
    <xf numFmtId="0" fontId="5" fillId="0" borderId="0" xfId="4" applyAlignment="1">
      <alignment horizontal="right" vertical="top"/>
    </xf>
    <xf numFmtId="0" fontId="5" fillId="45" borderId="0" xfId="4" applyFill="1">
      <alignment vertical="top"/>
    </xf>
    <xf numFmtId="171" fontId="5" fillId="0" borderId="0" xfId="4" applyNumberFormat="1">
      <alignment vertical="top"/>
    </xf>
    <xf numFmtId="49" fontId="6" fillId="0" borderId="0" xfId="6" applyFill="1" applyBorder="1" applyAlignment="1"/>
    <xf numFmtId="171" fontId="5" fillId="8" borderId="0" xfId="4" applyNumberFormat="1" applyFill="1">
      <alignment vertical="top"/>
    </xf>
    <xf numFmtId="49" fontId="6" fillId="16" borderId="20" xfId="6" applyBorder="1">
      <alignment vertical="top"/>
    </xf>
    <xf numFmtId="0" fontId="6" fillId="16" borderId="20" xfId="6" applyNumberFormat="1" applyBorder="1">
      <alignment vertical="top"/>
    </xf>
    <xf numFmtId="49" fontId="6" fillId="16" borderId="20" xfId="6" applyBorder="1" applyAlignment="1">
      <alignment horizontal="left" vertical="top"/>
    </xf>
    <xf numFmtId="49" fontId="6" fillId="16" borderId="21" xfId="6" applyBorder="1">
      <alignment vertical="top"/>
    </xf>
    <xf numFmtId="49" fontId="6" fillId="16" borderId="22" xfId="6" applyBorder="1">
      <alignment vertical="top"/>
    </xf>
    <xf numFmtId="49" fontId="6" fillId="16" borderId="23" xfId="6" applyBorder="1">
      <alignment vertical="top"/>
    </xf>
    <xf numFmtId="171" fontId="5" fillId="8" borderId="0" xfId="63" applyNumberFormat="1" applyFill="1">
      <alignment vertical="top"/>
    </xf>
    <xf numFmtId="168" fontId="5" fillId="8" borderId="0" xfId="9" applyNumberFormat="1">
      <alignment vertical="top"/>
    </xf>
    <xf numFmtId="171" fontId="5" fillId="10" borderId="0" xfId="63" applyNumberFormat="1" applyFill="1">
      <alignment vertical="top"/>
    </xf>
    <xf numFmtId="0" fontId="5" fillId="10" borderId="0" xfId="4" applyFill="1">
      <alignment vertical="top"/>
    </xf>
    <xf numFmtId="49" fontId="6" fillId="0" borderId="0" xfId="6" applyFill="1" applyBorder="1" applyAlignment="1">
      <alignment horizontal="left"/>
    </xf>
    <xf numFmtId="49" fontId="6" fillId="0" borderId="0" xfId="6" applyFill="1" applyBorder="1" applyAlignment="1">
      <alignment horizontal="center"/>
    </xf>
    <xf numFmtId="49" fontId="6" fillId="16" borderId="20" xfId="6" applyBorder="1" applyAlignment="1"/>
    <xf numFmtId="0" fontId="6" fillId="16" borderId="20" xfId="6" applyNumberFormat="1" applyBorder="1" applyAlignment="1"/>
    <xf numFmtId="49" fontId="6" fillId="16" borderId="0" xfId="6" applyBorder="1">
      <alignment vertical="top"/>
    </xf>
    <xf numFmtId="0" fontId="5" fillId="46" borderId="0" xfId="4" applyFill="1">
      <alignment vertical="top"/>
    </xf>
    <xf numFmtId="10" fontId="5" fillId="45" borderId="0" xfId="64" applyFill="1">
      <alignment vertical="top"/>
    </xf>
    <xf numFmtId="10" fontId="1" fillId="10" borderId="0" xfId="64" applyFont="1" applyFill="1">
      <alignment vertical="top"/>
    </xf>
    <xf numFmtId="49" fontId="6" fillId="45" borderId="0" xfId="6" applyFill="1" applyBorder="1">
      <alignment vertical="top"/>
    </xf>
    <xf numFmtId="0" fontId="6" fillId="45" borderId="0" xfId="6" applyNumberFormat="1" applyFill="1" applyBorder="1">
      <alignment vertical="top"/>
    </xf>
    <xf numFmtId="0" fontId="6" fillId="45" borderId="0" xfId="6" applyNumberFormat="1" applyFill="1" applyBorder="1" applyAlignment="1">
      <alignment horizontal="right" vertical="top"/>
    </xf>
    <xf numFmtId="0" fontId="5" fillId="0" borderId="2" xfId="4" quotePrefix="1" applyBorder="1" applyAlignment="1">
      <alignment horizontal="left" vertical="top" wrapText="1"/>
    </xf>
    <xf numFmtId="0" fontId="1" fillId="0" borderId="0" xfId="4" applyFont="1">
      <alignment vertical="top"/>
    </xf>
    <xf numFmtId="49" fontId="5" fillId="16" borderId="0" xfId="6" applyFont="1" applyBorder="1" applyAlignment="1">
      <alignment horizontal="center" vertical="top" wrapText="1"/>
    </xf>
    <xf numFmtId="49" fontId="5" fillId="0" borderId="0" xfId="7" applyFont="1" applyAlignment="1">
      <alignment horizontal="right" vertical="top"/>
    </xf>
    <xf numFmtId="165" fontId="5" fillId="41" borderId="0" xfId="62" applyNumberFormat="1">
      <alignment vertical="top"/>
    </xf>
    <xf numFmtId="164" fontId="5" fillId="43" borderId="0" xfId="62" applyNumberFormat="1" applyFill="1">
      <alignment vertical="top"/>
    </xf>
    <xf numFmtId="166" fontId="5" fillId="41" borderId="0" xfId="62" applyNumberFormat="1">
      <alignment vertical="top"/>
    </xf>
    <xf numFmtId="49" fontId="6" fillId="16" borderId="20" xfId="6" applyBorder="1" applyAlignment="1">
      <alignment horizontal="center"/>
    </xf>
    <xf numFmtId="49" fontId="6" fillId="16" borderId="0" xfId="6" applyBorder="1" applyAlignment="1">
      <alignment horizontal="center" wrapText="1"/>
    </xf>
    <xf numFmtId="167" fontId="5" fillId="41" borderId="0" xfId="62" applyNumberFormat="1">
      <alignment vertical="top"/>
    </xf>
    <xf numFmtId="0" fontId="5" fillId="8" borderId="0" xfId="9" applyNumberFormat="1">
      <alignment vertical="top"/>
    </xf>
    <xf numFmtId="0" fontId="5" fillId="43" borderId="0" xfId="11" applyNumberFormat="1">
      <alignment vertical="top"/>
    </xf>
    <xf numFmtId="0" fontId="5" fillId="7" borderId="0" xfId="10" applyNumberFormat="1">
      <alignment vertical="top"/>
    </xf>
    <xf numFmtId="9" fontId="5" fillId="42" borderId="0" xfId="64" applyNumberFormat="1" applyFill="1">
      <alignment vertical="top"/>
    </xf>
    <xf numFmtId="49" fontId="32" fillId="0" borderId="2" xfId="61" applyFont="1" applyBorder="1" applyAlignment="1">
      <alignment vertical="top"/>
    </xf>
    <xf numFmtId="0" fontId="8" fillId="5" borderId="1" xfId="5" applyNumberFormat="1" applyAlignment="1">
      <alignment vertical="top" wrapText="1"/>
    </xf>
    <xf numFmtId="0" fontId="5" fillId="42" borderId="0" xfId="65" applyNumberFormat="1" applyAlignment="1">
      <alignment vertical="top" wrapText="1"/>
    </xf>
    <xf numFmtId="0" fontId="0" fillId="0" borderId="0" xfId="0" applyAlignment="1">
      <alignment vertical="top" wrapText="1"/>
    </xf>
    <xf numFmtId="41" fontId="5" fillId="42" borderId="0" xfId="68" applyNumberFormat="1">
      <alignment vertical="top"/>
    </xf>
    <xf numFmtId="42" fontId="5" fillId="44" borderId="0" xfId="66" applyNumberFormat="1">
      <alignment vertical="top"/>
    </xf>
    <xf numFmtId="49" fontId="10" fillId="16" borderId="1" xfId="6" applyFont="1" applyAlignment="1">
      <alignment vertical="top" wrapText="1"/>
    </xf>
    <xf numFmtId="41" fontId="5" fillId="47" borderId="0" xfId="11" applyFill="1">
      <alignment vertical="top"/>
    </xf>
    <xf numFmtId="41" fontId="5" fillId="47" borderId="0" xfId="66" applyFill="1">
      <alignment vertical="top"/>
    </xf>
    <xf numFmtId="0" fontId="5" fillId="48" borderId="0" xfId="4" applyFill="1">
      <alignment vertical="top"/>
    </xf>
    <xf numFmtId="41" fontId="5" fillId="10" borderId="0" xfId="13" quotePrefix="1">
      <alignment vertical="top"/>
    </xf>
    <xf numFmtId="41" fontId="5" fillId="8" borderId="0" xfId="9" quotePrefix="1">
      <alignment vertical="top"/>
    </xf>
    <xf numFmtId="14" fontId="5" fillId="0" borderId="2" xfId="4" applyNumberFormat="1" applyBorder="1" applyAlignment="1">
      <alignment horizontal="left" vertical="top" wrapText="1"/>
    </xf>
    <xf numFmtId="0" fontId="5" fillId="0" borderId="0" xfId="4" applyAlignment="1">
      <alignment horizontal="left" vertical="top" wrapText="1"/>
    </xf>
    <xf numFmtId="0" fontId="7" fillId="0" borderId="0" xfId="4" applyFont="1" applyAlignment="1">
      <alignment horizontal="left" vertical="top" wrapText="1"/>
    </xf>
    <xf numFmtId="49" fontId="5" fillId="0" borderId="0" xfId="15" applyFont="1" applyAlignment="1">
      <alignment horizontal="left" vertical="top"/>
    </xf>
    <xf numFmtId="0" fontId="5" fillId="0" borderId="0" xfId="4" applyAlignment="1">
      <alignment vertical="top" wrapText="1"/>
    </xf>
    <xf numFmtId="49" fontId="5" fillId="0" borderId="0" xfId="15" quotePrefix="1" applyFont="1" applyAlignment="1">
      <alignment horizontal="left" vertical="top" wrapText="1"/>
    </xf>
    <xf numFmtId="49" fontId="5" fillId="0" borderId="0" xfId="15" applyFont="1" applyAlignment="1">
      <alignment horizontal="left" vertical="top" wrapText="1"/>
    </xf>
    <xf numFmtId="0" fontId="5" fillId="0" borderId="0" xfId="4" quotePrefix="1" applyAlignment="1">
      <alignment vertical="top" wrapText="1"/>
    </xf>
    <xf numFmtId="0" fontId="0" fillId="0" borderId="0" xfId="0" applyAlignment="1">
      <alignment horizontal="left" vertical="top" wrapText="1"/>
    </xf>
    <xf numFmtId="0" fontId="5" fillId="0" borderId="0" xfId="4" quotePrefix="1" applyAlignment="1">
      <alignment horizontal="left" vertical="top" wrapText="1"/>
    </xf>
    <xf numFmtId="49" fontId="6" fillId="16" borderId="0" xfId="6" applyBorder="1" applyAlignment="1">
      <alignment horizontal="center" vertical="top" wrapText="1"/>
    </xf>
    <xf numFmtId="49" fontId="6" fillId="16" borderId="20" xfId="6" applyBorder="1" applyAlignment="1">
      <alignment horizontal="center" vertical="top" wrapText="1"/>
    </xf>
    <xf numFmtId="49" fontId="5" fillId="16" borderId="0" xfId="6" applyFont="1" applyBorder="1" applyAlignment="1">
      <alignment horizontal="center" vertical="top" wrapText="1"/>
    </xf>
    <xf numFmtId="49" fontId="5" fillId="16" borderId="20" xfId="6" applyFont="1" applyBorder="1" applyAlignment="1">
      <alignment horizontal="center" vertical="top" wrapText="1"/>
    </xf>
    <xf numFmtId="0" fontId="9" fillId="0" borderId="0" xfId="4" applyFont="1" applyAlignment="1">
      <alignment horizontal="left" vertical="top" wrapText="1"/>
    </xf>
    <xf numFmtId="0" fontId="9" fillId="0" borderId="0" xfId="4" applyFont="1" applyAlignment="1">
      <alignment horizontal="left" vertical="top"/>
    </xf>
    <xf numFmtId="49" fontId="6" fillId="16" borderId="0" xfId="6" applyBorder="1" applyAlignment="1">
      <alignment horizontal="center"/>
    </xf>
    <xf numFmtId="49" fontId="6" fillId="16" borderId="20" xfId="6" applyBorder="1" applyAlignment="1">
      <alignment horizontal="center"/>
    </xf>
    <xf numFmtId="49" fontId="6" fillId="16" borderId="0" xfId="6" applyBorder="1" applyAlignment="1">
      <alignment horizontal="center" wrapText="1"/>
    </xf>
    <xf numFmtId="49" fontId="6" fillId="16" borderId="20" xfId="6" applyBorder="1" applyAlignment="1">
      <alignment horizontal="center" wrapText="1"/>
    </xf>
  </cellXfs>
  <cellStyles count="69">
    <cellStyle name="_kop1 Bladtitel" xfId="5" xr:uid="{00000000-0005-0000-0000-000000000000}"/>
    <cellStyle name="_kop2 Bloktitel" xfId="6" xr:uid="{00000000-0005-0000-0000-000001000000}"/>
    <cellStyle name="_kop3 Subkop" xfId="7" xr:uid="{00000000-0005-0000-0000-000002000000}"/>
    <cellStyle name="20% - Accent1" xfId="37" builtinId="30" hidden="1"/>
    <cellStyle name="20% - Accent2" xfId="41" builtinId="34" hidden="1"/>
    <cellStyle name="20% - Accent3" xfId="45" builtinId="38" hidden="1"/>
    <cellStyle name="20% - Accent4" xfId="49" builtinId="42" hidden="1"/>
    <cellStyle name="20% - Accent5" xfId="53" builtinId="46" hidden="1"/>
    <cellStyle name="20% - Accent6" xfId="57" builtinId="50" hidden="1"/>
    <cellStyle name="40% - Accent1" xfId="38" builtinId="31" hidden="1"/>
    <cellStyle name="40% - Accent2" xfId="42" builtinId="35" hidden="1"/>
    <cellStyle name="40% - Accent3" xfId="46" builtinId="39" hidden="1"/>
    <cellStyle name="40% - Accent4" xfId="50" builtinId="43" hidden="1"/>
    <cellStyle name="40% - Accent5" xfId="54" builtinId="47" hidden="1"/>
    <cellStyle name="40% - Accent6" xfId="58" builtinId="51" hidden="1"/>
    <cellStyle name="60% - Accent1" xfId="39" builtinId="32" hidden="1"/>
    <cellStyle name="60% - Accent2" xfId="43" builtinId="36" hidden="1"/>
    <cellStyle name="60% - Accent3" xfId="47" builtinId="40" hidden="1"/>
    <cellStyle name="60% - Accent4" xfId="51" builtinId="44" hidden="1"/>
    <cellStyle name="60% - Accent5" xfId="55" builtinId="48" hidden="1"/>
    <cellStyle name="60% - Accent6" xfId="59" builtinId="52" hidden="1"/>
    <cellStyle name="Accent1" xfId="36" builtinId="29" hidden="1"/>
    <cellStyle name="Accent2" xfId="40" builtinId="33" hidden="1"/>
    <cellStyle name="Accent3" xfId="44" builtinId="37" hidden="1"/>
    <cellStyle name="Accent4" xfId="48" builtinId="41" hidden="1"/>
    <cellStyle name="Accent5" xfId="52" builtinId="45" hidden="1"/>
    <cellStyle name="Accent6" xfId="56" builtinId="49" hidden="1"/>
    <cellStyle name="Berekening" xfId="18" builtinId="22" hidden="1"/>
    <cellStyle name="Cel (tussen)resultaat" xfId="8" xr:uid="{00000000-0005-0000-0000-00001C000000}"/>
    <cellStyle name="Cel Berekening" xfId="9" xr:uid="{00000000-0005-0000-0000-00001D000000}"/>
    <cellStyle name="Cel Bijzonderheid" xfId="10" xr:uid="{00000000-0005-0000-0000-00001E000000}"/>
    <cellStyle name="Cel Dataverzoek" xfId="65" xr:uid="{00000000-0005-0000-0000-00001F000000}"/>
    <cellStyle name="Cel Input" xfId="11" xr:uid="{00000000-0005-0000-0000-000020000000}"/>
    <cellStyle name="Cel Input 2" xfId="67" xr:uid="{FCEDD0FD-D1F2-4B12-9163-9AC8B73F39A9}"/>
    <cellStyle name="Cel Input Data" xfId="68" xr:uid="{FFF35DE1-F4A8-4404-8B59-8565C4990BFA}"/>
    <cellStyle name="Cel input database" xfId="66" xr:uid="{0B0C58B0-EFC5-465C-904B-A06F056A73C6}"/>
    <cellStyle name="Cel n.v.t. (leeg)" xfId="62" xr:uid="{00000000-0005-0000-0000-000021000000}"/>
    <cellStyle name="Cel PM extern" xfId="12" xr:uid="{00000000-0005-0000-0000-000022000000}"/>
    <cellStyle name="Cel Verwijzing" xfId="13" xr:uid="{00000000-0005-0000-0000-000023000000}"/>
    <cellStyle name="Controlecel" xfId="20" builtinId="23" hidden="1"/>
    <cellStyle name="Gekoppelde cel" xfId="19" builtinId="24" hidden="1"/>
    <cellStyle name="Gevolgde hyperlink" xfId="60" builtinId="9" hidden="1"/>
    <cellStyle name="Goed" xfId="1" builtinId="26" hidden="1"/>
    <cellStyle name="Hyperlink" xfId="22" builtinId="8" hidden="1"/>
    <cellStyle name="Hyperlink" xfId="61" builtinId="8" customBuiltin="1"/>
    <cellStyle name="Invoer" xfId="16" builtinId="20" hidden="1"/>
    <cellStyle name="Komma" xfId="23" builtinId="3" hidden="1"/>
    <cellStyle name="Komma" xfId="63" builtinId="3"/>
    <cellStyle name="Komma [0]" xfId="24" builtinId="6" hidden="1"/>
    <cellStyle name="Kop 1" xfId="29" builtinId="16" hidden="1"/>
    <cellStyle name="Kop 2" xfId="30" builtinId="17" hidden="1"/>
    <cellStyle name="Kop 3" xfId="31" builtinId="18" hidden="1"/>
    <cellStyle name="Kop 4" xfId="32" builtinId="19" hidden="1"/>
    <cellStyle name="Neutraal" xfId="3" builtinId="28" hidden="1"/>
    <cellStyle name="Notitie" xfId="21" builtinId="10" hidden="1"/>
    <cellStyle name="Ongeldig" xfId="2" builtinId="27" hidden="1"/>
    <cellStyle name="Opm. INTERN" xfId="14" xr:uid="{00000000-0005-0000-0000-000035000000}"/>
    <cellStyle name="Procent" xfId="27" builtinId="5" hidden="1"/>
    <cellStyle name="Procent" xfId="64" builtinId="5"/>
    <cellStyle name="Standaard" xfId="0" builtinId="0" customBuiltin="1"/>
    <cellStyle name="Standaard ACM-DE" xfId="4" xr:uid="{00000000-0005-0000-0000-000039000000}"/>
    <cellStyle name="Titel" xfId="28" builtinId="15" hidden="1"/>
    <cellStyle name="Toelichting" xfId="15" xr:uid="{00000000-0005-0000-0000-00003B000000}"/>
    <cellStyle name="Totaal" xfId="35" builtinId="25" hidden="1"/>
    <cellStyle name="Uitvoer" xfId="17" builtinId="21" hidden="1"/>
    <cellStyle name="Valuta" xfId="25" builtinId="4" hidden="1"/>
    <cellStyle name="Valuta [0]" xfId="26" builtinId="7" hidden="1"/>
    <cellStyle name="Verklarende tekst" xfId="34" builtinId="53" hidden="1"/>
    <cellStyle name="Waarschuwingstekst" xfId="33" builtinId="11" hidden="1"/>
  </cellStyles>
  <dxfs count="13">
    <dxf>
      <numFmt numFmtId="32" formatCode="_ &quot;€&quot;\ * #,##0_ ;_ &quot;€&quot;\ * \-#,##0_ ;_ &quot;€&quot;\ * &quot;-&quot;_ ;_ @_ "/>
    </dxf>
    <dxf>
      <numFmt numFmtId="32" formatCode="_ &quot;€&quot;\ * #,##0_ ;_ &quot;€&quot;\ * \-#,##0_ ;_ &quot;€&quot;\ * &quot;-&quot;_ ;_ @_ "/>
    </dxf>
    <dxf>
      <numFmt numFmtId="0" formatCode="General"/>
    </dxf>
    <dxf>
      <numFmt numFmtId="0" formatCode="General"/>
    </dxf>
    <dxf>
      <border outline="0">
        <top style="thin">
          <color indexed="64"/>
        </top>
      </border>
    </dxf>
    <dxf>
      <border outline="0">
        <bottom style="thin">
          <color indexed="64"/>
        </bottom>
      </border>
    </dxf>
    <dxf>
      <fill>
        <patternFill patternType="solid">
          <fgColor indexed="64"/>
          <bgColor theme="1"/>
        </patternFill>
      </fill>
    </dxf>
    <dxf>
      <numFmt numFmtId="0" formatCode="General"/>
    </dxf>
    <dxf>
      <numFmt numFmtId="0" formatCode="General"/>
    </dxf>
    <dxf>
      <numFmt numFmtId="0" formatCode="General"/>
    </dxf>
    <dxf>
      <numFmt numFmtId="0" formatCode="General"/>
    </dxf>
    <dxf>
      <numFmt numFmtId="0" formatCode="General"/>
    </dxf>
    <dxf>
      <alignment horizontal="general" vertical="top" textRotation="0" wrapText="1" indent="0" justifyLastLine="0" shrinkToFit="0" readingOrder="0"/>
    </dxf>
  </dxfs>
  <tableStyles count="0" defaultTableStyle="TableStyleMedium2" defaultPivotStyle="PivotStyleLight16"/>
  <colors>
    <mruColors>
      <color rgb="FF99FF99"/>
      <color rgb="FFE1FFE1"/>
      <color rgb="FFCCFFCC"/>
      <color rgb="FFFFFFCC"/>
      <color rgb="FF00B050"/>
      <color rgb="FFCCCCFF"/>
      <color rgb="FFCCC8D9"/>
      <color rgb="FFCCFF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2.xml"/><Relationship Id="rId40"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2</xdr:colOff>
      <xdr:row>33</xdr:row>
      <xdr:rowOff>91285</xdr:rowOff>
    </xdr:from>
    <xdr:to>
      <xdr:col>7</xdr:col>
      <xdr:colOff>1614002</xdr:colOff>
      <xdr:row>33</xdr:row>
      <xdr:rowOff>91285</xdr:rowOff>
    </xdr:to>
    <xdr:cxnSp macro="">
      <xdr:nvCxnSpPr>
        <xdr:cNvPr id="128" name="Rechte verbindingslijn met pijl 127">
          <a:extLst>
            <a:ext uri="{FF2B5EF4-FFF2-40B4-BE49-F238E27FC236}">
              <a16:creationId xmlns:a16="http://schemas.microsoft.com/office/drawing/2014/main" id="{9DF7DDCC-2E06-497E-B83C-78F718CAD8A2}"/>
            </a:ext>
          </a:extLst>
        </xdr:cNvPr>
        <xdr:cNvCxnSpPr/>
      </xdr:nvCxnSpPr>
      <xdr:spPr>
        <a:xfrm flipV="1">
          <a:off x="4168590" y="5492520"/>
          <a:ext cx="23760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1611051</xdr:colOff>
      <xdr:row>33</xdr:row>
      <xdr:rowOff>86591</xdr:rowOff>
    </xdr:from>
    <xdr:to>
      <xdr:col>9</xdr:col>
      <xdr:colOff>302786</xdr:colOff>
      <xdr:row>33</xdr:row>
      <xdr:rowOff>86591</xdr:rowOff>
    </xdr:to>
    <xdr:cxnSp macro="">
      <xdr:nvCxnSpPr>
        <xdr:cNvPr id="129" name="Rechte verbindingslijn met pijl 128">
          <a:extLst>
            <a:ext uri="{FF2B5EF4-FFF2-40B4-BE49-F238E27FC236}">
              <a16:creationId xmlns:a16="http://schemas.microsoft.com/office/drawing/2014/main" id="{107CA1C7-CE60-44A3-86B1-7B06BDA0F811}"/>
            </a:ext>
          </a:extLst>
        </xdr:cNvPr>
        <xdr:cNvCxnSpPr/>
      </xdr:nvCxnSpPr>
      <xdr:spPr>
        <a:xfrm flipV="1">
          <a:off x="6541639" y="5487826"/>
          <a:ext cx="7200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16</xdr:row>
      <xdr:rowOff>78442</xdr:rowOff>
    </xdr:from>
    <xdr:to>
      <xdr:col>5</xdr:col>
      <xdr:colOff>360000</xdr:colOff>
      <xdr:row>20</xdr:row>
      <xdr:rowOff>56869</xdr:rowOff>
    </xdr:to>
    <xdr:cxnSp macro="">
      <xdr:nvCxnSpPr>
        <xdr:cNvPr id="33" name="Rechte verbindingslijn met pijl 32">
          <a:extLst>
            <a:ext uri="{FF2B5EF4-FFF2-40B4-BE49-F238E27FC236}">
              <a16:creationId xmlns:a16="http://schemas.microsoft.com/office/drawing/2014/main" id="{84B283D2-EC22-4AE0-A55D-F09F0EA9B7AA}"/>
            </a:ext>
          </a:extLst>
        </xdr:cNvPr>
        <xdr:cNvCxnSpPr/>
      </xdr:nvCxnSpPr>
      <xdr:spPr>
        <a:xfrm>
          <a:off x="4168588" y="2655795"/>
          <a:ext cx="360000" cy="605956"/>
        </a:xfrm>
        <a:prstGeom prst="straightConnector1">
          <a:avLst/>
        </a:prstGeom>
        <a:ln cmpd="sng">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16</xdr:row>
      <xdr:rowOff>78441</xdr:rowOff>
    </xdr:from>
    <xdr:to>
      <xdr:col>9</xdr:col>
      <xdr:colOff>341735</xdr:colOff>
      <xdr:row>16</xdr:row>
      <xdr:rowOff>78441</xdr:rowOff>
    </xdr:to>
    <xdr:cxnSp macro="">
      <xdr:nvCxnSpPr>
        <xdr:cNvPr id="34" name="Rechte verbindingslijn met pijl 33">
          <a:extLst>
            <a:ext uri="{FF2B5EF4-FFF2-40B4-BE49-F238E27FC236}">
              <a16:creationId xmlns:a16="http://schemas.microsoft.com/office/drawing/2014/main" id="{5440E7F4-A6E1-4460-A02B-3665F25388CE}"/>
            </a:ext>
          </a:extLst>
        </xdr:cNvPr>
        <xdr:cNvCxnSpPr/>
      </xdr:nvCxnSpPr>
      <xdr:spPr>
        <a:xfrm>
          <a:off x="4168588" y="2655794"/>
          <a:ext cx="31320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16</xdr:row>
      <xdr:rowOff>134471</xdr:rowOff>
    </xdr:from>
    <xdr:to>
      <xdr:col>9</xdr:col>
      <xdr:colOff>360000</xdr:colOff>
      <xdr:row>20</xdr:row>
      <xdr:rowOff>112899</xdr:rowOff>
    </xdr:to>
    <xdr:cxnSp macro="">
      <xdr:nvCxnSpPr>
        <xdr:cNvPr id="36" name="Rechte verbindingslijn met pijl 35">
          <a:extLst>
            <a:ext uri="{FF2B5EF4-FFF2-40B4-BE49-F238E27FC236}">
              <a16:creationId xmlns:a16="http://schemas.microsoft.com/office/drawing/2014/main" id="{8102858E-1C0D-4241-AE59-7798065F37CE}"/>
            </a:ext>
          </a:extLst>
        </xdr:cNvPr>
        <xdr:cNvCxnSpPr/>
      </xdr:nvCxnSpPr>
      <xdr:spPr>
        <a:xfrm flipV="1">
          <a:off x="6958853" y="2711824"/>
          <a:ext cx="360000" cy="605957"/>
        </a:xfrm>
        <a:prstGeom prst="straightConnector1">
          <a:avLst/>
        </a:prstGeom>
        <a:ln cmpd="sng">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649941</xdr:colOff>
      <xdr:row>77</xdr:row>
      <xdr:rowOff>134471</xdr:rowOff>
    </xdr:from>
    <xdr:to>
      <xdr:col>14</xdr:col>
      <xdr:colOff>190500</xdr:colOff>
      <xdr:row>78</xdr:row>
      <xdr:rowOff>0</xdr:rowOff>
    </xdr:to>
    <xdr:cxnSp macro="">
      <xdr:nvCxnSpPr>
        <xdr:cNvPr id="61" name="Rechte verbindingslijn met pijl 60">
          <a:extLst>
            <a:ext uri="{FF2B5EF4-FFF2-40B4-BE49-F238E27FC236}">
              <a16:creationId xmlns:a16="http://schemas.microsoft.com/office/drawing/2014/main" id="{58F3076E-00FC-4AEF-8C68-9EC5667BBC3E}"/>
            </a:ext>
          </a:extLst>
        </xdr:cNvPr>
        <xdr:cNvCxnSpPr/>
      </xdr:nvCxnSpPr>
      <xdr:spPr>
        <a:xfrm flipV="1">
          <a:off x="1053353" y="12281647"/>
          <a:ext cx="9793941" cy="224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53</xdr:row>
      <xdr:rowOff>89647</xdr:rowOff>
    </xdr:from>
    <xdr:to>
      <xdr:col>9</xdr:col>
      <xdr:colOff>341735</xdr:colOff>
      <xdr:row>53</xdr:row>
      <xdr:rowOff>89647</xdr:rowOff>
    </xdr:to>
    <xdr:cxnSp macro="">
      <xdr:nvCxnSpPr>
        <xdr:cNvPr id="66" name="Rechte verbindingslijn met pijl 65">
          <a:extLst>
            <a:ext uri="{FF2B5EF4-FFF2-40B4-BE49-F238E27FC236}">
              <a16:creationId xmlns:a16="http://schemas.microsoft.com/office/drawing/2014/main" id="{C957556B-52A7-4E70-94EF-2A76AF6CB479}"/>
            </a:ext>
          </a:extLst>
        </xdr:cNvPr>
        <xdr:cNvCxnSpPr/>
      </xdr:nvCxnSpPr>
      <xdr:spPr>
        <a:xfrm>
          <a:off x="4168588" y="8001000"/>
          <a:ext cx="31320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1642290</xdr:colOff>
      <xdr:row>33</xdr:row>
      <xdr:rowOff>88678</xdr:rowOff>
    </xdr:from>
    <xdr:to>
      <xdr:col>9</xdr:col>
      <xdr:colOff>331839</xdr:colOff>
      <xdr:row>41</xdr:row>
      <xdr:rowOff>93619</xdr:rowOff>
    </xdr:to>
    <xdr:cxnSp macro="">
      <xdr:nvCxnSpPr>
        <xdr:cNvPr id="68" name="Rechte verbindingslijn met pijl 67">
          <a:extLst>
            <a:ext uri="{FF2B5EF4-FFF2-40B4-BE49-F238E27FC236}">
              <a16:creationId xmlns:a16="http://schemas.microsoft.com/office/drawing/2014/main" id="{209588EB-CA5C-43BD-BAA3-BE41FEDBDA87}"/>
            </a:ext>
          </a:extLst>
        </xdr:cNvPr>
        <xdr:cNvCxnSpPr/>
      </xdr:nvCxnSpPr>
      <xdr:spPr>
        <a:xfrm>
          <a:off x="6576705" y="5520251"/>
          <a:ext cx="720000" cy="1305917"/>
        </a:xfrm>
        <a:prstGeom prst="straightConnector1">
          <a:avLst/>
        </a:prstGeom>
        <a:ln cmpd="sng">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1636301</xdr:colOff>
      <xdr:row>33</xdr:row>
      <xdr:rowOff>76273</xdr:rowOff>
    </xdr:from>
    <xdr:to>
      <xdr:col>9</xdr:col>
      <xdr:colOff>328036</xdr:colOff>
      <xdr:row>37</xdr:row>
      <xdr:rowOff>54700</xdr:rowOff>
    </xdr:to>
    <xdr:cxnSp macro="">
      <xdr:nvCxnSpPr>
        <xdr:cNvPr id="69" name="Rechte verbindingslijn met pijl 68">
          <a:extLst>
            <a:ext uri="{FF2B5EF4-FFF2-40B4-BE49-F238E27FC236}">
              <a16:creationId xmlns:a16="http://schemas.microsoft.com/office/drawing/2014/main" id="{E655E6C2-8433-4925-92AA-7E2C7A26B457}"/>
            </a:ext>
          </a:extLst>
        </xdr:cNvPr>
        <xdr:cNvCxnSpPr/>
      </xdr:nvCxnSpPr>
      <xdr:spPr>
        <a:xfrm>
          <a:off x="6566889" y="5477508"/>
          <a:ext cx="720000" cy="605957"/>
        </a:xfrm>
        <a:prstGeom prst="straightConnector1">
          <a:avLst/>
        </a:prstGeom>
        <a:ln cmpd="sng">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376518</xdr:colOff>
      <xdr:row>50</xdr:row>
      <xdr:rowOff>40342</xdr:rowOff>
    </xdr:from>
    <xdr:to>
      <xdr:col>9</xdr:col>
      <xdr:colOff>337253</xdr:colOff>
      <xdr:row>50</xdr:row>
      <xdr:rowOff>40342</xdr:rowOff>
    </xdr:to>
    <xdr:cxnSp macro="">
      <xdr:nvCxnSpPr>
        <xdr:cNvPr id="73" name="Rechte verbindingslijn met pijl 72">
          <a:extLst>
            <a:ext uri="{FF2B5EF4-FFF2-40B4-BE49-F238E27FC236}">
              <a16:creationId xmlns:a16="http://schemas.microsoft.com/office/drawing/2014/main" id="{33CFFAA4-98AC-41D8-9316-FFE5A836D616}"/>
            </a:ext>
          </a:extLst>
        </xdr:cNvPr>
        <xdr:cNvCxnSpPr/>
      </xdr:nvCxnSpPr>
      <xdr:spPr>
        <a:xfrm>
          <a:off x="4164106" y="7794813"/>
          <a:ext cx="31320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2241</xdr:colOff>
      <xdr:row>73</xdr:row>
      <xdr:rowOff>80683</xdr:rowOff>
    </xdr:from>
    <xdr:to>
      <xdr:col>9</xdr:col>
      <xdr:colOff>343976</xdr:colOff>
      <xdr:row>73</xdr:row>
      <xdr:rowOff>80683</xdr:rowOff>
    </xdr:to>
    <xdr:cxnSp macro="">
      <xdr:nvCxnSpPr>
        <xdr:cNvPr id="74" name="Rechte verbindingslijn met pijl 73">
          <a:extLst>
            <a:ext uri="{FF2B5EF4-FFF2-40B4-BE49-F238E27FC236}">
              <a16:creationId xmlns:a16="http://schemas.microsoft.com/office/drawing/2014/main" id="{B719B692-6081-42B6-BFBC-C1AE152AC0E1}"/>
            </a:ext>
          </a:extLst>
        </xdr:cNvPr>
        <xdr:cNvCxnSpPr/>
      </xdr:nvCxnSpPr>
      <xdr:spPr>
        <a:xfrm>
          <a:off x="4170829" y="9247095"/>
          <a:ext cx="31320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8618</xdr:colOff>
      <xdr:row>73</xdr:row>
      <xdr:rowOff>86739</xdr:rowOff>
    </xdr:from>
    <xdr:to>
      <xdr:col>9</xdr:col>
      <xdr:colOff>246530</xdr:colOff>
      <xdr:row>79</xdr:row>
      <xdr:rowOff>134471</xdr:rowOff>
    </xdr:to>
    <xdr:cxnSp macro="">
      <xdr:nvCxnSpPr>
        <xdr:cNvPr id="75" name="Rechte verbindingslijn met pijl 74">
          <a:extLst>
            <a:ext uri="{FF2B5EF4-FFF2-40B4-BE49-F238E27FC236}">
              <a16:creationId xmlns:a16="http://schemas.microsoft.com/office/drawing/2014/main" id="{59F2E57E-187B-45DC-8288-89365A2F8DB2}"/>
            </a:ext>
          </a:extLst>
        </xdr:cNvPr>
        <xdr:cNvCxnSpPr/>
      </xdr:nvCxnSpPr>
      <xdr:spPr>
        <a:xfrm>
          <a:off x="4390118" y="11606386"/>
          <a:ext cx="3173853" cy="989026"/>
        </a:xfrm>
        <a:prstGeom prst="straightConnector1">
          <a:avLst/>
        </a:prstGeom>
        <a:ln cmpd="sng">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8618</xdr:colOff>
      <xdr:row>81</xdr:row>
      <xdr:rowOff>74039</xdr:rowOff>
    </xdr:from>
    <xdr:to>
      <xdr:col>9</xdr:col>
      <xdr:colOff>313765</xdr:colOff>
      <xdr:row>81</xdr:row>
      <xdr:rowOff>78441</xdr:rowOff>
    </xdr:to>
    <xdr:cxnSp macro="">
      <xdr:nvCxnSpPr>
        <xdr:cNvPr id="78" name="Rechte verbindingslijn met pijl 77">
          <a:extLst>
            <a:ext uri="{FF2B5EF4-FFF2-40B4-BE49-F238E27FC236}">
              <a16:creationId xmlns:a16="http://schemas.microsoft.com/office/drawing/2014/main" id="{676D736E-3DEF-4697-B4ED-C699E1C3847F}"/>
            </a:ext>
          </a:extLst>
        </xdr:cNvPr>
        <xdr:cNvCxnSpPr/>
      </xdr:nvCxnSpPr>
      <xdr:spPr>
        <a:xfrm>
          <a:off x="4390118" y="12848745"/>
          <a:ext cx="3241088" cy="4402"/>
        </a:xfrm>
        <a:prstGeom prst="straightConnector1">
          <a:avLst/>
        </a:prstGeom>
        <a:ln cmpd="sng">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123265</xdr:colOff>
      <xdr:row>79</xdr:row>
      <xdr:rowOff>112059</xdr:rowOff>
    </xdr:from>
    <xdr:to>
      <xdr:col>15</xdr:col>
      <xdr:colOff>291353</xdr:colOff>
      <xdr:row>81</xdr:row>
      <xdr:rowOff>83297</xdr:rowOff>
    </xdr:to>
    <xdr:cxnSp macro="">
      <xdr:nvCxnSpPr>
        <xdr:cNvPr id="79" name="Rechte verbindingslijn met pijl 78">
          <a:extLst>
            <a:ext uri="{FF2B5EF4-FFF2-40B4-BE49-F238E27FC236}">
              <a16:creationId xmlns:a16="http://schemas.microsoft.com/office/drawing/2014/main" id="{AC5600EB-42AD-4B39-9846-24D98EF0F941}"/>
            </a:ext>
          </a:extLst>
        </xdr:cNvPr>
        <xdr:cNvCxnSpPr/>
      </xdr:nvCxnSpPr>
      <xdr:spPr>
        <a:xfrm flipH="1">
          <a:off x="10376647" y="12573000"/>
          <a:ext cx="974912" cy="285003"/>
        </a:xfrm>
        <a:prstGeom prst="straightConnector1">
          <a:avLst/>
        </a:prstGeom>
        <a:ln cmpd="sng">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56030</xdr:colOff>
      <xdr:row>82</xdr:row>
      <xdr:rowOff>86472</xdr:rowOff>
    </xdr:from>
    <xdr:to>
      <xdr:col>14</xdr:col>
      <xdr:colOff>324971</xdr:colOff>
      <xdr:row>84</xdr:row>
      <xdr:rowOff>56029</xdr:rowOff>
    </xdr:to>
    <xdr:cxnSp macro="">
      <xdr:nvCxnSpPr>
        <xdr:cNvPr id="80" name="Rechte verbindingslijn met pijl 79">
          <a:extLst>
            <a:ext uri="{FF2B5EF4-FFF2-40B4-BE49-F238E27FC236}">
              <a16:creationId xmlns:a16="http://schemas.microsoft.com/office/drawing/2014/main" id="{145A06E2-E2B7-4891-BF80-5849B8CB4C36}"/>
            </a:ext>
          </a:extLst>
        </xdr:cNvPr>
        <xdr:cNvCxnSpPr/>
      </xdr:nvCxnSpPr>
      <xdr:spPr>
        <a:xfrm>
          <a:off x="10309412" y="13018060"/>
          <a:ext cx="672353" cy="28332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54429</xdr:colOff>
      <xdr:row>31</xdr:row>
      <xdr:rowOff>104027</xdr:rowOff>
    </xdr:from>
    <xdr:to>
      <xdr:col>13</xdr:col>
      <xdr:colOff>373743</xdr:colOff>
      <xdr:row>73</xdr:row>
      <xdr:rowOff>122463</xdr:rowOff>
    </xdr:to>
    <xdr:sp macro="" textlink="">
      <xdr:nvSpPr>
        <xdr:cNvPr id="27" name="Vierkante haak rechts 26">
          <a:extLst>
            <a:ext uri="{FF2B5EF4-FFF2-40B4-BE49-F238E27FC236}">
              <a16:creationId xmlns:a16="http://schemas.microsoft.com/office/drawing/2014/main" id="{D8F7EB9B-294C-43DF-ACB4-96A9A06D4A8F}"/>
            </a:ext>
          </a:extLst>
        </xdr:cNvPr>
        <xdr:cNvSpPr/>
      </xdr:nvSpPr>
      <xdr:spPr>
        <a:xfrm>
          <a:off x="10307811" y="5034615"/>
          <a:ext cx="319314" cy="6607495"/>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nl-NL" sz="1100"/>
        </a:p>
      </xdr:txBody>
    </xdr:sp>
    <xdr:clientData/>
  </xdr:twoCellAnchor>
  <xdr:twoCellAnchor>
    <xdr:from>
      <xdr:col>14</xdr:col>
      <xdr:colOff>10431</xdr:colOff>
      <xdr:row>39</xdr:row>
      <xdr:rowOff>64220</xdr:rowOff>
    </xdr:from>
    <xdr:to>
      <xdr:col>15</xdr:col>
      <xdr:colOff>448234</xdr:colOff>
      <xdr:row>60</xdr:row>
      <xdr:rowOff>134471</xdr:rowOff>
    </xdr:to>
    <xdr:cxnSp macro="">
      <xdr:nvCxnSpPr>
        <xdr:cNvPr id="29" name="Verbindingslijn: gebogen 28">
          <a:extLst>
            <a:ext uri="{FF2B5EF4-FFF2-40B4-BE49-F238E27FC236}">
              <a16:creationId xmlns:a16="http://schemas.microsoft.com/office/drawing/2014/main" id="{5D53F08D-1B97-4E30-9959-C6E0D069036F}"/>
            </a:ext>
          </a:extLst>
        </xdr:cNvPr>
        <xdr:cNvCxnSpPr/>
      </xdr:nvCxnSpPr>
      <xdr:spPr>
        <a:xfrm rot="16200000" flipH="1">
          <a:off x="9405443" y="7511649"/>
          <a:ext cx="3364780" cy="841215"/>
        </a:xfrm>
        <a:prstGeom prst="bentConnector3">
          <a:avLst>
            <a:gd name="adj1" fmla="val -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1277471</xdr:colOff>
      <xdr:row>30</xdr:row>
      <xdr:rowOff>78441</xdr:rowOff>
    </xdr:from>
    <xdr:to>
      <xdr:col>16</xdr:col>
      <xdr:colOff>1187823</xdr:colOff>
      <xdr:row>61</xdr:row>
      <xdr:rowOff>78441</xdr:rowOff>
    </xdr:to>
    <xdr:cxnSp macro="">
      <xdr:nvCxnSpPr>
        <xdr:cNvPr id="35" name="Verbindingslijn: gebogen 34">
          <a:extLst>
            <a:ext uri="{FF2B5EF4-FFF2-40B4-BE49-F238E27FC236}">
              <a16:creationId xmlns:a16="http://schemas.microsoft.com/office/drawing/2014/main" id="{696207DA-B0B1-4A59-97D8-07AD9F048435}"/>
            </a:ext>
          </a:extLst>
        </xdr:cNvPr>
        <xdr:cNvCxnSpPr/>
      </xdr:nvCxnSpPr>
      <xdr:spPr>
        <a:xfrm>
          <a:off x="3529853" y="4852147"/>
          <a:ext cx="9121588" cy="4863353"/>
        </a:xfrm>
        <a:prstGeom prst="bentConnector3">
          <a:avLst>
            <a:gd name="adj1" fmla="val 100105"/>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22412</xdr:colOff>
      <xdr:row>57</xdr:row>
      <xdr:rowOff>78442</xdr:rowOff>
    </xdr:from>
    <xdr:to>
      <xdr:col>9</xdr:col>
      <xdr:colOff>364147</xdr:colOff>
      <xdr:row>57</xdr:row>
      <xdr:rowOff>78442</xdr:rowOff>
    </xdr:to>
    <xdr:cxnSp macro="">
      <xdr:nvCxnSpPr>
        <xdr:cNvPr id="2" name="Rechte verbindingslijn met pijl 1">
          <a:extLst>
            <a:ext uri="{FF2B5EF4-FFF2-40B4-BE49-F238E27FC236}">
              <a16:creationId xmlns:a16="http://schemas.microsoft.com/office/drawing/2014/main" id="{E9176A01-BF95-43E4-870C-5EF9F59EC8A2}"/>
            </a:ext>
          </a:extLst>
        </xdr:cNvPr>
        <xdr:cNvCxnSpPr/>
      </xdr:nvCxnSpPr>
      <xdr:spPr>
        <a:xfrm>
          <a:off x="4191000" y="12225618"/>
          <a:ext cx="31320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22412</xdr:colOff>
      <xdr:row>69</xdr:row>
      <xdr:rowOff>67236</xdr:rowOff>
    </xdr:from>
    <xdr:to>
      <xdr:col>9</xdr:col>
      <xdr:colOff>364147</xdr:colOff>
      <xdr:row>69</xdr:row>
      <xdr:rowOff>67236</xdr:rowOff>
    </xdr:to>
    <xdr:cxnSp macro="">
      <xdr:nvCxnSpPr>
        <xdr:cNvPr id="3" name="Rechte verbindingslijn met pijl 2">
          <a:extLst>
            <a:ext uri="{FF2B5EF4-FFF2-40B4-BE49-F238E27FC236}">
              <a16:creationId xmlns:a16="http://schemas.microsoft.com/office/drawing/2014/main" id="{72657D7B-6881-4F98-BCEC-58C359955A42}"/>
            </a:ext>
          </a:extLst>
        </xdr:cNvPr>
        <xdr:cNvCxnSpPr/>
      </xdr:nvCxnSpPr>
      <xdr:spPr>
        <a:xfrm>
          <a:off x="4199805" y="10748843"/>
          <a:ext cx="3131199"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1639175</xdr:colOff>
      <xdr:row>33</xdr:row>
      <xdr:rowOff>89662</xdr:rowOff>
    </xdr:from>
    <xdr:to>
      <xdr:col>9</xdr:col>
      <xdr:colOff>330350</xdr:colOff>
      <xdr:row>45</xdr:row>
      <xdr:rowOff>118198</xdr:rowOff>
    </xdr:to>
    <xdr:cxnSp macro="">
      <xdr:nvCxnSpPr>
        <xdr:cNvPr id="9" name="Rechte verbindingslijn met pijl 8">
          <a:extLst>
            <a:ext uri="{FF2B5EF4-FFF2-40B4-BE49-F238E27FC236}">
              <a16:creationId xmlns:a16="http://schemas.microsoft.com/office/drawing/2014/main" id="{F50DF836-3F7B-4E93-8C41-258C91E7A046}"/>
            </a:ext>
          </a:extLst>
        </xdr:cNvPr>
        <xdr:cNvCxnSpPr/>
      </xdr:nvCxnSpPr>
      <xdr:spPr>
        <a:xfrm>
          <a:off x="6573125" y="5499862"/>
          <a:ext cx="720000" cy="1971636"/>
        </a:xfrm>
        <a:prstGeom prst="straightConnector1">
          <a:avLst/>
        </a:prstGeom>
        <a:ln cmpd="sng">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136071</xdr:colOff>
      <xdr:row>34</xdr:row>
      <xdr:rowOff>22412</xdr:rowOff>
    </xdr:from>
    <xdr:to>
      <xdr:col>9</xdr:col>
      <xdr:colOff>257735</xdr:colOff>
      <xdr:row>69</xdr:row>
      <xdr:rowOff>81643</xdr:rowOff>
    </xdr:to>
    <xdr:cxnSp macro="">
      <xdr:nvCxnSpPr>
        <xdr:cNvPr id="11" name="Rechte verbindingslijn met pijl 10">
          <a:extLst>
            <a:ext uri="{FF2B5EF4-FFF2-40B4-BE49-F238E27FC236}">
              <a16:creationId xmlns:a16="http://schemas.microsoft.com/office/drawing/2014/main" id="{7F86C74E-7584-471D-81F5-BF643AD62205}"/>
            </a:ext>
          </a:extLst>
        </xdr:cNvPr>
        <xdr:cNvCxnSpPr/>
      </xdr:nvCxnSpPr>
      <xdr:spPr>
        <a:xfrm flipV="1">
          <a:off x="4694464" y="5642162"/>
          <a:ext cx="2530128" cy="5121088"/>
        </a:xfrm>
        <a:prstGeom prst="straightConnector1">
          <a:avLst/>
        </a:prstGeom>
        <a:ln cmpd="sng">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27215</xdr:colOff>
      <xdr:row>61</xdr:row>
      <xdr:rowOff>95251</xdr:rowOff>
    </xdr:from>
    <xdr:to>
      <xdr:col>9</xdr:col>
      <xdr:colOff>368950</xdr:colOff>
      <xdr:row>61</xdr:row>
      <xdr:rowOff>95251</xdr:rowOff>
    </xdr:to>
    <xdr:cxnSp macro="">
      <xdr:nvCxnSpPr>
        <xdr:cNvPr id="5" name="Rechte verbindingslijn met pijl 4">
          <a:extLst>
            <a:ext uri="{FF2B5EF4-FFF2-40B4-BE49-F238E27FC236}">
              <a16:creationId xmlns:a16="http://schemas.microsoft.com/office/drawing/2014/main" id="{F9D2FE73-C806-4BDD-8A5E-4405D8CF5F0C}"/>
            </a:ext>
          </a:extLst>
        </xdr:cNvPr>
        <xdr:cNvCxnSpPr/>
      </xdr:nvCxnSpPr>
      <xdr:spPr>
        <a:xfrm>
          <a:off x="4204608" y="10123715"/>
          <a:ext cx="3131199"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796868</xdr:colOff>
      <xdr:row>57</xdr:row>
      <xdr:rowOff>83344</xdr:rowOff>
    </xdr:from>
    <xdr:to>
      <xdr:col>9</xdr:col>
      <xdr:colOff>347832</xdr:colOff>
      <xdr:row>60</xdr:row>
      <xdr:rowOff>148828</xdr:rowOff>
    </xdr:to>
    <xdr:cxnSp macro="">
      <xdr:nvCxnSpPr>
        <xdr:cNvPr id="6" name="Rechte verbindingslijn met pijl 5">
          <a:extLst>
            <a:ext uri="{FF2B5EF4-FFF2-40B4-BE49-F238E27FC236}">
              <a16:creationId xmlns:a16="http://schemas.microsoft.com/office/drawing/2014/main" id="{33191FFA-3C04-417D-8A04-0C517C6CEF83}"/>
            </a:ext>
          </a:extLst>
        </xdr:cNvPr>
        <xdr:cNvCxnSpPr/>
      </xdr:nvCxnSpPr>
      <xdr:spPr>
        <a:xfrm>
          <a:off x="5732009" y="9310688"/>
          <a:ext cx="1580979" cy="547687"/>
        </a:xfrm>
        <a:prstGeom prst="straightConnector1">
          <a:avLst/>
        </a:prstGeom>
        <a:ln cmpd="sng">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27215</xdr:colOff>
      <xdr:row>65</xdr:row>
      <xdr:rowOff>95251</xdr:rowOff>
    </xdr:from>
    <xdr:to>
      <xdr:col>9</xdr:col>
      <xdr:colOff>368950</xdr:colOff>
      <xdr:row>65</xdr:row>
      <xdr:rowOff>95251</xdr:rowOff>
    </xdr:to>
    <xdr:cxnSp macro="">
      <xdr:nvCxnSpPr>
        <xdr:cNvPr id="7" name="Rechte verbindingslijn met pijl 6">
          <a:extLst>
            <a:ext uri="{FF2B5EF4-FFF2-40B4-BE49-F238E27FC236}">
              <a16:creationId xmlns:a16="http://schemas.microsoft.com/office/drawing/2014/main" id="{9D45210D-9CB4-4AE6-BD20-19788B318A65}"/>
            </a:ext>
          </a:extLst>
        </xdr:cNvPr>
        <xdr:cNvCxnSpPr/>
      </xdr:nvCxnSpPr>
      <xdr:spPr>
        <a:xfrm>
          <a:off x="4412450" y="9769663"/>
          <a:ext cx="3277676"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728382</xdr:colOff>
      <xdr:row>66</xdr:row>
      <xdr:rowOff>30442</xdr:rowOff>
    </xdr:from>
    <xdr:to>
      <xdr:col>16</xdr:col>
      <xdr:colOff>736413</xdr:colOff>
      <xdr:row>75</xdr:row>
      <xdr:rowOff>145676</xdr:rowOff>
    </xdr:to>
    <xdr:cxnSp macro="">
      <xdr:nvCxnSpPr>
        <xdr:cNvPr id="20" name="Rechte verbindingslijn met pijl 19">
          <a:extLst>
            <a:ext uri="{FF2B5EF4-FFF2-40B4-BE49-F238E27FC236}">
              <a16:creationId xmlns:a16="http://schemas.microsoft.com/office/drawing/2014/main" id="{5579BABC-C190-4585-964B-DA3AE7A413E0}"/>
            </a:ext>
          </a:extLst>
        </xdr:cNvPr>
        <xdr:cNvCxnSpPr/>
      </xdr:nvCxnSpPr>
      <xdr:spPr>
        <a:xfrm flipH="1">
          <a:off x="12192000" y="10451913"/>
          <a:ext cx="8031" cy="15271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1288677</xdr:colOff>
      <xdr:row>30</xdr:row>
      <xdr:rowOff>100853</xdr:rowOff>
    </xdr:from>
    <xdr:to>
      <xdr:col>3</xdr:col>
      <xdr:colOff>1288677</xdr:colOff>
      <xdr:row>32</xdr:row>
      <xdr:rowOff>11205</xdr:rowOff>
    </xdr:to>
    <xdr:cxnSp macro="">
      <xdr:nvCxnSpPr>
        <xdr:cNvPr id="40" name="Rechte verbindingslijn 39">
          <a:extLst>
            <a:ext uri="{FF2B5EF4-FFF2-40B4-BE49-F238E27FC236}">
              <a16:creationId xmlns:a16="http://schemas.microsoft.com/office/drawing/2014/main" id="{F1131D86-9417-46A0-EE3B-8D21C51519E9}"/>
            </a:ext>
          </a:extLst>
        </xdr:cNvPr>
        <xdr:cNvCxnSpPr/>
      </xdr:nvCxnSpPr>
      <xdr:spPr>
        <a:xfrm>
          <a:off x="3541059" y="4874559"/>
          <a:ext cx="0" cy="22411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672353</xdr:colOff>
      <xdr:row>49</xdr:row>
      <xdr:rowOff>112058</xdr:rowOff>
    </xdr:from>
    <xdr:to>
      <xdr:col>1</xdr:col>
      <xdr:colOff>1389529</xdr:colOff>
      <xdr:row>78</xdr:row>
      <xdr:rowOff>11206</xdr:rowOff>
    </xdr:to>
    <xdr:cxnSp macro="">
      <xdr:nvCxnSpPr>
        <xdr:cNvPr id="63" name="Verbindingslijn: gebogen 62">
          <a:extLst>
            <a:ext uri="{FF2B5EF4-FFF2-40B4-BE49-F238E27FC236}">
              <a16:creationId xmlns:a16="http://schemas.microsoft.com/office/drawing/2014/main" id="{B6C8F31D-BBCC-7B32-D483-8C6AF36EABDB}"/>
            </a:ext>
          </a:extLst>
        </xdr:cNvPr>
        <xdr:cNvCxnSpPr/>
      </xdr:nvCxnSpPr>
      <xdr:spPr>
        <a:xfrm rot="5400000">
          <a:off x="-790015" y="9732309"/>
          <a:ext cx="4448736" cy="717176"/>
        </a:xfrm>
        <a:prstGeom prst="bentConnector3">
          <a:avLst>
            <a:gd name="adj1" fmla="val -414"/>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43BDB3B-CBD7-4644-81B9-DF6504B558DE}" name="_1b_desinvesteringen_vanaf_2021" displayName="_1b_desinvesteringen_vanaf_2021" ref="B16:K427" totalsRowShown="0" headerRowDxfId="12" headerRowCellStyle="_kop2 Bloktitel" dataCellStyle="Cel input database">
  <autoFilter ref="B16:K427" xr:uid="{043BDB3B-CBD7-4644-81B9-DF6504B558D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6838F91A-FFA9-497E-83DC-B5F31BE3EDF4}" name="Volgnummer ACM" dataCellStyle="Cel input database"/>
    <tableColumn id="2" xr3:uid="{1C846C28-F38C-4C39-8640-EB7EB2C16CD8}" name="Methodebesluit" dataCellStyle="Cel input database"/>
    <tableColumn id="3" xr3:uid="{0DBA4423-C684-447A-ABF8-25F5A8ACBF62}" name="Tariefcategorie/fase (NOZ)" dataCellStyle="Cel input database"/>
    <tableColumn id="4" xr3:uid="{31052AA8-C9D8-4C73-8947-CBDBEAD0ED4C}" name="SHV" dataCellStyle="Cel input database"/>
    <tableColumn id="5" xr3:uid="{F0186140-DFD2-42E0-8B00-A9A1400D66EE}" name="Activacategorie" dataCellStyle="Cel input database"/>
    <tableColumn id="6" xr3:uid="{8BEAC8E2-2498-431D-B309-782696F5D0E9}" name="Prijspeil gerapporteerde desinvestering (jaar)" dataDxfId="11" dataCellStyle="Cel input database"/>
    <tableColumn id="7" xr3:uid="{059F56D8-7E63-436B-9203-E81386589B66}" name="Oorspronkelijk investeringsbedrag_x000a_Inclusief bouwrente voor niet RCR-investeringen (EUR)" dataCellStyle="Cel input database"/>
    <tableColumn id="8" xr3:uid="{0372FC66-32FB-4249-ACA0-DEFA4E321782}" name="Jaar desinvestering" dataDxfId="10" dataCellStyle="Cel input database"/>
    <tableColumn id="9" xr3:uid="{C6F19C25-2189-49A3-B1D9-4CBA6BDB09B8}" name="Maand desinvestering" dataCellStyle="Cel input database"/>
    <tableColumn id="10" xr3:uid="{0323C43A-CA7F-4E4D-AA82-DD3B16580154}" name="Jaar opgave reguleringsdata" dataDxfId="9" dataCellStyle="Cel input database"/>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653AAC1-C8C2-4B47-8757-3C629D6F1383}" name="_2b_opex_inkoop_e_v" displayName="_2b_opex_inkoop_e_v" ref="B17:F96" headerRowCount="0" totalsRowShown="0" headerRowCellStyle="_kop2 Bloktitel" dataCellStyle="Cel input database">
  <sortState xmlns:xlrd2="http://schemas.microsoft.com/office/spreadsheetml/2017/richdata2" ref="B17:F96">
    <sortCondition ref="B14:B96"/>
  </sortState>
  <tableColumns count="5">
    <tableColumn id="1" xr3:uid="{FBE8DFDB-055F-46F6-AC63-21B71CCF693C}" name="Jaar" headerRowDxfId="8" dataDxfId="7" headerRowCellStyle="Cel input database" dataCellStyle="Cel input database"/>
    <tableColumn id="2" xr3:uid="{3ADD67FE-7513-4124-84C1-DCDCCD629356}" name="Methodebesluit" headerRowCellStyle="Cel input database" dataCellStyle="Cel input database"/>
    <tableColumn id="3" xr3:uid="{09AEF6E6-9CAE-4008-94F0-CD1006069D5A}" name="Segment" headerRowCellStyle="Cel input database" dataCellStyle="Cel input database"/>
    <tableColumn id="4" xr3:uid="{AB73E819-1726-4607-A7D2-48454DD2C4A8}" name="Categorie" headerRowCellStyle="Cel input database" dataCellStyle="Cel input database"/>
    <tableColumn id="5" xr3:uid="{AD49E808-4FC2-46DD-B839-CA115342C0FE}" name="Waarde" dataDxfId="6" headerRowCellStyle="Cel input database" dataCellStyle="Cel input database"/>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76A7735-2038-4445-BEBB-1B820E8076AB}" name="_2a_algemene_opex" displayName="_2a_algemene_opex" ref="B16:E32" totalsRowShown="0" headerRowBorderDxfId="5" tableBorderDxfId="4" headerRowCellStyle="_kop2 Bloktitel" dataCellStyle="Cel input database">
  <autoFilter ref="B16:E32" xr:uid="{076A7735-2038-4445-BEBB-1B820E8076AB}">
    <filterColumn colId="0" hiddenButton="1"/>
    <filterColumn colId="1" hiddenButton="1"/>
    <filterColumn colId="2" hiddenButton="1"/>
    <filterColumn colId="3" hiddenButton="1"/>
  </autoFilter>
  <tableColumns count="4">
    <tableColumn id="1" xr3:uid="{8812C8F0-7C6B-48A5-B0EA-DABB877D0ECD}" name="Jaar" dataDxfId="3" dataCellStyle="Cel input database"/>
    <tableColumn id="2" xr3:uid="{9AECD2FD-48A3-4ACF-B1DF-0285B411BE35}" name="Subcategorie" dataDxfId="2" dataCellStyle="Cel input database"/>
    <tableColumn id="3" xr3:uid="{9CC176BD-6C10-406F-9DCC-935D96333B86}" name="EHS - Directe OPEX" dataDxfId="1" dataCellStyle="Cel input database"/>
    <tableColumn id="4" xr3:uid="{4C28C8F5-0128-4139-A524-D643097B4F4A}" name="HS - Directe OPEX" dataDxfId="0" dataCellStyle="Cel input database"/>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acm.nl/system/files/documents/gewijzigd-methodebesluit-tennet-systeem-2022-2026.pdf" TargetMode="External"/><Relationship Id="rId13" Type="http://schemas.openxmlformats.org/officeDocument/2006/relationships/hyperlink" Target="https://www.acm.nl/system/files/documents/tarievenbesluit-tennet-2026-acm.pdf" TargetMode="External"/><Relationship Id="rId3" Type="http://schemas.openxmlformats.org/officeDocument/2006/relationships/hyperlink" Target="https://www.acm.nl/sites/default/files/documents/rekenmodule-tarievenbesluit-tennet-2022.xlsx" TargetMode="External"/><Relationship Id="rId7" Type="http://schemas.openxmlformats.org/officeDocument/2006/relationships/hyperlink" Target="https://www.acm.nl/system/files/documents/gewijzigde-gaw-berekening-tennet-voor-de-reguleringsperiode-2022-2026_0.xlsx" TargetMode="External"/><Relationship Id="rId12" Type="http://schemas.openxmlformats.org/officeDocument/2006/relationships/hyperlink" Target="https://www.acm.nl/system/files/documents/bijlage-1a-bij-het-gewijzigd-methodebesluit-tennet-systeemtaken-2022-2026.xlsx" TargetMode="External"/><Relationship Id="rId2" Type="http://schemas.openxmlformats.org/officeDocument/2006/relationships/hyperlink" Target="https://www.dnb.nl/statistieken/data-zoeken/" TargetMode="External"/><Relationship Id="rId16" Type="http://schemas.openxmlformats.org/officeDocument/2006/relationships/printerSettings" Target="../printerSettings/printerSettings3.bin"/><Relationship Id="rId1" Type="http://schemas.openxmlformats.org/officeDocument/2006/relationships/hyperlink" Target="https://opendata.cbs.nl/statline/" TargetMode="External"/><Relationship Id="rId6" Type="http://schemas.openxmlformats.org/officeDocument/2006/relationships/hyperlink" Target="https://www.acm.nl/system/files/documents/gewijzigde-x-factorberekening-transporttaken-tennet-2022-2026.xlsx" TargetMode="External"/><Relationship Id="rId11" Type="http://schemas.openxmlformats.org/officeDocument/2006/relationships/hyperlink" Target="https://www.acm.nl/system/files/documents/rekenmodule-tarievenbesluit-tennet-2025.xlsx" TargetMode="External"/><Relationship Id="rId5" Type="http://schemas.openxmlformats.org/officeDocument/2006/relationships/hyperlink" Target="https://www.acm.nl/system/files/documents/rekenmodule-tarievenbesluit-tennet-2024.xlsx" TargetMode="External"/><Relationship Id="rId15" Type="http://schemas.openxmlformats.org/officeDocument/2006/relationships/hyperlink" Target="https://www.rijksoverheid.nl/vraag-en-antwoord/schulden/hoogte-wettelijke-rente" TargetMode="External"/><Relationship Id="rId10" Type="http://schemas.openxmlformats.org/officeDocument/2006/relationships/hyperlink" Target="https://zoek.officielebekendmakingen.nl/stcrt-2026-4090.html" TargetMode="External"/><Relationship Id="rId4" Type="http://schemas.openxmlformats.org/officeDocument/2006/relationships/hyperlink" Target="https://www.acm.nl/system/files/documents/rekenmodule-tarievenbesluit-tennet-2023.xlsx" TargetMode="External"/><Relationship Id="rId9" Type="http://schemas.openxmlformats.org/officeDocument/2006/relationships/hyperlink" Target="https://www.acm.nl/system/files/documents/gewijzigd-methodebesluit-transporttaken-tennet-2022-2026.pdf" TargetMode="External"/><Relationship Id="rId14" Type="http://schemas.openxmlformats.org/officeDocument/2006/relationships/hyperlink" Target="https://www.acm.nl/system/files/documents/bijlage-4-model-nacalculatie-wacc.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8D9"/>
  </sheetPr>
  <dimension ref="A1:E44"/>
  <sheetViews>
    <sheetView showGridLines="0" tabSelected="1" zoomScale="85" zoomScaleNormal="85" workbookViewId="0"/>
  </sheetViews>
  <sheetFormatPr defaultColWidth="9.140625" defaultRowHeight="12.75" x14ac:dyDescent="0.2"/>
  <cols>
    <col min="1" max="1" width="5.7109375" style="2" customWidth="1"/>
    <col min="2" max="2" width="43.7109375" style="2" customWidth="1"/>
    <col min="3" max="3" width="91.85546875" style="2" customWidth="1"/>
    <col min="4" max="4" width="5.7109375" style="2" customWidth="1"/>
    <col min="5" max="16384" width="9.140625" style="2"/>
  </cols>
  <sheetData>
    <row r="1" spans="1:5" x14ac:dyDescent="0.2">
      <c r="A1" s="2" t="s">
        <v>696</v>
      </c>
    </row>
    <row r="2" spans="1:5" s="6" customFormat="1" ht="18" x14ac:dyDescent="0.2">
      <c r="B2" s="6" t="s">
        <v>221</v>
      </c>
    </row>
    <row r="6" spans="1:5" x14ac:dyDescent="0.2">
      <c r="B6" s="3"/>
    </row>
    <row r="13" spans="1:5" s="7" customFormat="1" x14ac:dyDescent="0.2">
      <c r="B13" s="7" t="s">
        <v>1</v>
      </c>
    </row>
    <row r="15" spans="1:5" x14ac:dyDescent="0.2">
      <c r="B15" s="8" t="s">
        <v>2</v>
      </c>
      <c r="C15" s="9" t="s">
        <v>966</v>
      </c>
      <c r="E15" s="20"/>
    </row>
    <row r="16" spans="1:5" x14ac:dyDescent="0.2">
      <c r="B16" s="8" t="s">
        <v>3</v>
      </c>
      <c r="C16" s="9" t="s">
        <v>1281</v>
      </c>
    </row>
    <row r="17" spans="2:3" x14ac:dyDescent="0.2">
      <c r="B17" s="8" t="s">
        <v>4</v>
      </c>
      <c r="C17" s="9" t="s">
        <v>1166</v>
      </c>
    </row>
    <row r="18" spans="2:3" x14ac:dyDescent="0.2">
      <c r="B18" s="8" t="s">
        <v>5</v>
      </c>
      <c r="C18" s="9" t="s">
        <v>1099</v>
      </c>
    </row>
    <row r="19" spans="2:3" x14ac:dyDescent="0.2">
      <c r="B19" s="8" t="s">
        <v>6</v>
      </c>
      <c r="C19" s="9" t="s">
        <v>75</v>
      </c>
    </row>
    <row r="20" spans="2:3" x14ac:dyDescent="0.2">
      <c r="B20" s="8" t="s">
        <v>7</v>
      </c>
      <c r="C20" s="9" t="s">
        <v>965</v>
      </c>
    </row>
    <row r="21" spans="2:3" ht="30.6" customHeight="1" x14ac:dyDescent="0.2">
      <c r="B21" s="8" t="s">
        <v>8</v>
      </c>
      <c r="C21" s="136" t="s">
        <v>1282</v>
      </c>
    </row>
    <row r="22" spans="2:3" x14ac:dyDescent="0.2">
      <c r="B22" s="8" t="s">
        <v>9</v>
      </c>
      <c r="C22" s="9" t="s">
        <v>75</v>
      </c>
    </row>
    <row r="25" spans="2:3" s="7" customFormat="1" x14ac:dyDescent="0.2">
      <c r="B25" s="7" t="s">
        <v>10</v>
      </c>
    </row>
    <row r="27" spans="2:3" x14ac:dyDescent="0.2">
      <c r="B27" s="9" t="s">
        <v>66</v>
      </c>
      <c r="C27" s="9" t="s">
        <v>472</v>
      </c>
    </row>
    <row r="28" spans="2:3" ht="25.5" x14ac:dyDescent="0.2">
      <c r="B28" s="9" t="s">
        <v>68</v>
      </c>
      <c r="C28" s="9" t="s">
        <v>472</v>
      </c>
    </row>
    <row r="29" spans="2:3" x14ac:dyDescent="0.2">
      <c r="B29" s="9" t="s">
        <v>67</v>
      </c>
      <c r="C29" s="162">
        <v>46302</v>
      </c>
    </row>
    <row r="30" spans="2:3" ht="25.5" x14ac:dyDescent="0.2">
      <c r="B30" s="9" t="s">
        <v>69</v>
      </c>
      <c r="C30" s="9" t="s">
        <v>472</v>
      </c>
    </row>
    <row r="31" spans="2:3" ht="25.5" x14ac:dyDescent="0.2">
      <c r="B31" s="9" t="s">
        <v>70</v>
      </c>
      <c r="C31" s="9" t="s">
        <v>293</v>
      </c>
    </row>
    <row r="32" spans="2:3" x14ac:dyDescent="0.2">
      <c r="B32" s="8" t="s">
        <v>9</v>
      </c>
      <c r="C32" s="9" t="s">
        <v>75</v>
      </c>
    </row>
    <row r="34" spans="2:4" x14ac:dyDescent="0.2">
      <c r="B34" s="163" t="s">
        <v>642</v>
      </c>
      <c r="C34" s="164"/>
      <c r="D34" s="4"/>
    </row>
    <row r="36" spans="2:4" s="7" customFormat="1" x14ac:dyDescent="0.2">
      <c r="B36" s="7" t="s">
        <v>11</v>
      </c>
    </row>
    <row r="38" spans="2:4" x14ac:dyDescent="0.2">
      <c r="B38" s="2" t="s">
        <v>76</v>
      </c>
    </row>
    <row r="39" spans="2:4" x14ac:dyDescent="0.2">
      <c r="B39" s="2" t="s">
        <v>77</v>
      </c>
    </row>
    <row r="40" spans="2:4" x14ac:dyDescent="0.2">
      <c r="B40" s="2" t="s">
        <v>648</v>
      </c>
    </row>
    <row r="42" spans="2:4" s="7" customFormat="1" x14ac:dyDescent="0.2">
      <c r="B42" s="7" t="s">
        <v>12</v>
      </c>
    </row>
    <row r="44" spans="2:4" x14ac:dyDescent="0.2">
      <c r="B44" s="2" t="s">
        <v>473</v>
      </c>
    </row>
  </sheetData>
  <mergeCells count="1">
    <mergeCell ref="B34:C34"/>
  </mergeCells>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8D9"/>
  </sheetPr>
  <dimension ref="B2:R126"/>
  <sheetViews>
    <sheetView showGridLines="0" zoomScale="85" zoomScaleNormal="85" workbookViewId="0">
      <pane ySplit="3" topLeftCell="A4" activePane="bottomLeft" state="frozen"/>
      <selection activeCell="P579" sqref="P579"/>
      <selection pane="bottomLeft"/>
    </sheetView>
  </sheetViews>
  <sheetFormatPr defaultColWidth="9.140625" defaultRowHeight="12.75" x14ac:dyDescent="0.2"/>
  <cols>
    <col min="1" max="1" width="5.7109375" style="2" customWidth="1"/>
    <col min="2" max="2" width="20.7109375" style="2" customWidth="1"/>
    <col min="3" max="3" width="5.7109375" style="2" customWidth="1"/>
    <col min="4" max="4" width="24.7109375" style="2" customWidth="1"/>
    <col min="5" max="7" width="5.7109375" style="2" customWidth="1"/>
    <col min="8" max="8" width="24.7109375" style="2" customWidth="1"/>
    <col min="9" max="11" width="5.7109375" style="2" customWidth="1"/>
    <col min="12" max="12" width="24.7109375" style="2" customWidth="1"/>
    <col min="13" max="16" width="5.7109375" style="2" customWidth="1"/>
    <col min="17" max="17" width="27.140625" style="2" bestFit="1" customWidth="1"/>
    <col min="18" max="19" width="5.7109375" style="2" customWidth="1"/>
    <col min="20" max="16384" width="9.140625" style="2"/>
  </cols>
  <sheetData>
    <row r="2" spans="2:16" s="6" customFormat="1" ht="18" x14ac:dyDescent="0.2">
      <c r="B2" s="6" t="s">
        <v>222</v>
      </c>
    </row>
    <row r="5" spans="2:16" s="7" customFormat="1" x14ac:dyDescent="0.2">
      <c r="B5" s="7" t="s">
        <v>13</v>
      </c>
    </row>
    <row r="7" spans="2:16" x14ac:dyDescent="0.2">
      <c r="B7" s="2" t="s">
        <v>1156</v>
      </c>
    </row>
    <row r="8" spans="2:16" x14ac:dyDescent="0.2">
      <c r="B8" s="2" t="s">
        <v>1157</v>
      </c>
      <c r="H8" s="24"/>
    </row>
    <row r="10" spans="2:16" s="7" customFormat="1" x14ac:dyDescent="0.2">
      <c r="B10" s="7" t="s">
        <v>55</v>
      </c>
    </row>
    <row r="12" spans="2:16" x14ac:dyDescent="0.2">
      <c r="B12" s="2" t="s">
        <v>82</v>
      </c>
    </row>
    <row r="14" spans="2:16" x14ac:dyDescent="0.2">
      <c r="D14" s="37" t="s">
        <v>78</v>
      </c>
      <c r="E14" s="37"/>
      <c r="F14" s="37"/>
      <c r="G14" s="37"/>
      <c r="H14" s="37" t="s">
        <v>79</v>
      </c>
      <c r="I14" s="37"/>
      <c r="J14" s="37"/>
      <c r="K14" s="37"/>
      <c r="L14" s="37" t="s">
        <v>80</v>
      </c>
      <c r="M14" s="37"/>
      <c r="N14" s="37"/>
      <c r="O14" s="37"/>
      <c r="P14" s="37" t="s">
        <v>81</v>
      </c>
    </row>
    <row r="16" spans="2:16" x14ac:dyDescent="0.2">
      <c r="C16" s="38"/>
      <c r="D16" s="39"/>
      <c r="E16" s="40"/>
      <c r="K16" s="38"/>
      <c r="L16" s="39"/>
      <c r="M16" s="40"/>
    </row>
    <row r="17" spans="3:13" x14ac:dyDescent="0.2">
      <c r="C17" s="41"/>
      <c r="D17" s="46" t="s">
        <v>1075</v>
      </c>
      <c r="E17" s="42"/>
      <c r="K17" s="41"/>
      <c r="L17" s="89" t="s">
        <v>315</v>
      </c>
      <c r="M17" s="42"/>
    </row>
    <row r="18" spans="3:13" x14ac:dyDescent="0.2">
      <c r="C18" s="43"/>
      <c r="D18" s="44"/>
      <c r="E18" s="45"/>
      <c r="K18" s="43"/>
      <c r="L18" s="44"/>
      <c r="M18" s="45"/>
    </row>
    <row r="20" spans="3:13" x14ac:dyDescent="0.2">
      <c r="G20" s="38"/>
      <c r="H20" s="39"/>
      <c r="I20" s="40"/>
    </row>
    <row r="21" spans="3:13" x14ac:dyDescent="0.2">
      <c r="G21" s="41"/>
      <c r="H21" s="47" t="s">
        <v>1074</v>
      </c>
      <c r="I21" s="42"/>
    </row>
    <row r="22" spans="3:13" x14ac:dyDescent="0.2">
      <c r="G22" s="43"/>
      <c r="H22" s="44"/>
      <c r="I22" s="45"/>
    </row>
    <row r="33" spans="3:13" x14ac:dyDescent="0.2">
      <c r="C33" s="38"/>
      <c r="D33" s="39"/>
      <c r="E33" s="40"/>
      <c r="K33" s="38"/>
      <c r="L33" s="39"/>
      <c r="M33" s="40"/>
    </row>
    <row r="34" spans="3:13" x14ac:dyDescent="0.2">
      <c r="C34" s="41"/>
      <c r="D34" s="46" t="s">
        <v>1068</v>
      </c>
      <c r="E34" s="42"/>
      <c r="K34" s="41"/>
      <c r="L34" s="47" t="s">
        <v>1077</v>
      </c>
      <c r="M34" s="42"/>
    </row>
    <row r="35" spans="3:13" x14ac:dyDescent="0.2">
      <c r="C35" s="43"/>
      <c r="D35" s="44"/>
      <c r="E35" s="45"/>
      <c r="K35" s="43"/>
      <c r="L35" s="44"/>
      <c r="M35" s="45"/>
    </row>
    <row r="37" spans="3:13" x14ac:dyDescent="0.2">
      <c r="K37" s="38"/>
      <c r="L37" s="39"/>
      <c r="M37" s="40"/>
    </row>
    <row r="38" spans="3:13" x14ac:dyDescent="0.2">
      <c r="K38" s="41"/>
      <c r="L38" s="47" t="s">
        <v>1079</v>
      </c>
      <c r="M38" s="42"/>
    </row>
    <row r="39" spans="3:13" x14ac:dyDescent="0.2">
      <c r="K39" s="43"/>
      <c r="L39" s="44"/>
      <c r="M39" s="45"/>
    </row>
    <row r="41" spans="3:13" x14ac:dyDescent="0.2">
      <c r="K41" s="38"/>
      <c r="L41" s="39"/>
      <c r="M41" s="40"/>
    </row>
    <row r="42" spans="3:13" x14ac:dyDescent="0.2">
      <c r="K42" s="41"/>
      <c r="L42" s="47" t="s">
        <v>1080</v>
      </c>
      <c r="M42" s="42"/>
    </row>
    <row r="43" spans="3:13" x14ac:dyDescent="0.2">
      <c r="K43" s="43"/>
      <c r="L43" s="44"/>
      <c r="M43" s="45"/>
    </row>
    <row r="45" spans="3:13" x14ac:dyDescent="0.2">
      <c r="K45" s="38"/>
      <c r="L45" s="39"/>
      <c r="M45" s="40"/>
    </row>
    <row r="46" spans="3:13" x14ac:dyDescent="0.2">
      <c r="K46" s="41"/>
      <c r="L46" s="47" t="s">
        <v>1081</v>
      </c>
      <c r="M46" s="42"/>
    </row>
    <row r="47" spans="3:13" x14ac:dyDescent="0.2">
      <c r="K47" s="43"/>
      <c r="L47" s="44"/>
      <c r="M47" s="45"/>
    </row>
    <row r="49" spans="3:18" x14ac:dyDescent="0.2">
      <c r="C49" s="38"/>
      <c r="D49" s="39"/>
      <c r="E49" s="40"/>
      <c r="K49" s="38"/>
      <c r="L49" s="39"/>
      <c r="M49" s="40"/>
    </row>
    <row r="50" spans="3:18" x14ac:dyDescent="0.2">
      <c r="C50" s="41"/>
      <c r="D50" s="49" t="s">
        <v>83</v>
      </c>
      <c r="E50" s="42"/>
      <c r="K50" s="41"/>
      <c r="L50" s="47" t="s">
        <v>1084</v>
      </c>
      <c r="M50" s="42"/>
    </row>
    <row r="51" spans="3:18" x14ac:dyDescent="0.2">
      <c r="C51" s="43"/>
      <c r="D51" s="44"/>
      <c r="E51" s="45"/>
      <c r="K51" s="43"/>
      <c r="L51" s="44"/>
      <c r="M51" s="45"/>
    </row>
    <row r="53" spans="3:18" x14ac:dyDescent="0.2">
      <c r="C53" s="38"/>
      <c r="D53" s="39"/>
      <c r="E53" s="40"/>
      <c r="K53" s="38"/>
      <c r="L53" s="39"/>
      <c r="M53" s="40"/>
    </row>
    <row r="54" spans="3:18" x14ac:dyDescent="0.2">
      <c r="C54" s="41"/>
      <c r="D54" s="96" t="s">
        <v>1071</v>
      </c>
      <c r="E54" s="42"/>
      <c r="K54" s="41"/>
      <c r="L54" s="47" t="s">
        <v>1078</v>
      </c>
      <c r="M54" s="42"/>
    </row>
    <row r="55" spans="3:18" x14ac:dyDescent="0.2">
      <c r="C55" s="43"/>
      <c r="D55" s="44"/>
      <c r="E55" s="45"/>
      <c r="K55" s="43"/>
      <c r="L55" s="44"/>
      <c r="M55" s="45"/>
    </row>
    <row r="57" spans="3:18" x14ac:dyDescent="0.2">
      <c r="C57" s="38"/>
      <c r="D57" s="39"/>
      <c r="E57" s="40"/>
      <c r="K57" s="38"/>
      <c r="L57" s="39"/>
      <c r="M57" s="40"/>
    </row>
    <row r="58" spans="3:18" x14ac:dyDescent="0.2">
      <c r="C58" s="41"/>
      <c r="D58" s="96" t="s">
        <v>1072</v>
      </c>
      <c r="E58" s="42"/>
      <c r="K58" s="41"/>
      <c r="L58" s="47" t="s">
        <v>1076</v>
      </c>
      <c r="M58" s="42"/>
    </row>
    <row r="59" spans="3:18" x14ac:dyDescent="0.2">
      <c r="C59" s="43"/>
      <c r="D59" s="44"/>
      <c r="E59" s="45"/>
      <c r="K59" s="43"/>
      <c r="L59" s="44"/>
      <c r="M59" s="45"/>
    </row>
    <row r="61" spans="3:18" x14ac:dyDescent="0.2">
      <c r="C61" s="38"/>
      <c r="D61" s="39"/>
      <c r="E61" s="40"/>
      <c r="K61" s="38"/>
      <c r="L61" s="39"/>
      <c r="M61" s="40"/>
    </row>
    <row r="62" spans="3:18" x14ac:dyDescent="0.2">
      <c r="C62" s="41"/>
      <c r="D62" s="49" t="s">
        <v>442</v>
      </c>
      <c r="E62" s="42"/>
      <c r="K62" s="41"/>
      <c r="L62" s="47" t="s">
        <v>743</v>
      </c>
      <c r="M62" s="42"/>
    </row>
    <row r="63" spans="3:18" x14ac:dyDescent="0.2">
      <c r="C63" s="43"/>
      <c r="D63" s="44"/>
      <c r="E63" s="45"/>
      <c r="K63" s="43"/>
      <c r="L63" s="44"/>
      <c r="M63" s="45"/>
      <c r="P63" s="38"/>
      <c r="Q63" s="39"/>
      <c r="R63" s="40"/>
    </row>
    <row r="64" spans="3:18" x14ac:dyDescent="0.2">
      <c r="Q64" s="49" t="s">
        <v>1067</v>
      </c>
      <c r="R64" s="42"/>
    </row>
    <row r="65" spans="3:18" x14ac:dyDescent="0.2">
      <c r="C65" s="38"/>
      <c r="D65" s="39"/>
      <c r="E65" s="40"/>
      <c r="K65" s="38"/>
      <c r="L65" s="39"/>
      <c r="M65" s="40"/>
      <c r="P65" s="43"/>
      <c r="Q65" s="44"/>
      <c r="R65" s="45"/>
    </row>
    <row r="66" spans="3:18" x14ac:dyDescent="0.2">
      <c r="C66" s="41"/>
      <c r="D66" s="46" t="s">
        <v>1070</v>
      </c>
      <c r="E66" s="42"/>
      <c r="K66" s="41"/>
      <c r="L66" s="47" t="s">
        <v>1082</v>
      </c>
      <c r="M66" s="42"/>
    </row>
    <row r="67" spans="3:18" x14ac:dyDescent="0.2">
      <c r="C67" s="43"/>
      <c r="D67" s="44"/>
      <c r="E67" s="45"/>
      <c r="K67" s="43"/>
      <c r="L67" s="44"/>
      <c r="M67" s="45"/>
    </row>
    <row r="69" spans="3:18" x14ac:dyDescent="0.2">
      <c r="C69" s="38"/>
      <c r="D69" s="39"/>
      <c r="E69" s="40"/>
      <c r="K69" s="38"/>
      <c r="L69" s="39"/>
      <c r="M69" s="40"/>
    </row>
    <row r="70" spans="3:18" x14ac:dyDescent="0.2">
      <c r="C70" s="41"/>
      <c r="D70" s="96" t="s">
        <v>1073</v>
      </c>
      <c r="E70" s="42"/>
      <c r="K70" s="41"/>
      <c r="L70" s="47" t="s">
        <v>744</v>
      </c>
      <c r="M70" s="42"/>
    </row>
    <row r="71" spans="3:18" x14ac:dyDescent="0.2">
      <c r="C71" s="43"/>
      <c r="D71" s="44"/>
      <c r="E71" s="45"/>
      <c r="K71" s="43"/>
      <c r="L71" s="44"/>
      <c r="M71" s="45"/>
    </row>
    <row r="73" spans="3:18" x14ac:dyDescent="0.2">
      <c r="C73" s="38"/>
      <c r="D73" s="39"/>
      <c r="E73" s="40"/>
      <c r="K73" s="38"/>
      <c r="L73" s="39"/>
      <c r="M73" s="40"/>
    </row>
    <row r="74" spans="3:18" x14ac:dyDescent="0.2">
      <c r="C74" s="41"/>
      <c r="D74" s="46" t="s">
        <v>1069</v>
      </c>
      <c r="E74" s="42"/>
      <c r="K74" s="41"/>
      <c r="L74" s="47" t="s">
        <v>1083</v>
      </c>
      <c r="M74" s="42"/>
    </row>
    <row r="75" spans="3:18" x14ac:dyDescent="0.2">
      <c r="C75" s="43"/>
      <c r="D75" s="44"/>
      <c r="E75" s="45"/>
      <c r="K75" s="43"/>
      <c r="L75" s="44"/>
      <c r="M75" s="45"/>
    </row>
    <row r="77" spans="3:18" x14ac:dyDescent="0.2">
      <c r="P77" s="38"/>
      <c r="Q77" s="39"/>
      <c r="R77" s="40"/>
    </row>
    <row r="78" spans="3:18" x14ac:dyDescent="0.2">
      <c r="P78" s="41"/>
      <c r="Q78" s="48" t="s">
        <v>1065</v>
      </c>
      <c r="R78" s="42"/>
    </row>
    <row r="79" spans="3:18" x14ac:dyDescent="0.2">
      <c r="P79" s="43"/>
      <c r="Q79" s="44"/>
      <c r="R79" s="45"/>
    </row>
    <row r="81" spans="2:18" x14ac:dyDescent="0.2">
      <c r="C81" s="38"/>
      <c r="D81" s="39"/>
      <c r="E81" s="40"/>
      <c r="K81" s="38"/>
      <c r="L81" s="39"/>
      <c r="M81" s="40"/>
    </row>
    <row r="82" spans="2:18" x14ac:dyDescent="0.2">
      <c r="C82" s="41"/>
      <c r="D82" s="49" t="s">
        <v>745</v>
      </c>
      <c r="E82" s="42"/>
      <c r="K82" s="41"/>
      <c r="L82" s="47" t="s">
        <v>1085</v>
      </c>
      <c r="M82" s="42"/>
    </row>
    <row r="83" spans="2:18" x14ac:dyDescent="0.2">
      <c r="C83" s="43"/>
      <c r="D83" s="44"/>
      <c r="E83" s="45"/>
      <c r="K83" s="43"/>
      <c r="L83" s="44"/>
      <c r="M83" s="45"/>
    </row>
    <row r="84" spans="2:18" x14ac:dyDescent="0.2">
      <c r="P84" s="38"/>
      <c r="Q84" s="39"/>
      <c r="R84" s="40"/>
    </row>
    <row r="85" spans="2:18" x14ac:dyDescent="0.2">
      <c r="P85" s="41"/>
      <c r="Q85" s="48" t="s">
        <v>1066</v>
      </c>
      <c r="R85" s="42"/>
    </row>
    <row r="86" spans="2:18" x14ac:dyDescent="0.2">
      <c r="P86" s="43"/>
      <c r="Q86" s="44"/>
      <c r="R86" s="45"/>
    </row>
    <row r="90" spans="2:18" s="7" customFormat="1" x14ac:dyDescent="0.2">
      <c r="B90" s="7" t="s">
        <v>14</v>
      </c>
    </row>
    <row r="92" spans="2:18" x14ac:dyDescent="0.2">
      <c r="B92" s="21" t="s">
        <v>36</v>
      </c>
      <c r="D92" s="21" t="s">
        <v>15</v>
      </c>
      <c r="F92" s="4"/>
    </row>
    <row r="94" spans="2:18" x14ac:dyDescent="0.2">
      <c r="B94" s="27">
        <v>123</v>
      </c>
      <c r="D94" s="2" t="s">
        <v>61</v>
      </c>
    </row>
    <row r="95" spans="2:18" x14ac:dyDescent="0.2">
      <c r="B95" s="32">
        <f>B94</f>
        <v>123</v>
      </c>
      <c r="D95" s="2" t="s">
        <v>16</v>
      </c>
    </row>
    <row r="96" spans="2:18" x14ac:dyDescent="0.2">
      <c r="B96" s="33">
        <f>B95+B94</f>
        <v>246</v>
      </c>
      <c r="D96" s="2" t="s">
        <v>17</v>
      </c>
    </row>
    <row r="97" spans="2:7" x14ac:dyDescent="0.2">
      <c r="B97" s="23">
        <f>B95+B96</f>
        <v>369</v>
      </c>
      <c r="D97" s="2" t="s">
        <v>62</v>
      </c>
      <c r="E97" s="4"/>
      <c r="F97" s="4"/>
    </row>
    <row r="98" spans="2:7" x14ac:dyDescent="0.2">
      <c r="B98" s="92">
        <v>123</v>
      </c>
      <c r="D98" s="2" t="s">
        <v>342</v>
      </c>
      <c r="E98" s="4"/>
      <c r="F98" s="4"/>
    </row>
    <row r="99" spans="2:7" x14ac:dyDescent="0.2">
      <c r="B99" s="36"/>
      <c r="D99" s="2" t="s">
        <v>18</v>
      </c>
      <c r="E99" s="4"/>
    </row>
    <row r="101" spans="2:7" x14ac:dyDescent="0.2">
      <c r="B101" s="22" t="s">
        <v>19</v>
      </c>
      <c r="E101" s="20"/>
    </row>
    <row r="102" spans="2:7" x14ac:dyDescent="0.2">
      <c r="B102" s="25">
        <f>B97+16</f>
        <v>385</v>
      </c>
      <c r="D102" s="2" t="s">
        <v>74</v>
      </c>
    </row>
    <row r="103" spans="2:7" x14ac:dyDescent="0.2">
      <c r="B103" s="26">
        <f>B95*PI()</f>
        <v>386.41589639154455</v>
      </c>
      <c r="C103" s="10"/>
      <c r="D103" s="2" t="s">
        <v>20</v>
      </c>
    </row>
    <row r="104" spans="2:7" x14ac:dyDescent="0.2">
      <c r="B104" s="10"/>
      <c r="C104" s="10"/>
    </row>
    <row r="105" spans="2:7" x14ac:dyDescent="0.2">
      <c r="B105" s="22" t="s">
        <v>21</v>
      </c>
      <c r="C105" s="11"/>
    </row>
    <row r="106" spans="2:7" x14ac:dyDescent="0.2">
      <c r="B106" s="31">
        <v>123</v>
      </c>
      <c r="C106" s="11"/>
      <c r="D106" s="2" t="s">
        <v>63</v>
      </c>
      <c r="G106" s="4"/>
    </row>
    <row r="107" spans="2:7" x14ac:dyDescent="0.2">
      <c r="B107" s="28">
        <v>124</v>
      </c>
      <c r="C107" s="11"/>
      <c r="D107" s="2" t="s">
        <v>65</v>
      </c>
    </row>
    <row r="108" spans="2:7" x14ac:dyDescent="0.2">
      <c r="B108" s="29">
        <f>B106-B107</f>
        <v>-1</v>
      </c>
      <c r="C108" s="12"/>
      <c r="D108" s="2" t="s">
        <v>54</v>
      </c>
    </row>
    <row r="110" spans="2:7" x14ac:dyDescent="0.2">
      <c r="B110" s="21" t="s">
        <v>32</v>
      </c>
    </row>
    <row r="111" spans="2:7" x14ac:dyDescent="0.2">
      <c r="B111" s="1"/>
    </row>
    <row r="112" spans="2:7" x14ac:dyDescent="0.2">
      <c r="B112" s="22" t="s">
        <v>37</v>
      </c>
    </row>
    <row r="113" spans="2:4" x14ac:dyDescent="0.2">
      <c r="B113" s="23" t="s">
        <v>31</v>
      </c>
      <c r="D113" s="3" t="s">
        <v>40</v>
      </c>
    </row>
    <row r="114" spans="2:4" x14ac:dyDescent="0.2">
      <c r="B114" s="27" t="s">
        <v>29</v>
      </c>
      <c r="D114" s="3" t="s">
        <v>33</v>
      </c>
    </row>
    <row r="115" spans="2:4" x14ac:dyDescent="0.2">
      <c r="B115" s="93" t="s">
        <v>343</v>
      </c>
      <c r="D115" s="2" t="s">
        <v>344</v>
      </c>
    </row>
    <row r="116" spans="2:4" x14ac:dyDescent="0.2">
      <c r="B116" s="33" t="s">
        <v>30</v>
      </c>
      <c r="D116" s="3" t="s">
        <v>34</v>
      </c>
    </row>
    <row r="117" spans="2:4" x14ac:dyDescent="0.2">
      <c r="D117" s="3"/>
    </row>
    <row r="118" spans="2:4" x14ac:dyDescent="0.2">
      <c r="B118" s="22" t="s">
        <v>39</v>
      </c>
      <c r="D118" s="3"/>
    </row>
    <row r="119" spans="2:4" x14ac:dyDescent="0.2">
      <c r="B119" s="16" t="s">
        <v>35</v>
      </c>
      <c r="D119" s="3" t="s">
        <v>41</v>
      </c>
    </row>
    <row r="120" spans="2:4" x14ac:dyDescent="0.2">
      <c r="B120" s="17" t="s">
        <v>38</v>
      </c>
      <c r="D120" s="2" t="s">
        <v>64</v>
      </c>
    </row>
    <row r="126" spans="2:4" x14ac:dyDescent="0.2">
      <c r="B126" s="22"/>
    </row>
  </sheetData>
  <pageMargins left="0.75" right="0.75" top="1" bottom="1" header="0.5" footer="0.5"/>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8D9"/>
  </sheetPr>
  <dimension ref="B2:I49"/>
  <sheetViews>
    <sheetView showGridLines="0" zoomScale="85" zoomScaleNormal="85" workbookViewId="0">
      <pane ySplit="3" topLeftCell="A4" activePane="bottomLeft" state="frozen"/>
      <selection activeCell="P579" sqref="P579"/>
      <selection pane="bottomLeft"/>
    </sheetView>
  </sheetViews>
  <sheetFormatPr defaultColWidth="9.140625" defaultRowHeight="12.75" x14ac:dyDescent="0.2"/>
  <cols>
    <col min="1" max="1" width="5.7109375" style="2" customWidth="1"/>
    <col min="2" max="2" width="7.5703125" style="2" customWidth="1"/>
    <col min="3" max="3" width="84" style="2" customWidth="1"/>
    <col min="4" max="4" width="70.85546875" style="2" customWidth="1"/>
    <col min="5" max="5" width="36.28515625" style="2" customWidth="1"/>
    <col min="6" max="6" width="45.140625" style="2" customWidth="1"/>
    <col min="7" max="7" width="49.7109375" style="2" customWidth="1"/>
    <col min="8" max="8" width="5.7109375" style="2" customWidth="1"/>
    <col min="9" max="16384" width="9.140625" style="2"/>
  </cols>
  <sheetData>
    <row r="2" spans="2:9" s="6" customFormat="1" ht="18" x14ac:dyDescent="0.2">
      <c r="B2" s="6" t="s">
        <v>223</v>
      </c>
    </row>
    <row r="5" spans="2:9" s="7" customFormat="1" x14ac:dyDescent="0.2">
      <c r="B5" s="7" t="s">
        <v>22</v>
      </c>
    </row>
    <row r="7" spans="2:9" x14ac:dyDescent="0.2">
      <c r="B7" s="22" t="s">
        <v>58</v>
      </c>
    </row>
    <row r="8" spans="2:9" x14ac:dyDescent="0.2">
      <c r="B8" s="22" t="s">
        <v>59</v>
      </c>
    </row>
    <row r="10" spans="2:9" x14ac:dyDescent="0.2">
      <c r="B10" s="15" t="s">
        <v>50</v>
      </c>
      <c r="C10" s="15" t="s">
        <v>51</v>
      </c>
      <c r="D10" s="15" t="s">
        <v>71</v>
      </c>
      <c r="E10" s="15" t="s">
        <v>57</v>
      </c>
      <c r="F10" s="15" t="s">
        <v>72</v>
      </c>
      <c r="G10" s="15" t="s">
        <v>0</v>
      </c>
      <c r="I10" s="20"/>
    </row>
    <row r="11" spans="2:9" x14ac:dyDescent="0.2">
      <c r="B11" s="18"/>
      <c r="C11" s="18" t="s">
        <v>56</v>
      </c>
      <c r="D11" s="18" t="s">
        <v>23</v>
      </c>
      <c r="E11" s="18" t="s">
        <v>60</v>
      </c>
      <c r="F11" s="18" t="s">
        <v>73</v>
      </c>
      <c r="G11" s="18"/>
    </row>
    <row r="12" spans="2:9" x14ac:dyDescent="0.2">
      <c r="B12" s="5">
        <v>1</v>
      </c>
      <c r="C12" s="5" t="s">
        <v>113</v>
      </c>
      <c r="D12" s="5"/>
      <c r="E12" s="5"/>
      <c r="F12" s="88" t="s">
        <v>316</v>
      </c>
      <c r="G12" s="5"/>
    </row>
    <row r="13" spans="2:9" x14ac:dyDescent="0.2">
      <c r="B13" s="5">
        <v>2</v>
      </c>
      <c r="C13" s="5" t="s">
        <v>119</v>
      </c>
      <c r="D13" s="5"/>
      <c r="E13" s="5"/>
      <c r="F13" s="88" t="s">
        <v>316</v>
      </c>
      <c r="G13" s="5"/>
    </row>
    <row r="14" spans="2:9" x14ac:dyDescent="0.2">
      <c r="B14" s="5">
        <v>3</v>
      </c>
      <c r="C14" s="5" t="s">
        <v>1149</v>
      </c>
      <c r="D14" s="5"/>
      <c r="E14" s="5"/>
      <c r="F14" s="150" t="s">
        <v>316</v>
      </c>
      <c r="G14" s="5"/>
    </row>
    <row r="15" spans="2:9" x14ac:dyDescent="0.2">
      <c r="B15" s="5">
        <v>4</v>
      </c>
      <c r="C15" s="5" t="s">
        <v>1150</v>
      </c>
      <c r="D15" s="5"/>
      <c r="E15" s="5"/>
      <c r="F15" s="88" t="s">
        <v>316</v>
      </c>
      <c r="G15" s="5"/>
    </row>
    <row r="16" spans="2:9" x14ac:dyDescent="0.2">
      <c r="B16" s="5">
        <v>5</v>
      </c>
      <c r="C16" s="5" t="s">
        <v>361</v>
      </c>
      <c r="D16" s="5"/>
      <c r="E16" s="5"/>
      <c r="F16" s="5" t="s">
        <v>317</v>
      </c>
      <c r="G16" s="5"/>
    </row>
    <row r="17" spans="2:7" x14ac:dyDescent="0.2">
      <c r="B17" s="5">
        <v>6</v>
      </c>
      <c r="C17" s="5" t="s">
        <v>362</v>
      </c>
      <c r="D17" s="5"/>
      <c r="E17" s="5"/>
      <c r="F17" s="5" t="s">
        <v>317</v>
      </c>
      <c r="G17" s="5"/>
    </row>
    <row r="18" spans="2:7" x14ac:dyDescent="0.2">
      <c r="B18" s="5">
        <v>7</v>
      </c>
      <c r="C18" s="5" t="s">
        <v>363</v>
      </c>
      <c r="D18" s="5"/>
      <c r="E18" s="5"/>
      <c r="F18" s="5" t="s">
        <v>317</v>
      </c>
      <c r="G18" s="5"/>
    </row>
    <row r="19" spans="2:7" x14ac:dyDescent="0.2">
      <c r="B19" s="5">
        <v>8</v>
      </c>
      <c r="C19" s="5" t="s">
        <v>364</v>
      </c>
      <c r="D19" s="5"/>
      <c r="E19" s="5"/>
      <c r="F19" s="5" t="s">
        <v>317</v>
      </c>
      <c r="G19" s="5"/>
    </row>
    <row r="20" spans="2:7" x14ac:dyDescent="0.2">
      <c r="B20" s="5">
        <v>9</v>
      </c>
      <c r="C20" s="5" t="s">
        <v>365</v>
      </c>
      <c r="D20" s="5"/>
      <c r="E20" s="5"/>
      <c r="F20" s="5" t="s">
        <v>317</v>
      </c>
      <c r="G20" s="5"/>
    </row>
    <row r="21" spans="2:7" x14ac:dyDescent="0.2">
      <c r="B21" s="5">
        <v>10</v>
      </c>
      <c r="C21" s="5" t="s">
        <v>475</v>
      </c>
      <c r="D21" s="5"/>
      <c r="E21" s="5"/>
      <c r="F21" s="5" t="s">
        <v>317</v>
      </c>
      <c r="G21" s="5"/>
    </row>
    <row r="22" spans="2:7" x14ac:dyDescent="0.2">
      <c r="B22" s="5">
        <v>11</v>
      </c>
      <c r="C22" s="5" t="s">
        <v>707</v>
      </c>
      <c r="D22" s="5"/>
      <c r="E22" s="5"/>
      <c r="F22" s="5" t="s">
        <v>317</v>
      </c>
      <c r="G22" s="5"/>
    </row>
    <row r="23" spans="2:7" x14ac:dyDescent="0.2">
      <c r="B23" s="5">
        <v>12</v>
      </c>
      <c r="C23" s="5" t="s">
        <v>1090</v>
      </c>
      <c r="D23" s="5"/>
      <c r="E23" s="5"/>
      <c r="F23" s="5" t="s">
        <v>317</v>
      </c>
      <c r="G23" s="5"/>
    </row>
    <row r="24" spans="2:7" x14ac:dyDescent="0.2">
      <c r="B24" s="5">
        <v>13</v>
      </c>
      <c r="C24" s="5" t="s">
        <v>295</v>
      </c>
      <c r="D24" s="5"/>
      <c r="E24" s="5"/>
      <c r="F24" s="88" t="s">
        <v>316</v>
      </c>
      <c r="G24" s="5"/>
    </row>
    <row r="25" spans="2:7" x14ac:dyDescent="0.2">
      <c r="B25" s="5">
        <v>14</v>
      </c>
      <c r="C25" s="5" t="s">
        <v>366</v>
      </c>
      <c r="D25" s="5"/>
      <c r="E25" s="5"/>
      <c r="F25" s="88" t="s">
        <v>316</v>
      </c>
      <c r="G25" s="5"/>
    </row>
    <row r="26" spans="2:7" x14ac:dyDescent="0.2">
      <c r="B26" s="5">
        <v>15</v>
      </c>
      <c r="C26" s="5" t="s">
        <v>330</v>
      </c>
      <c r="D26" s="5"/>
      <c r="E26" s="5"/>
      <c r="F26" s="88" t="s">
        <v>316</v>
      </c>
      <c r="G26" s="5"/>
    </row>
    <row r="27" spans="2:7" x14ac:dyDescent="0.2">
      <c r="B27" s="5">
        <v>16</v>
      </c>
      <c r="C27" s="5" t="s">
        <v>708</v>
      </c>
      <c r="D27" s="5"/>
      <c r="E27" s="5"/>
      <c r="F27" s="88" t="s">
        <v>316</v>
      </c>
      <c r="G27" s="5"/>
    </row>
    <row r="28" spans="2:7" x14ac:dyDescent="0.2">
      <c r="B28" s="5">
        <v>17</v>
      </c>
      <c r="C28" s="5" t="s">
        <v>1091</v>
      </c>
      <c r="D28" s="5"/>
      <c r="E28" s="5"/>
      <c r="F28" s="88" t="s">
        <v>316</v>
      </c>
      <c r="G28" s="5"/>
    </row>
    <row r="29" spans="2:7" x14ac:dyDescent="0.2">
      <c r="B29" s="5">
        <v>18</v>
      </c>
      <c r="C29" s="5" t="s">
        <v>581</v>
      </c>
      <c r="D29" s="5" t="s">
        <v>1141</v>
      </c>
      <c r="E29" s="5"/>
      <c r="F29" s="5" t="s">
        <v>317</v>
      </c>
      <c r="G29" s="5"/>
    </row>
    <row r="30" spans="2:7" x14ac:dyDescent="0.2">
      <c r="B30" s="5">
        <v>19</v>
      </c>
      <c r="C30" s="5" t="s">
        <v>588</v>
      </c>
      <c r="D30" s="5" t="s">
        <v>477</v>
      </c>
      <c r="E30" s="5"/>
      <c r="F30" s="88" t="s">
        <v>316</v>
      </c>
      <c r="G30" s="5"/>
    </row>
    <row r="31" spans="2:7" x14ac:dyDescent="0.2">
      <c r="B31" s="5">
        <v>20</v>
      </c>
      <c r="C31" s="5" t="s">
        <v>481</v>
      </c>
      <c r="D31" s="5" t="s">
        <v>476</v>
      </c>
      <c r="E31" s="5"/>
      <c r="F31" s="88" t="s">
        <v>316</v>
      </c>
      <c r="G31" s="5"/>
    </row>
    <row r="32" spans="2:7" x14ac:dyDescent="0.2">
      <c r="B32" s="5">
        <v>21</v>
      </c>
      <c r="C32" s="5" t="s">
        <v>482</v>
      </c>
      <c r="D32" s="5" t="s">
        <v>478</v>
      </c>
      <c r="E32" s="5"/>
      <c r="F32" s="88" t="s">
        <v>316</v>
      </c>
      <c r="G32" s="5"/>
    </row>
    <row r="33" spans="2:7" x14ac:dyDescent="0.2">
      <c r="B33" s="5">
        <v>22</v>
      </c>
      <c r="C33" s="103" t="s">
        <v>484</v>
      </c>
      <c r="D33" s="5"/>
      <c r="E33" s="5" t="s">
        <v>480</v>
      </c>
      <c r="F33" s="88" t="s">
        <v>316</v>
      </c>
      <c r="G33" s="5"/>
    </row>
    <row r="34" spans="2:7" x14ac:dyDescent="0.2">
      <c r="B34" s="5">
        <v>23</v>
      </c>
      <c r="C34" s="5" t="s">
        <v>483</v>
      </c>
      <c r="D34" s="5"/>
      <c r="E34" s="5" t="s">
        <v>479</v>
      </c>
      <c r="F34" s="88" t="s">
        <v>316</v>
      </c>
      <c r="G34" s="5"/>
    </row>
    <row r="35" spans="2:7" x14ac:dyDescent="0.2">
      <c r="B35" s="5">
        <v>24</v>
      </c>
      <c r="C35" s="5" t="s">
        <v>1095</v>
      </c>
      <c r="D35" s="5" t="s">
        <v>1143</v>
      </c>
      <c r="E35" s="5"/>
      <c r="F35" s="5" t="s">
        <v>317</v>
      </c>
      <c r="G35" s="5"/>
    </row>
    <row r="36" spans="2:7" x14ac:dyDescent="0.2">
      <c r="B36" s="5">
        <v>25</v>
      </c>
      <c r="C36" s="5" t="s">
        <v>1094</v>
      </c>
      <c r="D36" s="5" t="s">
        <v>1144</v>
      </c>
      <c r="E36" s="5"/>
      <c r="F36" s="5" t="s">
        <v>317</v>
      </c>
      <c r="G36" s="5"/>
    </row>
    <row r="37" spans="2:7" x14ac:dyDescent="0.2">
      <c r="B37" s="5">
        <v>26</v>
      </c>
      <c r="C37" s="5" t="s">
        <v>1093</v>
      </c>
      <c r="D37" s="5" t="s">
        <v>1142</v>
      </c>
      <c r="E37" s="5"/>
      <c r="F37" s="5" t="s">
        <v>317</v>
      </c>
      <c r="G37" s="5"/>
    </row>
    <row r="38" spans="2:7" x14ac:dyDescent="0.2">
      <c r="B38" s="5">
        <v>27</v>
      </c>
      <c r="C38" s="5" t="s">
        <v>1092</v>
      </c>
      <c r="D38" s="5" t="s">
        <v>1096</v>
      </c>
      <c r="E38" s="5"/>
      <c r="F38" s="5" t="s">
        <v>317</v>
      </c>
      <c r="G38" s="5"/>
    </row>
    <row r="39" spans="2:7" x14ac:dyDescent="0.2">
      <c r="B39" s="5">
        <v>28</v>
      </c>
      <c r="C39" s="5" t="s">
        <v>1097</v>
      </c>
      <c r="D39" s="5" t="s">
        <v>1145</v>
      </c>
      <c r="E39" s="5" t="s">
        <v>709</v>
      </c>
      <c r="F39" s="88" t="s">
        <v>316</v>
      </c>
      <c r="G39" s="5"/>
    </row>
    <row r="41" spans="2:7" s="7" customFormat="1" x14ac:dyDescent="0.2">
      <c r="B41" s="7" t="s">
        <v>49</v>
      </c>
    </row>
    <row r="43" spans="2:7" x14ac:dyDescent="0.2">
      <c r="B43" s="22" t="s">
        <v>47</v>
      </c>
    </row>
    <row r="44" spans="2:7" x14ac:dyDescent="0.2">
      <c r="B44" s="22" t="s">
        <v>48</v>
      </c>
    </row>
    <row r="46" spans="2:7" ht="42.95" customHeight="1" x14ac:dyDescent="0.2">
      <c r="B46" s="163" t="s">
        <v>466</v>
      </c>
      <c r="C46" s="163"/>
      <c r="D46" s="163"/>
      <c r="E46" s="163"/>
    </row>
    <row r="48" spans="2:7" ht="29.1" customHeight="1" x14ac:dyDescent="0.2">
      <c r="B48" s="163" t="s">
        <v>739</v>
      </c>
      <c r="C48" s="163"/>
      <c r="D48" s="163"/>
      <c r="E48" s="163"/>
    </row>
    <row r="49" spans="2:2" x14ac:dyDescent="0.2">
      <c r="B49" s="22"/>
    </row>
  </sheetData>
  <mergeCells count="2">
    <mergeCell ref="B46:E46"/>
    <mergeCell ref="B48:E48"/>
  </mergeCells>
  <phoneticPr fontId="30" type="noConversion"/>
  <hyperlinks>
    <hyperlink ref="F12" r:id="rId1" location="/CBS/nl/dataset/70936ned/table?ts=1532343719053." xr:uid="{74C3005B-77DC-4CD6-8FE4-0204400193CB}"/>
    <hyperlink ref="F13" r:id="rId2" location="/details/wettelijke-rente/dataset/2ed0b77d-72c5-47e8-8a3d-0c213048e11d/resource/b363a333-1ce1-4ba0-83b9-80bdf6f78fa0" xr:uid="{E8E402C7-3192-4695-9A6F-B66958208A05}"/>
    <hyperlink ref="F24" r:id="rId3" xr:uid="{E1905E08-F04E-493D-8614-A90B4BA44CDC}"/>
    <hyperlink ref="F25" r:id="rId4" xr:uid="{029F6AF1-00D3-45F9-93E6-66B074E1A85A}"/>
    <hyperlink ref="F26" r:id="rId5" xr:uid="{F85A78C0-8A8E-40F3-8858-37B66A957DB4}"/>
    <hyperlink ref="F31" r:id="rId6" xr:uid="{9DD88BEA-3CE7-4E16-8A0A-798F381DD03A}"/>
    <hyperlink ref="F30" r:id="rId7" xr:uid="{4A13AD45-F2E2-409F-9F36-FCD9390E8704}"/>
    <hyperlink ref="F34" r:id="rId8" xr:uid="{10CAA6E7-29D6-4ED2-8AD2-6FCF61E666B1}"/>
    <hyperlink ref="F33" r:id="rId9" xr:uid="{DB7D6FA4-F277-441F-83CC-582DC915E3BB}"/>
    <hyperlink ref="F15" r:id="rId10" xr:uid="{EEBE412D-C45C-4FF2-8418-4C543547EFFF}"/>
    <hyperlink ref="F27" r:id="rId11" xr:uid="{C78755A2-14AD-426B-BD5C-BCABEEB53A13}"/>
    <hyperlink ref="F32" r:id="rId12" xr:uid="{F890F1CE-E6B5-47AD-A7B7-ED2BE297C1CA}"/>
    <hyperlink ref="F28" r:id="rId13" xr:uid="{7B6763FE-833C-4350-B997-ABE6C1ECEC5B}"/>
    <hyperlink ref="F39" r:id="rId14" xr:uid="{0E73C710-C315-4AF7-924C-A08F4410758A}"/>
    <hyperlink ref="F14" r:id="rId15" xr:uid="{63FFA73D-2013-4924-9958-E866155F9B1B}"/>
  </hyperlinks>
  <pageMargins left="0.75" right="0.75" top="1" bottom="1" header="0.5" footer="0.5"/>
  <pageSetup paperSize="9" orientation="portrait"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FF"/>
  </sheetPr>
  <dimension ref="A2:M72"/>
  <sheetViews>
    <sheetView showGridLines="0" zoomScale="85" zoomScaleNormal="85" workbookViewId="0">
      <pane xSplit="6" ySplit="11" topLeftCell="G38" activePane="bottomRight" state="frozen"/>
      <selection activeCell="P579" sqref="P579"/>
      <selection pane="topRight" activeCell="P579" sqref="P579"/>
      <selection pane="bottomLeft" activeCell="P579" sqref="P579"/>
      <selection pane="bottomRight"/>
    </sheetView>
  </sheetViews>
  <sheetFormatPr defaultColWidth="9.140625" defaultRowHeight="12.75" x14ac:dyDescent="0.2"/>
  <cols>
    <col min="1" max="1" width="5.7109375" style="2" customWidth="1"/>
    <col min="2" max="2" width="104" style="2" bestFit="1" customWidth="1"/>
    <col min="3" max="5" width="5.7109375" style="2" customWidth="1"/>
    <col min="6" max="6" width="13.7109375" style="2" customWidth="1"/>
    <col min="7" max="7" width="2.7109375" style="2" customWidth="1"/>
    <col min="8" max="8" width="14.5703125" style="2" bestFit="1" customWidth="1"/>
    <col min="9" max="9" width="2.7109375" style="2" customWidth="1"/>
    <col min="10" max="11" width="14.85546875" style="2" customWidth="1"/>
    <col min="12" max="12" width="2.7109375" style="2" customWidth="1"/>
    <col min="13" max="13" width="30.85546875" style="2" customWidth="1"/>
    <col min="14" max="27" width="13.7109375" style="2" customWidth="1"/>
    <col min="28" max="16384" width="9.140625" style="2"/>
  </cols>
  <sheetData>
    <row r="2" spans="1:13" s="13" customFormat="1" ht="18" x14ac:dyDescent="0.2">
      <c r="B2" s="13" t="s">
        <v>970</v>
      </c>
    </row>
    <row r="4" spans="1:13" x14ac:dyDescent="0.2">
      <c r="B4" s="21" t="s">
        <v>53</v>
      </c>
      <c r="C4" s="1"/>
      <c r="D4" s="1"/>
    </row>
    <row r="5" spans="1:13" ht="78.75" customHeight="1" x14ac:dyDescent="0.2">
      <c r="B5" s="163" t="s">
        <v>1283</v>
      </c>
      <c r="C5" s="163"/>
      <c r="D5" s="163"/>
      <c r="E5" s="163"/>
    </row>
    <row r="6" spans="1:13" x14ac:dyDescent="0.2">
      <c r="C6" s="3"/>
      <c r="D6" s="3"/>
    </row>
    <row r="7" spans="1:13" x14ac:dyDescent="0.2">
      <c r="B7" s="22" t="s">
        <v>27</v>
      </c>
      <c r="C7" s="3"/>
      <c r="D7" s="3"/>
    </row>
    <row r="8" spans="1:13" x14ac:dyDescent="0.2">
      <c r="B8" s="165" t="s">
        <v>84</v>
      </c>
      <c r="C8" s="165"/>
      <c r="D8" s="165"/>
      <c r="E8" s="165"/>
    </row>
    <row r="10" spans="1:13" s="7" customFormat="1" x14ac:dyDescent="0.2">
      <c r="B10" s="7" t="s">
        <v>42</v>
      </c>
      <c r="F10" s="7" t="s">
        <v>24</v>
      </c>
      <c r="H10" s="7" t="s">
        <v>46</v>
      </c>
      <c r="J10" s="7" t="s">
        <v>85</v>
      </c>
      <c r="K10" s="7" t="s">
        <v>86</v>
      </c>
      <c r="M10" s="7" t="s">
        <v>44</v>
      </c>
    </row>
    <row r="13" spans="1:13" s="7" customFormat="1" x14ac:dyDescent="0.2">
      <c r="B13" s="7" t="s">
        <v>87</v>
      </c>
    </row>
    <row r="15" spans="1:13" s="7" customFormat="1" x14ac:dyDescent="0.2">
      <c r="B15" s="7" t="s">
        <v>88</v>
      </c>
    </row>
    <row r="16" spans="1:13" x14ac:dyDescent="0.2">
      <c r="A16" s="19"/>
    </row>
    <row r="17" spans="1:13" x14ac:dyDescent="0.2">
      <c r="A17" s="19"/>
      <c r="B17" s="2" t="s">
        <v>836</v>
      </c>
      <c r="F17" s="2" t="s">
        <v>922</v>
      </c>
      <c r="H17" s="23">
        <f t="shared" ref="H17" si="0">SUM(J17:K17)</f>
        <v>2220182593.9379778</v>
      </c>
      <c r="J17" s="23">
        <f>'6. Correcties en prognoses'!AM13</f>
        <v>1208238290.268142</v>
      </c>
      <c r="K17" s="23">
        <f>'6. Correcties en prognoses'!AM32</f>
        <v>1011944303.6698358</v>
      </c>
    </row>
    <row r="19" spans="1:13" x14ac:dyDescent="0.2">
      <c r="B19" s="2" t="s">
        <v>953</v>
      </c>
      <c r="F19" s="2" t="s">
        <v>922</v>
      </c>
      <c r="H19" s="23">
        <f>SUM(J19:K19)</f>
        <v>2220182593.9379778</v>
      </c>
      <c r="J19" s="23">
        <f>SUM(J17:J17)</f>
        <v>1208238290.268142</v>
      </c>
      <c r="K19" s="23">
        <f>SUM(K17:K17)</f>
        <v>1011944303.6698358</v>
      </c>
    </row>
    <row r="21" spans="1:13" s="7" customFormat="1" x14ac:dyDescent="0.2">
      <c r="B21" s="7" t="s">
        <v>89</v>
      </c>
    </row>
    <row r="23" spans="1:13" x14ac:dyDescent="0.2">
      <c r="B23" s="21" t="s">
        <v>91</v>
      </c>
    </row>
    <row r="24" spans="1:13" x14ac:dyDescent="0.2">
      <c r="B24" s="2" t="s">
        <v>573</v>
      </c>
      <c r="F24" s="2" t="s">
        <v>922</v>
      </c>
      <c r="H24" s="23">
        <f>SUM(J24:K24)</f>
        <v>-245000000</v>
      </c>
      <c r="J24" s="23">
        <f>'6. Correcties en prognoses'!AM27</f>
        <v>-245000000</v>
      </c>
      <c r="K24" s="50"/>
      <c r="M24" s="2" t="s">
        <v>645</v>
      </c>
    </row>
    <row r="25" spans="1:13" x14ac:dyDescent="0.2">
      <c r="B25" s="2" t="s">
        <v>1299</v>
      </c>
      <c r="F25" s="2" t="s">
        <v>922</v>
      </c>
      <c r="H25" s="23">
        <f>SUM(J25:K25)</f>
        <v>120436069.86187726</v>
      </c>
      <c r="J25" s="23">
        <f>'6. Correcties en prognoses'!AM24</f>
        <v>120436069.86187726</v>
      </c>
      <c r="K25" s="50"/>
      <c r="M25" s="2" t="s">
        <v>1287</v>
      </c>
    </row>
    <row r="26" spans="1:13" x14ac:dyDescent="0.2">
      <c r="B26" s="2" t="s">
        <v>1300</v>
      </c>
      <c r="F26" s="2" t="s">
        <v>922</v>
      </c>
      <c r="H26" s="23">
        <f>SUM(J26:K26)</f>
        <v>969124272.4040544</v>
      </c>
      <c r="J26" s="23">
        <f>'6. Correcties en prognoses'!AM25</f>
        <v>969124272.4040544</v>
      </c>
      <c r="K26" s="50"/>
      <c r="M26" s="2" t="s">
        <v>1287</v>
      </c>
    </row>
    <row r="27" spans="1:13" x14ac:dyDescent="0.2">
      <c r="B27" s="2" t="s">
        <v>957</v>
      </c>
      <c r="F27" s="2" t="s">
        <v>922</v>
      </c>
      <c r="H27" s="23">
        <f t="shared" ref="H27:H30" si="1">SUM(J27:K27)</f>
        <v>-28877303.897926509</v>
      </c>
      <c r="J27" s="50"/>
      <c r="K27" s="23">
        <f>'18. Correcties OA&amp;M en IKTNN'!M36</f>
        <v>-28877303.897926509</v>
      </c>
      <c r="M27" s="2" t="s">
        <v>1284</v>
      </c>
    </row>
    <row r="28" spans="1:13" x14ac:dyDescent="0.2">
      <c r="B28" s="2" t="s">
        <v>958</v>
      </c>
      <c r="F28" s="2" t="s">
        <v>922</v>
      </c>
      <c r="H28" s="23">
        <f t="shared" si="1"/>
        <v>-18075379.561422173</v>
      </c>
      <c r="J28" s="23">
        <f>'18. Correcties OA&amp;M en IKTNN'!L40</f>
        <v>-18075379.561422173</v>
      </c>
      <c r="K28" s="50"/>
      <c r="M28" s="2" t="s">
        <v>1284</v>
      </c>
    </row>
    <row r="29" spans="1:13" x14ac:dyDescent="0.2">
      <c r="B29" s="2" t="s">
        <v>959</v>
      </c>
      <c r="F29" s="2" t="s">
        <v>922</v>
      </c>
      <c r="H29" s="23">
        <f t="shared" si="1"/>
        <v>-106615783.01662183</v>
      </c>
      <c r="J29" s="23">
        <f>'24. Omzetcorrectie'!H39</f>
        <v>86027559.047411174</v>
      </c>
      <c r="K29" s="23">
        <f>'24. Omzetcorrectie'!H44</f>
        <v>-192643342.064033</v>
      </c>
      <c r="M29" s="2" t="s">
        <v>1285</v>
      </c>
    </row>
    <row r="30" spans="1:13" x14ac:dyDescent="0.2">
      <c r="B30" s="2" t="s">
        <v>752</v>
      </c>
      <c r="F30" s="2" t="s">
        <v>922</v>
      </c>
      <c r="H30" s="23">
        <f t="shared" si="1"/>
        <v>0</v>
      </c>
      <c r="J30" s="50"/>
      <c r="K30" s="23">
        <f>'25. Overige correcties'!AM78</f>
        <v>0</v>
      </c>
      <c r="M30" s="2" t="s">
        <v>1286</v>
      </c>
    </row>
    <row r="32" spans="1:13" x14ac:dyDescent="0.2">
      <c r="B32" s="21" t="s">
        <v>90</v>
      </c>
    </row>
    <row r="33" spans="2:11" x14ac:dyDescent="0.2">
      <c r="B33" s="2" t="s">
        <v>1098</v>
      </c>
      <c r="F33" s="2" t="s">
        <v>922</v>
      </c>
      <c r="H33" s="23">
        <f>SUM(J33:K33)</f>
        <v>-56645400</v>
      </c>
      <c r="J33" s="23">
        <f>'6. Correcties en prognoses'!AM16</f>
        <v>-4305886.4922257001</v>
      </c>
      <c r="K33" s="23">
        <f>'6. Correcties en prognoses'!AM35</f>
        <v>-52339513.507774301</v>
      </c>
    </row>
    <row r="34" spans="2:11" x14ac:dyDescent="0.2">
      <c r="B34" s="2" t="s">
        <v>960</v>
      </c>
      <c r="F34" s="2" t="s">
        <v>922</v>
      </c>
      <c r="H34" s="23">
        <f>SUM(J34:K34)</f>
        <v>124005805.45116147</v>
      </c>
      <c r="J34" s="23">
        <f>'22. Correctie WACC'!AM105</f>
        <v>54326188.588712797</v>
      </c>
      <c r="K34" s="23">
        <f>'22. Correctie WACC'!AM106</f>
        <v>69679616.862448677</v>
      </c>
    </row>
    <row r="35" spans="2:11" x14ac:dyDescent="0.2">
      <c r="B35" s="2" t="s">
        <v>961</v>
      </c>
      <c r="F35" s="2" t="s">
        <v>922</v>
      </c>
      <c r="H35" s="23">
        <f t="shared" ref="H35:H57" si="2">SUM(J35:K35)</f>
        <v>3201649.3880341677</v>
      </c>
      <c r="J35" s="23">
        <f>'22. Correctie WACC'!AM107</f>
        <v>3201649.3880341677</v>
      </c>
      <c r="K35" s="50"/>
    </row>
    <row r="36" spans="2:11" x14ac:dyDescent="0.2">
      <c r="B36" s="91" t="s">
        <v>962</v>
      </c>
      <c r="F36" s="2" t="s">
        <v>922</v>
      </c>
      <c r="H36" s="23">
        <f t="shared" si="2"/>
        <v>19753285.653459318</v>
      </c>
      <c r="J36" s="23">
        <f>'10. Brondata'!AM13</f>
        <v>18114028.552462898</v>
      </c>
      <c r="K36" s="23">
        <f>'10. Brondata'!AM14</f>
        <v>1639257.1009964186</v>
      </c>
    </row>
    <row r="37" spans="2:11" x14ac:dyDescent="0.2">
      <c r="B37" s="91" t="s">
        <v>963</v>
      </c>
      <c r="F37" s="2" t="s">
        <v>922</v>
      </c>
      <c r="H37" s="23">
        <f t="shared" si="2"/>
        <v>43631106.648673475</v>
      </c>
      <c r="J37" s="23">
        <f>'10. Brondata'!AM17</f>
        <v>41844847.837775692</v>
      </c>
      <c r="K37" s="23">
        <f>'10. Brondata'!AM18</f>
        <v>1786258.8108977827</v>
      </c>
    </row>
    <row r="38" spans="2:11" x14ac:dyDescent="0.2">
      <c r="B38" s="2" t="s">
        <v>971</v>
      </c>
      <c r="F38" s="2" t="s">
        <v>922</v>
      </c>
      <c r="H38" s="23">
        <f t="shared" si="2"/>
        <v>29253.651802032615</v>
      </c>
      <c r="J38" s="23">
        <f>'10. Brondata'!AM21</f>
        <v>2511.8620975183121</v>
      </c>
      <c r="K38" s="23">
        <f>'10. Brondata'!AM24</f>
        <v>26741.789704514304</v>
      </c>
    </row>
    <row r="39" spans="2:11" x14ac:dyDescent="0.2">
      <c r="B39" s="2" t="s">
        <v>964</v>
      </c>
      <c r="F39" s="2" t="s">
        <v>922</v>
      </c>
      <c r="H39" s="23">
        <f t="shared" si="2"/>
        <v>48271.900453107366</v>
      </c>
      <c r="J39" s="23">
        <f>'10. Brondata'!AM26</f>
        <v>48271.900453107366</v>
      </c>
      <c r="K39" s="50"/>
    </row>
    <row r="40" spans="2:11" x14ac:dyDescent="0.2">
      <c r="B40" s="2" t="s">
        <v>1017</v>
      </c>
      <c r="F40" s="2" t="s">
        <v>922</v>
      </c>
      <c r="H40" s="23">
        <f t="shared" si="2"/>
        <v>3045642.4973490275</v>
      </c>
      <c r="J40" s="23">
        <f>'10. Brondata'!AM27</f>
        <v>2034723.9688852844</v>
      </c>
      <c r="K40" s="23">
        <f>'10. Brondata'!AM28</f>
        <v>1010918.5284637433</v>
      </c>
    </row>
    <row r="41" spans="2:11" x14ac:dyDescent="0.2">
      <c r="B41" s="2" t="s">
        <v>1004</v>
      </c>
      <c r="F41" s="2" t="s">
        <v>922</v>
      </c>
      <c r="H41" s="23">
        <f t="shared" si="2"/>
        <v>2691483.8489603447</v>
      </c>
      <c r="J41" s="23">
        <f>'10. Brondata'!AM29</f>
        <v>2691483.8489603447</v>
      </c>
      <c r="K41" s="50"/>
    </row>
    <row r="42" spans="2:11" x14ac:dyDescent="0.2">
      <c r="B42" s="2" t="s">
        <v>1005</v>
      </c>
      <c r="F42" s="2" t="s">
        <v>922</v>
      </c>
      <c r="H42" s="23">
        <f t="shared" si="2"/>
        <v>1218251.4787943137</v>
      </c>
      <c r="J42" s="23">
        <f>'10. Brondata'!AM30</f>
        <v>1218251.4787943137</v>
      </c>
      <c r="K42" s="50"/>
    </row>
    <row r="43" spans="2:11" x14ac:dyDescent="0.2">
      <c r="B43" s="2" t="s">
        <v>849</v>
      </c>
      <c r="F43" s="2" t="s">
        <v>922</v>
      </c>
      <c r="H43" s="23">
        <f t="shared" si="2"/>
        <v>-8860637.6466495562</v>
      </c>
      <c r="J43" s="23">
        <f>'18. Correcties OA&amp;M en IKTNN'!L32</f>
        <v>-281920.87062656967</v>
      </c>
      <c r="K43" s="23">
        <f>'18. Correcties OA&amp;M en IKTNN'!M32</f>
        <v>-8578716.7760229874</v>
      </c>
    </row>
    <row r="44" spans="2:11" x14ac:dyDescent="0.2">
      <c r="B44" s="137" t="s">
        <v>103</v>
      </c>
      <c r="F44" s="2" t="s">
        <v>922</v>
      </c>
      <c r="H44" s="23">
        <f t="shared" si="2"/>
        <v>0</v>
      </c>
      <c r="J44" s="23">
        <f>'25. Overige correcties'!AM69</f>
        <v>0</v>
      </c>
      <c r="K44" s="23"/>
    </row>
    <row r="45" spans="2:11" x14ac:dyDescent="0.2">
      <c r="B45" s="137" t="s">
        <v>975</v>
      </c>
      <c r="F45" s="2" t="s">
        <v>922</v>
      </c>
      <c r="H45" s="23">
        <f t="shared" si="2"/>
        <v>16280341.493433829</v>
      </c>
      <c r="J45" s="50"/>
      <c r="K45" s="23">
        <f>'25. Overige correcties'!AM80</f>
        <v>16280341.493433829</v>
      </c>
    </row>
    <row r="46" spans="2:11" x14ac:dyDescent="0.2">
      <c r="B46" s="137" t="s">
        <v>976</v>
      </c>
      <c r="F46" s="2" t="s">
        <v>922</v>
      </c>
      <c r="H46" s="23">
        <f t="shared" si="2"/>
        <v>18044001.756487258</v>
      </c>
      <c r="J46" s="23">
        <f>'25. Overige correcties'!AM71</f>
        <v>10899990.409179827</v>
      </c>
      <c r="K46" s="23">
        <f>'25. Overige correcties'!AM81</f>
        <v>7144011.3473074315</v>
      </c>
    </row>
    <row r="47" spans="2:11" x14ac:dyDescent="0.2">
      <c r="B47" s="2" t="s">
        <v>977</v>
      </c>
      <c r="F47" s="2" t="s">
        <v>922</v>
      </c>
      <c r="H47" s="23">
        <f t="shared" si="2"/>
        <v>134420500.99351877</v>
      </c>
      <c r="J47" s="23">
        <f>'17. Correctie IKE&amp;V'!AM114</f>
        <v>74771629.227783024</v>
      </c>
      <c r="K47" s="23">
        <f>'17. Correctie IKE&amp;V'!AM148</f>
        <v>59648871.765735745</v>
      </c>
    </row>
    <row r="48" spans="2:11" x14ac:dyDescent="0.2">
      <c r="B48" s="2" t="s">
        <v>978</v>
      </c>
      <c r="F48" s="2" t="s">
        <v>922</v>
      </c>
      <c r="H48" s="23">
        <f t="shared" si="2"/>
        <v>88420882.544868082</v>
      </c>
      <c r="J48" s="23">
        <f>'17. Correctie IKE&amp;V'!AM176</f>
        <v>88420882.544868082</v>
      </c>
      <c r="K48" s="50"/>
    </row>
    <row r="49" spans="2:11" x14ac:dyDescent="0.2">
      <c r="B49" s="2" t="s">
        <v>468</v>
      </c>
      <c r="F49" s="2" t="s">
        <v>922</v>
      </c>
      <c r="H49" s="23">
        <f t="shared" si="2"/>
        <v>-325455.533147551</v>
      </c>
      <c r="J49" s="23">
        <f>'25. Overige correcties'!AM65</f>
        <v>0</v>
      </c>
      <c r="K49" s="23">
        <f>'25. Overige correcties'!AM74</f>
        <v>-325455.533147551</v>
      </c>
    </row>
    <row r="50" spans="2:11" x14ac:dyDescent="0.2">
      <c r="B50" s="2" t="s">
        <v>469</v>
      </c>
      <c r="F50" s="2" t="s">
        <v>922</v>
      </c>
      <c r="H50" s="23">
        <f t="shared" si="2"/>
        <v>-1371232.902216651</v>
      </c>
      <c r="J50" s="23">
        <f>'25. Overige correcties'!AM67</f>
        <v>-1371232.902216651</v>
      </c>
      <c r="K50" s="23">
        <f>'25. Overige correcties'!AM76</f>
        <v>0</v>
      </c>
    </row>
    <row r="51" spans="2:11" x14ac:dyDescent="0.2">
      <c r="B51" s="81" t="s">
        <v>973</v>
      </c>
      <c r="F51" s="2" t="s">
        <v>922</v>
      </c>
      <c r="H51" s="23">
        <f t="shared" si="2"/>
        <v>-603272.89648997399</v>
      </c>
      <c r="J51" s="23">
        <f>'19. Correctie desinvesteringen'!P579</f>
        <v>-340442.45585303672</v>
      </c>
      <c r="K51" s="23">
        <f>'19. Correctie desinvesteringen'!P580</f>
        <v>-262830.44063693727</v>
      </c>
    </row>
    <row r="52" spans="2:11" x14ac:dyDescent="0.2">
      <c r="B52" s="81" t="s">
        <v>974</v>
      </c>
      <c r="F52" s="2" t="s">
        <v>922</v>
      </c>
      <c r="H52" s="23">
        <f t="shared" si="2"/>
        <v>-12287.165217265356</v>
      </c>
      <c r="J52" s="23">
        <f>'19. Correctie desinvesteringen'!P581</f>
        <v>-12287.165217265356</v>
      </c>
      <c r="K52" s="50"/>
    </row>
    <row r="53" spans="2:11" x14ac:dyDescent="0.2">
      <c r="B53" s="81" t="s">
        <v>643</v>
      </c>
      <c r="F53" s="2" t="s">
        <v>922</v>
      </c>
      <c r="H53" s="23">
        <f t="shared" si="2"/>
        <v>50620761.474800415</v>
      </c>
      <c r="J53" s="23">
        <f>'20. Correctie bijschatten'!AM158</f>
        <v>17339326.568892449</v>
      </c>
      <c r="K53" s="23">
        <f>'20. Correctie bijschatten'!AM181</f>
        <v>33281434.905907966</v>
      </c>
    </row>
    <row r="54" spans="2:11" x14ac:dyDescent="0.2">
      <c r="B54" s="81" t="s">
        <v>470</v>
      </c>
      <c r="F54" s="2" t="s">
        <v>922</v>
      </c>
      <c r="H54" s="23">
        <f t="shared" si="2"/>
        <v>1758278.8656406971</v>
      </c>
      <c r="J54" s="23">
        <f>'20. Correctie bijschatten'!AM197</f>
        <v>1758278.8656406971</v>
      </c>
      <c r="K54" s="50"/>
    </row>
    <row r="55" spans="2:11" x14ac:dyDescent="0.2">
      <c r="B55" s="81" t="s">
        <v>741</v>
      </c>
      <c r="F55" s="2" t="s">
        <v>922</v>
      </c>
      <c r="H55" s="23">
        <f t="shared" si="2"/>
        <v>24579750.854673088</v>
      </c>
      <c r="J55" s="23">
        <f>'23. Correctie inv. &lt;= 10 jaar'!O148</f>
        <v>5903619.5109624248</v>
      </c>
      <c r="K55" s="23">
        <f>'23. Correctie inv. &lt;= 10 jaar'!O151</f>
        <v>18676131.343710661</v>
      </c>
    </row>
    <row r="56" spans="2:11" x14ac:dyDescent="0.2">
      <c r="B56" s="81" t="s">
        <v>742</v>
      </c>
      <c r="F56" s="2" t="s">
        <v>922</v>
      </c>
      <c r="H56" s="23">
        <f t="shared" ref="H56" si="3">SUM(J56:K56)</f>
        <v>15352671.806494443</v>
      </c>
      <c r="J56" s="23">
        <f>'23. Correctie inv. &lt;= 10 jaar'!O154</f>
        <v>15352671.806494443</v>
      </c>
      <c r="K56" s="50"/>
    </row>
    <row r="57" spans="2:11" x14ac:dyDescent="0.2">
      <c r="B57" s="2" t="s">
        <v>972</v>
      </c>
      <c r="F57" s="2" t="s">
        <v>922</v>
      </c>
      <c r="H57" s="23">
        <f t="shared" si="2"/>
        <v>1805905.2138954885</v>
      </c>
      <c r="J57" s="23">
        <f>'21. Correctie afloopinv. WUI'!AM76</f>
        <v>0</v>
      </c>
      <c r="K57" s="23">
        <f>'21. Correctie afloopinv. WUI'!AM93</f>
        <v>1805905.2138954885</v>
      </c>
    </row>
    <row r="58" spans="2:11" x14ac:dyDescent="0.2">
      <c r="B58" s="2" t="s">
        <v>1106</v>
      </c>
      <c r="F58" s="2" t="s">
        <v>922</v>
      </c>
      <c r="H58" s="23">
        <f>SUM(J58:K58)</f>
        <v>10952774.554155953</v>
      </c>
      <c r="J58" s="50"/>
      <c r="K58" s="23">
        <f>'25. Overige correcties'!AM85</f>
        <v>10952774.554155953</v>
      </c>
    </row>
    <row r="59" spans="2:11" x14ac:dyDescent="0.2">
      <c r="B59" s="2" t="s">
        <v>930</v>
      </c>
      <c r="F59" s="2" t="s">
        <v>922</v>
      </c>
      <c r="H59" s="23"/>
      <c r="J59" s="23">
        <f>'25. Overige correcties'!AM88</f>
        <v>0</v>
      </c>
      <c r="K59" s="50"/>
    </row>
    <row r="60" spans="2:11" x14ac:dyDescent="0.2">
      <c r="B60" s="2" t="s">
        <v>931</v>
      </c>
      <c r="F60" s="2" t="s">
        <v>922</v>
      </c>
      <c r="H60" s="23">
        <f t="shared" ref="H60:H61" si="4">SUM(J60:K60)</f>
        <v>0</v>
      </c>
      <c r="J60" s="23">
        <f>'25. Overige correcties'!AM90</f>
        <v>0</v>
      </c>
      <c r="K60" s="50"/>
    </row>
    <row r="61" spans="2:11" x14ac:dyDescent="0.2">
      <c r="B61" s="2" t="s">
        <v>932</v>
      </c>
      <c r="F61" s="2" t="s">
        <v>922</v>
      </c>
      <c r="H61" s="23">
        <f t="shared" si="4"/>
        <v>0</v>
      </c>
      <c r="J61" s="23">
        <f>'25. Overige correcties'!AM91</f>
        <v>0</v>
      </c>
      <c r="K61" s="50"/>
    </row>
    <row r="63" spans="2:11" x14ac:dyDescent="0.2">
      <c r="B63" s="21" t="s">
        <v>968</v>
      </c>
    </row>
    <row r="64" spans="2:11" x14ac:dyDescent="0.2">
      <c r="B64" s="2" t="s">
        <v>968</v>
      </c>
      <c r="F64" s="2" t="s">
        <v>922</v>
      </c>
      <c r="H64" s="23">
        <f>SUM(J64:K64)</f>
        <v>1183034209.7228956</v>
      </c>
      <c r="J64" s="23">
        <f>SUM(J24:J61)</f>
        <v>1244129108.2257788</v>
      </c>
      <c r="K64" s="23">
        <f>SUM(K24:K61)</f>
        <v>-61094898.502883084</v>
      </c>
    </row>
    <row r="66" spans="2:11" x14ac:dyDescent="0.2">
      <c r="B66" s="1" t="s">
        <v>1160</v>
      </c>
    </row>
    <row r="67" spans="2:11" x14ac:dyDescent="0.2">
      <c r="B67" s="2" t="s">
        <v>1161</v>
      </c>
      <c r="F67" s="2" t="s">
        <v>922</v>
      </c>
      <c r="H67" s="23">
        <f>SUM(J67:K67)</f>
        <v>79023853.491392553</v>
      </c>
      <c r="J67" s="23">
        <f>'7. Spreiding nacalculaties 2025'!J96</f>
        <v>80774930.490414321</v>
      </c>
      <c r="K67" s="23">
        <f>'7. Spreiding nacalculaties 2025'!K96</f>
        <v>-1751076.9990217742</v>
      </c>
    </row>
    <row r="68" spans="2:11" x14ac:dyDescent="0.2">
      <c r="B68" s="2" t="s">
        <v>1162</v>
      </c>
      <c r="F68" s="2" t="s">
        <v>922</v>
      </c>
      <c r="H68" s="23">
        <f>SUM(J68:K68)</f>
        <v>1104010356.231503</v>
      </c>
      <c r="J68" s="23">
        <f>J64-J67</f>
        <v>1163354177.7353644</v>
      </c>
      <c r="K68" s="23">
        <f>K64-K67</f>
        <v>-59343821.503861308</v>
      </c>
    </row>
    <row r="70" spans="2:11" s="7" customFormat="1" x14ac:dyDescent="0.2">
      <c r="B70" s="7" t="s">
        <v>93</v>
      </c>
    </row>
    <row r="72" spans="2:11" x14ac:dyDescent="0.2">
      <c r="B72" s="2" t="s">
        <v>969</v>
      </c>
      <c r="F72" s="2" t="s">
        <v>922</v>
      </c>
      <c r="H72" s="23">
        <f>SUM(J72:K72)</f>
        <v>3324192950.1694813</v>
      </c>
      <c r="J72" s="23">
        <f>J19+J68</f>
        <v>2371592468.0035067</v>
      </c>
      <c r="K72" s="23">
        <f>K19+K68</f>
        <v>952600482.1659745</v>
      </c>
    </row>
  </sheetData>
  <mergeCells count="2">
    <mergeCell ref="B5:E5"/>
    <mergeCell ref="B8:E8"/>
  </mergeCells>
  <phoneticPr fontId="30"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805EC-DC16-46C7-A7D7-0B2B561A3C11}">
  <sheetPr>
    <tabColor rgb="FFCCFFFF"/>
  </sheetPr>
  <dimension ref="B2:R21"/>
  <sheetViews>
    <sheetView showGridLines="0" zoomScale="85" zoomScaleNormal="85" workbookViewId="0">
      <pane xSplit="6" ySplit="11" topLeftCell="G12" activePane="bottomRight" state="frozen"/>
      <selection activeCell="P579" sqref="P579"/>
      <selection pane="topRight" activeCell="P579" sqref="P579"/>
      <selection pane="bottomLeft" activeCell="P579" sqref="P579"/>
      <selection pane="bottomRight"/>
    </sheetView>
  </sheetViews>
  <sheetFormatPr defaultColWidth="9.140625" defaultRowHeight="12.75" x14ac:dyDescent="0.2"/>
  <cols>
    <col min="1" max="1" width="5.7109375" style="2" customWidth="1"/>
    <col min="2" max="2" width="74.7109375" style="2" customWidth="1"/>
    <col min="3" max="5" width="5.7109375" style="2" customWidth="1"/>
    <col min="6" max="6" width="13.7109375" style="2" customWidth="1"/>
    <col min="7" max="7" width="2.7109375" style="2" customWidth="1"/>
    <col min="8" max="8" width="13.7109375" style="2" customWidth="1"/>
    <col min="9" max="9" width="2.7109375" style="2" customWidth="1"/>
    <col min="10" max="10" width="13.7109375" style="2" customWidth="1"/>
    <col min="11" max="11" width="2.7109375" style="2" customWidth="1"/>
    <col min="12" max="16" width="18.7109375" style="2" customWidth="1"/>
    <col min="17" max="17" width="2.7109375" style="2" customWidth="1"/>
    <col min="18" max="18" width="30.85546875" style="2" customWidth="1"/>
    <col min="19" max="32" width="13.7109375" style="2" customWidth="1"/>
    <col min="33" max="16384" width="9.140625" style="2"/>
  </cols>
  <sheetData>
    <row r="2" spans="2:18" s="13" customFormat="1" ht="18" x14ac:dyDescent="0.2">
      <c r="B2" s="13" t="s">
        <v>1014</v>
      </c>
    </row>
    <row r="4" spans="2:18" x14ac:dyDescent="0.2">
      <c r="B4" s="21" t="s">
        <v>53</v>
      </c>
      <c r="C4" s="1"/>
      <c r="D4" s="1"/>
    </row>
    <row r="5" spans="2:18" ht="51" customHeight="1" x14ac:dyDescent="0.2">
      <c r="B5" s="163" t="s">
        <v>1020</v>
      </c>
      <c r="C5" s="163"/>
      <c r="D5" s="163"/>
      <c r="E5" s="163"/>
    </row>
    <row r="6" spans="2:18" x14ac:dyDescent="0.2">
      <c r="C6" s="3"/>
      <c r="D6" s="3"/>
    </row>
    <row r="7" spans="2:18" x14ac:dyDescent="0.2">
      <c r="B7" s="21" t="s">
        <v>94</v>
      </c>
      <c r="C7" s="3"/>
      <c r="D7" s="3"/>
    </row>
    <row r="8" spans="2:18" x14ac:dyDescent="0.2">
      <c r="B8" s="165" t="s">
        <v>318</v>
      </c>
      <c r="C8" s="165"/>
      <c r="D8" s="165"/>
      <c r="E8" s="165"/>
      <c r="F8" s="32" t="str">
        <f>'26. Controle tarieven'!H83</f>
        <v>ja</v>
      </c>
    </row>
    <row r="10" spans="2:18" s="7" customFormat="1" ht="42.75" customHeight="1" x14ac:dyDescent="0.2">
      <c r="B10" s="7" t="s">
        <v>42</v>
      </c>
      <c r="F10" s="7" t="s">
        <v>24</v>
      </c>
      <c r="H10" s="7" t="s">
        <v>25</v>
      </c>
      <c r="J10" s="7" t="s">
        <v>46</v>
      </c>
      <c r="L10" s="51" t="s">
        <v>95</v>
      </c>
      <c r="M10" s="51" t="s">
        <v>96</v>
      </c>
      <c r="N10" s="51" t="s">
        <v>574</v>
      </c>
      <c r="O10" s="51" t="s">
        <v>97</v>
      </c>
      <c r="P10" s="51" t="s">
        <v>576</v>
      </c>
      <c r="R10" s="7" t="s">
        <v>44</v>
      </c>
    </row>
    <row r="13" spans="2:18" s="7" customFormat="1" x14ac:dyDescent="0.2">
      <c r="B13" s="7" t="s">
        <v>948</v>
      </c>
    </row>
    <row r="15" spans="2:18" x14ac:dyDescent="0.2">
      <c r="B15" s="21" t="s">
        <v>85</v>
      </c>
    </row>
    <row r="16" spans="2:18" x14ac:dyDescent="0.2">
      <c r="B16" s="2" t="s">
        <v>1015</v>
      </c>
      <c r="F16" s="2" t="s">
        <v>922</v>
      </c>
      <c r="L16" s="70">
        <f>'26. Controle tarieven'!L85</f>
        <v>12478.96</v>
      </c>
      <c r="M16" s="70">
        <f>'26. Controle tarieven'!M85</f>
        <v>57.03</v>
      </c>
      <c r="N16" s="70">
        <f>'26. Controle tarieven'!N85</f>
        <v>4.4400000000000004</v>
      </c>
      <c r="O16" s="70">
        <f>'26. Controle tarieven'!O85</f>
        <v>28.509999999999998</v>
      </c>
      <c r="P16" s="70">
        <f>'26. Controle tarieven'!P85</f>
        <v>1.54</v>
      </c>
    </row>
    <row r="17" spans="2:16" x14ac:dyDescent="0.2">
      <c r="B17" s="2" t="s">
        <v>1016</v>
      </c>
      <c r="F17" s="2" t="s">
        <v>98</v>
      </c>
      <c r="L17" s="70">
        <f>'8. Voorstel tarieven en RV'!L25</f>
        <v>27.736320001101376</v>
      </c>
      <c r="M17" s="70">
        <f>'8. Voorstel tarieven en RV'!M25</f>
        <v>854945.36694392562</v>
      </c>
      <c r="N17" s="70">
        <f>'8. Voorstel tarieven en RV'!N25</f>
        <v>10730411.50369918</v>
      </c>
      <c r="O17" s="70">
        <f>'8. Voorstel tarieven en RV'!O25</f>
        <v>51426.435114503838</v>
      </c>
      <c r="P17" s="70">
        <f>'8. Voorstel tarieven en RV'!P25</f>
        <v>1698972.9229007959</v>
      </c>
    </row>
    <row r="19" spans="2:16" x14ac:dyDescent="0.2">
      <c r="B19" s="21" t="s">
        <v>86</v>
      </c>
    </row>
    <row r="20" spans="2:16" x14ac:dyDescent="0.2">
      <c r="B20" s="2" t="s">
        <v>1015</v>
      </c>
      <c r="F20" s="2" t="s">
        <v>922</v>
      </c>
      <c r="L20" s="70">
        <f>'26. Controle tarieven'!L86</f>
        <v>2760</v>
      </c>
      <c r="M20" s="70">
        <f>'26. Controle tarieven'!M86</f>
        <v>79.66</v>
      </c>
      <c r="N20" s="70">
        <f>'26. Controle tarieven'!N86</f>
        <v>9.24</v>
      </c>
      <c r="O20" s="70">
        <f>'26. Controle tarieven'!O86</f>
        <v>39.830000000000005</v>
      </c>
      <c r="P20" s="70">
        <f>'26. Controle tarieven'!P86</f>
        <v>3.2</v>
      </c>
    </row>
    <row r="21" spans="2:16" x14ac:dyDescent="0.2">
      <c r="B21" s="2" t="s">
        <v>1016</v>
      </c>
      <c r="F21" s="2" t="s">
        <v>98</v>
      </c>
      <c r="L21" s="23">
        <f>'8. Voorstel tarieven en RV'!L29</f>
        <v>111.67409631508963</v>
      </c>
      <c r="M21" s="23">
        <f>'8. Voorstel tarieven en RV'!M29</f>
        <v>19967371.618835926</v>
      </c>
      <c r="N21" s="23">
        <f>'8. Voorstel tarieven en RV'!N29</f>
        <v>173386779.6419012</v>
      </c>
      <c r="O21" s="23">
        <f>'8. Voorstel tarieven en RV'!O29</f>
        <v>519853.71755725145</v>
      </c>
      <c r="P21" s="23">
        <f>'8. Voorstel tarieven en RV'!P29</f>
        <v>3013391.0404579639</v>
      </c>
    </row>
  </sheetData>
  <mergeCells count="2">
    <mergeCell ref="B5:E5"/>
    <mergeCell ref="B8:E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FE827-0794-42B0-BD42-1FAFEDAB05F2}">
  <sheetPr>
    <tabColor theme="0" tint="-4.9989318521683403E-2"/>
  </sheetPr>
  <dimension ref="B2:B3"/>
  <sheetViews>
    <sheetView showGridLines="0" zoomScale="85" zoomScaleNormal="85" workbookViewId="0"/>
  </sheetViews>
  <sheetFormatPr defaultColWidth="9.140625" defaultRowHeight="12.75" x14ac:dyDescent="0.2"/>
  <cols>
    <col min="1" max="1" width="5.7109375" style="16" customWidth="1"/>
    <col min="2" max="16384" width="9.140625" style="16"/>
  </cols>
  <sheetData>
    <row r="2" spans="2:2" x14ac:dyDescent="0.2">
      <c r="B2" s="34"/>
    </row>
    <row r="3" spans="2:2" x14ac:dyDescent="0.2">
      <c r="B3" s="34"/>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AD03A-A1FF-430D-BDA0-3A445B7C0B60}">
  <sheetPr>
    <tabColor rgb="FF99FF99"/>
    <pageSetUpPr fitToPage="1"/>
  </sheetPr>
  <dimension ref="B2:AO53"/>
  <sheetViews>
    <sheetView showGridLines="0" zoomScale="85" zoomScaleNormal="85" workbookViewId="0">
      <pane xSplit="6" ySplit="8" topLeftCell="G9" activePane="bottomRight" state="frozen"/>
      <selection activeCell="P579" sqref="P579"/>
      <selection pane="topRight" activeCell="P579" sqref="P579"/>
      <selection pane="bottomLeft" activeCell="P579" sqref="P579"/>
      <selection pane="bottomRight"/>
    </sheetView>
  </sheetViews>
  <sheetFormatPr defaultColWidth="9.140625" defaultRowHeight="12.75" outlineLevelCol="1" x14ac:dyDescent="0.2"/>
  <cols>
    <col min="1" max="1" width="5.7109375" style="2" customWidth="1"/>
    <col min="2" max="2" width="54.7109375" style="2" customWidth="1"/>
    <col min="3" max="5" width="5.7109375" style="2" customWidth="1"/>
    <col min="6" max="6" width="11.5703125" style="2" bestFit="1" customWidth="1"/>
    <col min="7" max="7" width="2.7109375" style="2" customWidth="1"/>
    <col min="8" max="8" width="10.7109375" style="2" bestFit="1" customWidth="1"/>
    <col min="9" max="9" width="2.7109375" style="2" customWidth="1"/>
    <col min="10" max="10" width="8.5703125" style="2" bestFit="1" customWidth="1"/>
    <col min="11" max="11" width="2.7109375" style="2" customWidth="1"/>
    <col min="12" max="29" width="13.7109375" style="2" hidden="1" customWidth="1" outlineLevel="1"/>
    <col min="30" max="30" width="5.140625" style="2" bestFit="1" customWidth="1" collapsed="1"/>
    <col min="31" max="33" width="5.140625" style="2" bestFit="1" customWidth="1"/>
    <col min="34" max="34" width="8.7109375" style="2" bestFit="1" customWidth="1"/>
    <col min="35" max="38" width="11.42578125" style="2" customWidth="1"/>
    <col min="39" max="39" width="14.42578125" style="2" customWidth="1"/>
    <col min="40" max="40" width="2.7109375" style="2" customWidth="1"/>
    <col min="41" max="41" width="88.5703125" style="66" customWidth="1"/>
    <col min="42" max="42" width="2.7109375" style="2" customWidth="1"/>
    <col min="43" max="57" width="13.7109375" style="2" customWidth="1"/>
    <col min="58" max="16384" width="9.140625" style="2"/>
  </cols>
  <sheetData>
    <row r="2" spans="2:41" s="13" customFormat="1" ht="18" x14ac:dyDescent="0.2">
      <c r="B2" s="13" t="s">
        <v>224</v>
      </c>
      <c r="AO2" s="151"/>
    </row>
    <row r="4" spans="2:41" x14ac:dyDescent="0.2">
      <c r="B4" s="21" t="s">
        <v>26</v>
      </c>
      <c r="C4" s="1"/>
      <c r="D4" s="1"/>
    </row>
    <row r="5" spans="2:41" x14ac:dyDescent="0.2">
      <c r="B5" s="163" t="s">
        <v>749</v>
      </c>
      <c r="C5" s="163"/>
      <c r="D5" s="163"/>
      <c r="E5" s="163"/>
      <c r="H5" s="14"/>
    </row>
    <row r="7" spans="2:41" s="7" customFormat="1" x14ac:dyDescent="0.2">
      <c r="B7" s="7" t="s">
        <v>42</v>
      </c>
      <c r="F7" s="7" t="s">
        <v>24</v>
      </c>
      <c r="H7" s="7" t="s">
        <v>25</v>
      </c>
      <c r="J7" s="7" t="s">
        <v>46</v>
      </c>
      <c r="L7" s="7">
        <v>2000</v>
      </c>
      <c r="M7" s="7">
        <v>2001</v>
      </c>
      <c r="N7" s="7">
        <v>2002</v>
      </c>
      <c r="O7" s="7">
        <v>2003</v>
      </c>
      <c r="P7" s="7">
        <v>2004</v>
      </c>
      <c r="Q7" s="7">
        <v>2005</v>
      </c>
      <c r="R7" s="7">
        <v>2006</v>
      </c>
      <c r="S7" s="7">
        <v>2007</v>
      </c>
      <c r="T7" s="7">
        <v>2008</v>
      </c>
      <c r="U7" s="7">
        <v>2009</v>
      </c>
      <c r="V7" s="7">
        <v>2010</v>
      </c>
      <c r="W7" s="7">
        <v>2011</v>
      </c>
      <c r="X7" s="7">
        <v>2012</v>
      </c>
      <c r="Y7" s="7">
        <v>2013</v>
      </c>
      <c r="Z7" s="7">
        <v>2014</v>
      </c>
      <c r="AA7" s="7">
        <v>2015</v>
      </c>
      <c r="AB7" s="7">
        <v>2016</v>
      </c>
      <c r="AC7" s="7">
        <v>2017</v>
      </c>
      <c r="AD7" s="7">
        <v>2018</v>
      </c>
      <c r="AE7" s="7">
        <v>2019</v>
      </c>
      <c r="AF7" s="7">
        <v>2020</v>
      </c>
      <c r="AG7" s="7">
        <v>2021</v>
      </c>
      <c r="AH7" s="7">
        <v>2022</v>
      </c>
      <c r="AI7" s="7">
        <v>2023</v>
      </c>
      <c r="AJ7" s="7">
        <v>2024</v>
      </c>
      <c r="AK7" s="7">
        <v>2025</v>
      </c>
      <c r="AL7" s="7" t="s">
        <v>649</v>
      </c>
      <c r="AM7" s="7" t="s">
        <v>746</v>
      </c>
      <c r="AO7" s="51" t="s">
        <v>44</v>
      </c>
    </row>
    <row r="10" spans="2:41" s="7" customFormat="1" x14ac:dyDescent="0.2">
      <c r="B10" s="7" t="s">
        <v>99</v>
      </c>
      <c r="AO10" s="51"/>
    </row>
    <row r="12" spans="2:41" x14ac:dyDescent="0.2">
      <c r="B12" s="21" t="s">
        <v>85</v>
      </c>
    </row>
    <row r="13" spans="2:41" ht="25.5" x14ac:dyDescent="0.2">
      <c r="B13" s="2" t="s">
        <v>1088</v>
      </c>
      <c r="F13" s="2" t="s">
        <v>100</v>
      </c>
      <c r="AM13" s="31">
        <v>1208238290.268142</v>
      </c>
      <c r="AO13" s="66" t="s">
        <v>951</v>
      </c>
    </row>
    <row r="14" spans="2:41" x14ac:dyDescent="0.2">
      <c r="B14" s="21"/>
    </row>
    <row r="15" spans="2:41" ht="25.5" x14ac:dyDescent="0.2">
      <c r="B15" s="2" t="s">
        <v>747</v>
      </c>
      <c r="F15" s="2" t="s">
        <v>100</v>
      </c>
      <c r="AF15" s="75"/>
      <c r="AK15" s="31">
        <v>-256948.62999999849</v>
      </c>
      <c r="AO15" s="66" t="s">
        <v>650</v>
      </c>
    </row>
    <row r="16" spans="2:41" x14ac:dyDescent="0.2">
      <c r="B16" s="2" t="s">
        <v>748</v>
      </c>
      <c r="F16" s="2" t="s">
        <v>100</v>
      </c>
      <c r="AH16" s="75"/>
      <c r="AM16" s="31">
        <v>-4305886.4922257001</v>
      </c>
    </row>
    <row r="18" spans="2:41" ht="38.25" x14ac:dyDescent="0.2">
      <c r="B18" s="2" t="s">
        <v>101</v>
      </c>
      <c r="F18" s="2" t="s">
        <v>100</v>
      </c>
      <c r="AD18" s="31">
        <v>0</v>
      </c>
      <c r="AE18" s="31">
        <v>0</v>
      </c>
      <c r="AF18" s="31">
        <v>0</v>
      </c>
      <c r="AG18" s="31">
        <v>0</v>
      </c>
      <c r="AH18" s="31">
        <v>0</v>
      </c>
      <c r="AI18" s="31">
        <v>0</v>
      </c>
      <c r="AJ18" s="31">
        <v>0</v>
      </c>
      <c r="AK18" s="31">
        <v>0</v>
      </c>
      <c r="AO18" s="66" t="s">
        <v>102</v>
      </c>
    </row>
    <row r="20" spans="2:41" ht="38.25" x14ac:dyDescent="0.2">
      <c r="B20" s="2" t="s">
        <v>448</v>
      </c>
      <c r="F20" s="2" t="s">
        <v>100</v>
      </c>
      <c r="AD20" s="31">
        <v>0</v>
      </c>
      <c r="AE20" s="31">
        <v>0</v>
      </c>
      <c r="AF20" s="31">
        <v>0</v>
      </c>
      <c r="AG20" s="31">
        <v>0</v>
      </c>
      <c r="AH20" s="31">
        <v>0</v>
      </c>
      <c r="AI20" s="31">
        <v>0</v>
      </c>
      <c r="AJ20" s="31">
        <v>0</v>
      </c>
      <c r="AK20" s="31">
        <v>-1249770.6000000001</v>
      </c>
      <c r="AO20" s="66" t="s">
        <v>452</v>
      </c>
    </row>
    <row r="22" spans="2:41" x14ac:dyDescent="0.2">
      <c r="B22" s="2" t="s">
        <v>103</v>
      </c>
      <c r="F22" s="2" t="s">
        <v>100</v>
      </c>
      <c r="AD22" s="31">
        <v>0</v>
      </c>
      <c r="AE22" s="31">
        <v>0</v>
      </c>
      <c r="AF22" s="31">
        <v>0</v>
      </c>
      <c r="AG22" s="31">
        <v>0</v>
      </c>
      <c r="AH22" s="31">
        <v>0</v>
      </c>
      <c r="AI22" s="31">
        <v>0</v>
      </c>
      <c r="AJ22" s="31">
        <v>0</v>
      </c>
      <c r="AK22" s="31">
        <v>0</v>
      </c>
      <c r="AO22" s="152" t="s">
        <v>75</v>
      </c>
    </row>
    <row r="23" spans="2:41" x14ac:dyDescent="0.2">
      <c r="B23" s="22"/>
    </row>
    <row r="24" spans="2:41" x14ac:dyDescent="0.2">
      <c r="B24" s="2" t="s">
        <v>636</v>
      </c>
      <c r="F24" s="2" t="s">
        <v>100</v>
      </c>
      <c r="AM24" s="31">
        <v>120436069.86187726</v>
      </c>
      <c r="AO24" s="66" t="s">
        <v>640</v>
      </c>
    </row>
    <row r="25" spans="2:41" x14ac:dyDescent="0.2">
      <c r="B25" s="2" t="s">
        <v>92</v>
      </c>
      <c r="F25" s="2" t="s">
        <v>100</v>
      </c>
      <c r="AM25" s="31">
        <v>969124272.4040544</v>
      </c>
      <c r="AO25" s="66" t="s">
        <v>641</v>
      </c>
    </row>
    <row r="27" spans="2:41" x14ac:dyDescent="0.2">
      <c r="B27" s="2" t="s">
        <v>572</v>
      </c>
      <c r="F27" s="2" t="s">
        <v>100</v>
      </c>
      <c r="AM27" s="31">
        <v>-245000000</v>
      </c>
      <c r="AO27" s="66" t="s">
        <v>577</v>
      </c>
    </row>
    <row r="29" spans="2:41" x14ac:dyDescent="0.2">
      <c r="B29" s="2" t="s">
        <v>723</v>
      </c>
      <c r="F29" s="2" t="s">
        <v>100</v>
      </c>
      <c r="AH29" s="31">
        <v>121574.51229796224</v>
      </c>
      <c r="AI29" s="31">
        <v>699072.33584534971</v>
      </c>
      <c r="AJ29" s="31">
        <v>1628963.8317657236</v>
      </c>
      <c r="AK29" s="31">
        <v>7264746.2308599977</v>
      </c>
      <c r="AO29" s="66" t="s">
        <v>730</v>
      </c>
    </row>
    <row r="31" spans="2:41" x14ac:dyDescent="0.2">
      <c r="B31" s="21" t="s">
        <v>86</v>
      </c>
    </row>
    <row r="32" spans="2:41" ht="25.5" x14ac:dyDescent="0.2">
      <c r="B32" s="2" t="s">
        <v>1089</v>
      </c>
      <c r="F32" s="2" t="s">
        <v>100</v>
      </c>
      <c r="AM32" s="31">
        <v>1011944303.6698358</v>
      </c>
      <c r="AO32" s="66" t="s">
        <v>952</v>
      </c>
    </row>
    <row r="33" spans="2:41" x14ac:dyDescent="0.2">
      <c r="B33" s="21"/>
    </row>
    <row r="34" spans="2:41" ht="25.5" x14ac:dyDescent="0.2">
      <c r="B34" s="2" t="s">
        <v>750</v>
      </c>
      <c r="F34" s="2" t="s">
        <v>100</v>
      </c>
      <c r="AF34" s="75"/>
      <c r="AK34" s="31">
        <v>-7818823.4800001606</v>
      </c>
      <c r="AO34" s="66" t="s">
        <v>651</v>
      </c>
    </row>
    <row r="35" spans="2:41" x14ac:dyDescent="0.2">
      <c r="B35" s="2" t="s">
        <v>751</v>
      </c>
      <c r="F35" s="2" t="s">
        <v>100</v>
      </c>
      <c r="AH35" s="75"/>
      <c r="AM35" s="31">
        <v>-52339513.507774301</v>
      </c>
    </row>
    <row r="37" spans="2:41" ht="38.25" x14ac:dyDescent="0.2">
      <c r="B37" s="2" t="s">
        <v>104</v>
      </c>
      <c r="F37" s="2" t="s">
        <v>100</v>
      </c>
      <c r="AD37" s="31">
        <v>0</v>
      </c>
      <c r="AE37" s="31">
        <v>0</v>
      </c>
      <c r="AF37" s="31">
        <v>0</v>
      </c>
      <c r="AG37" s="31">
        <v>0</v>
      </c>
      <c r="AH37" s="31">
        <v>0</v>
      </c>
      <c r="AI37" s="31">
        <v>0</v>
      </c>
      <c r="AJ37" s="31">
        <v>0</v>
      </c>
      <c r="AK37" s="31">
        <v>-296627.0400000001</v>
      </c>
      <c r="AO37" s="66" t="s">
        <v>105</v>
      </c>
    </row>
    <row r="39" spans="2:41" ht="25.5" x14ac:dyDescent="0.2">
      <c r="B39" s="2" t="s">
        <v>106</v>
      </c>
      <c r="F39" s="2" t="s">
        <v>100</v>
      </c>
      <c r="AD39" s="31">
        <v>0</v>
      </c>
      <c r="AE39" s="31">
        <v>0</v>
      </c>
      <c r="AF39" s="31">
        <v>0</v>
      </c>
      <c r="AG39" s="31">
        <v>0</v>
      </c>
      <c r="AH39" s="31">
        <v>0</v>
      </c>
      <c r="AI39" s="31">
        <v>0</v>
      </c>
      <c r="AJ39" s="31">
        <v>0</v>
      </c>
      <c r="AK39" s="31">
        <v>0</v>
      </c>
      <c r="AO39" s="153" t="s">
        <v>423</v>
      </c>
    </row>
    <row r="41" spans="2:41" x14ac:dyDescent="0.2">
      <c r="B41" s="2" t="s">
        <v>752</v>
      </c>
      <c r="F41" s="2" t="s">
        <v>100</v>
      </c>
      <c r="AF41" s="75"/>
      <c r="AK41" s="31">
        <v>0</v>
      </c>
      <c r="AO41" s="66" t="s">
        <v>1045</v>
      </c>
    </row>
    <row r="42" spans="2:41" x14ac:dyDescent="0.2">
      <c r="AF42" s="75"/>
    </row>
    <row r="43" spans="2:41" x14ac:dyDescent="0.2">
      <c r="B43" s="2" t="s">
        <v>695</v>
      </c>
      <c r="F43" s="2" t="s">
        <v>100</v>
      </c>
      <c r="AF43" s="75"/>
      <c r="AK43" s="31">
        <v>14838246.751199216</v>
      </c>
      <c r="AO43" s="66" t="s">
        <v>731</v>
      </c>
    </row>
    <row r="44" spans="2:41" x14ac:dyDescent="0.2">
      <c r="B44" s="2" t="s">
        <v>723</v>
      </c>
      <c r="F44" s="2" t="s">
        <v>100</v>
      </c>
      <c r="AH44" s="31">
        <v>92238.196723071407</v>
      </c>
      <c r="AI44" s="31">
        <v>477728.83174374601</v>
      </c>
      <c r="AJ44" s="31">
        <v>1071637.0383870162</v>
      </c>
      <c r="AK44" s="31">
        <v>4720331.7901946064</v>
      </c>
      <c r="AO44" s="66" t="s">
        <v>730</v>
      </c>
    </row>
    <row r="46" spans="2:41" ht="25.5" x14ac:dyDescent="0.2">
      <c r="B46" s="2" t="s">
        <v>1100</v>
      </c>
      <c r="F46" s="2" t="s">
        <v>100</v>
      </c>
      <c r="AJ46" s="31">
        <v>4164387.21</v>
      </c>
      <c r="AO46" s="66" t="s">
        <v>1109</v>
      </c>
    </row>
    <row r="47" spans="2:41" x14ac:dyDescent="0.2">
      <c r="AF47" s="75"/>
    </row>
    <row r="48" spans="2:41" s="7" customFormat="1" x14ac:dyDescent="0.2">
      <c r="B48" s="7" t="s">
        <v>107</v>
      </c>
      <c r="AO48" s="51"/>
    </row>
    <row r="50" spans="2:41" ht="38.25" x14ac:dyDescent="0.2">
      <c r="B50" s="2" t="s">
        <v>329</v>
      </c>
      <c r="F50" s="2" t="s">
        <v>100</v>
      </c>
      <c r="AD50" s="31">
        <v>0</v>
      </c>
      <c r="AE50" s="31">
        <v>0</v>
      </c>
      <c r="AF50" s="31">
        <v>0</v>
      </c>
      <c r="AG50" s="31">
        <v>0</v>
      </c>
      <c r="AH50" s="31">
        <v>0</v>
      </c>
      <c r="AI50" s="31">
        <v>0</v>
      </c>
      <c r="AJ50" s="31">
        <v>0</v>
      </c>
      <c r="AK50" s="31">
        <v>0</v>
      </c>
      <c r="AO50" s="66" t="s">
        <v>467</v>
      </c>
    </row>
    <row r="52" spans="2:41" ht="51" x14ac:dyDescent="0.2">
      <c r="B52" s="2" t="s">
        <v>637</v>
      </c>
      <c r="F52" s="2" t="s">
        <v>100</v>
      </c>
      <c r="AH52" s="31">
        <v>0</v>
      </c>
      <c r="AI52" s="31">
        <v>0</v>
      </c>
      <c r="AJ52" s="31">
        <v>0</v>
      </c>
      <c r="AK52" s="31">
        <v>0</v>
      </c>
      <c r="AO52" s="66" t="s">
        <v>639</v>
      </c>
    </row>
    <row r="53" spans="2:41" ht="51" x14ac:dyDescent="0.2">
      <c r="B53" s="2" t="s">
        <v>638</v>
      </c>
      <c r="F53" s="2" t="s">
        <v>100</v>
      </c>
      <c r="AH53" s="31">
        <v>0</v>
      </c>
      <c r="AI53" s="31">
        <v>0</v>
      </c>
      <c r="AJ53" s="31">
        <v>0</v>
      </c>
      <c r="AK53" s="31">
        <v>0</v>
      </c>
      <c r="AO53" s="66" t="s">
        <v>639</v>
      </c>
    </row>
  </sheetData>
  <mergeCells count="1">
    <mergeCell ref="B5:E5"/>
  </mergeCells>
  <pageMargins left="0.70866141732283472" right="0.70866141732283472" top="0.74803149606299213" bottom="0.74803149606299213" header="0.31496062992125984" footer="0.31496062992125984"/>
  <pageSetup paperSize="9" scale="4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C8189-A85F-4CCF-98F3-39CE63670382}">
  <sheetPr>
    <tabColor rgb="FF99FF99"/>
  </sheetPr>
  <dimension ref="B2:N96"/>
  <sheetViews>
    <sheetView showGridLines="0" zoomScale="85" zoomScaleNormal="85" workbookViewId="0">
      <pane ySplit="13" topLeftCell="A14" activePane="bottomLeft" state="frozen"/>
      <selection activeCell="P579" sqref="P579"/>
      <selection pane="bottomLeft"/>
    </sheetView>
  </sheetViews>
  <sheetFormatPr defaultColWidth="9.140625" defaultRowHeight="12.75" x14ac:dyDescent="0.2"/>
  <cols>
    <col min="1" max="1" width="5.7109375" style="2" customWidth="1"/>
    <col min="2" max="2" width="104" style="2" bestFit="1" customWidth="1"/>
    <col min="3" max="5" width="5.7109375" style="2" customWidth="1"/>
    <col min="6" max="6" width="13.7109375" style="2" customWidth="1"/>
    <col min="7" max="7" width="2.7109375" style="2" customWidth="1"/>
    <col min="8" max="8" width="14.85546875" style="2" customWidth="1"/>
    <col min="9" max="9" width="2.7109375" style="2" customWidth="1"/>
    <col min="10" max="11" width="14.85546875" style="2" customWidth="1"/>
    <col min="12" max="13" width="2.7109375" style="2" customWidth="1"/>
    <col min="14" max="25" width="13.7109375" style="2" customWidth="1"/>
    <col min="26" max="16384" width="9.140625" style="2"/>
  </cols>
  <sheetData>
    <row r="2" spans="2:14" s="13" customFormat="1" ht="18" x14ac:dyDescent="0.2">
      <c r="B2" s="13" t="s">
        <v>1087</v>
      </c>
    </row>
    <row r="4" spans="2:14" x14ac:dyDescent="0.2">
      <c r="B4" s="21" t="s">
        <v>53</v>
      </c>
      <c r="C4" s="1"/>
      <c r="D4" s="1"/>
    </row>
    <row r="5" spans="2:14" ht="74.45" customHeight="1" x14ac:dyDescent="0.2">
      <c r="B5" s="163" t="s">
        <v>1165</v>
      </c>
      <c r="C5" s="163"/>
      <c r="D5" s="163"/>
      <c r="E5" s="163"/>
    </row>
    <row r="6" spans="2:14" x14ac:dyDescent="0.2">
      <c r="C6" s="3"/>
      <c r="D6" s="3"/>
    </row>
    <row r="7" spans="2:14" s="7" customFormat="1" x14ac:dyDescent="0.2">
      <c r="B7" s="7" t="s">
        <v>42</v>
      </c>
      <c r="F7" s="7" t="s">
        <v>24</v>
      </c>
      <c r="J7" s="7" t="s">
        <v>85</v>
      </c>
      <c r="K7" s="7" t="s">
        <v>86</v>
      </c>
      <c r="N7" s="7" t="s">
        <v>44</v>
      </c>
    </row>
    <row r="10" spans="2:14" s="7" customFormat="1" x14ac:dyDescent="0.2">
      <c r="B10" s="7" t="s">
        <v>1024</v>
      </c>
      <c r="H10" s="7" t="s">
        <v>25</v>
      </c>
    </row>
    <row r="12" spans="2:14" x14ac:dyDescent="0.2">
      <c r="B12" s="2" t="s">
        <v>1163</v>
      </c>
      <c r="F12" s="2" t="s">
        <v>112</v>
      </c>
      <c r="H12" s="149">
        <v>0.8</v>
      </c>
    </row>
    <row r="14" spans="2:14" s="7" customFormat="1" x14ac:dyDescent="0.2">
      <c r="B14" s="7" t="s">
        <v>1159</v>
      </c>
      <c r="J14" s="7" t="s">
        <v>85</v>
      </c>
      <c r="K14" s="7" t="s">
        <v>86</v>
      </c>
    </row>
    <row r="16" spans="2:14" x14ac:dyDescent="0.2">
      <c r="B16" s="21" t="s">
        <v>91</v>
      </c>
    </row>
    <row r="17" spans="2:11" x14ac:dyDescent="0.2">
      <c r="B17" s="2" t="s">
        <v>957</v>
      </c>
      <c r="F17" s="2" t="s">
        <v>922</v>
      </c>
      <c r="J17" s="50"/>
      <c r="K17" s="32">
        <f>'18. Correcties OA&amp;M en IKTNN'!M36</f>
        <v>-28877303.897926509</v>
      </c>
    </row>
    <row r="18" spans="2:11" x14ac:dyDescent="0.2">
      <c r="B18" s="2" t="s">
        <v>958</v>
      </c>
      <c r="F18" s="2" t="s">
        <v>922</v>
      </c>
      <c r="J18" s="32">
        <f>'18. Correcties OA&amp;M en IKTNN'!L40</f>
        <v>-18075379.561422173</v>
      </c>
      <c r="K18" s="50"/>
    </row>
    <row r="19" spans="2:11" x14ac:dyDescent="0.2">
      <c r="B19" s="2" t="s">
        <v>959</v>
      </c>
      <c r="F19" s="2" t="s">
        <v>922</v>
      </c>
      <c r="J19" s="32">
        <f>'24. Omzetcorrectie'!H39</f>
        <v>86027559.047411174</v>
      </c>
      <c r="K19" s="32">
        <f>'24. Omzetcorrectie'!H44</f>
        <v>-192643342.064033</v>
      </c>
    </row>
    <row r="20" spans="2:11" x14ac:dyDescent="0.2">
      <c r="B20" s="2" t="s">
        <v>752</v>
      </c>
      <c r="F20" s="2" t="s">
        <v>922</v>
      </c>
      <c r="J20" s="50"/>
      <c r="K20" s="32">
        <f>'25. Overige correcties'!AM78</f>
        <v>0</v>
      </c>
    </row>
    <row r="22" spans="2:11" x14ac:dyDescent="0.2">
      <c r="B22" s="21" t="s">
        <v>90</v>
      </c>
    </row>
    <row r="23" spans="2:11" x14ac:dyDescent="0.2">
      <c r="B23" s="2" t="s">
        <v>960</v>
      </c>
      <c r="F23" s="2" t="s">
        <v>922</v>
      </c>
      <c r="J23" s="32">
        <f>'22. Correctie WACC'!AM105</f>
        <v>54326188.588712797</v>
      </c>
      <c r="K23" s="32">
        <f>'22. Correctie WACC'!AM106</f>
        <v>69679616.862448677</v>
      </c>
    </row>
    <row r="24" spans="2:11" x14ac:dyDescent="0.2">
      <c r="B24" s="2" t="s">
        <v>961</v>
      </c>
      <c r="F24" s="2" t="s">
        <v>922</v>
      </c>
      <c r="J24" s="32">
        <f>'22. Correctie WACC'!AM107</f>
        <v>3201649.3880341677</v>
      </c>
      <c r="K24" s="50"/>
    </row>
    <row r="25" spans="2:11" x14ac:dyDescent="0.2">
      <c r="B25" s="91" t="s">
        <v>962</v>
      </c>
      <c r="F25" s="2" t="s">
        <v>922</v>
      </c>
      <c r="J25" s="32">
        <f>'10. Brondata'!AM13</f>
        <v>18114028.552462898</v>
      </c>
      <c r="K25" s="32">
        <f>'10. Brondata'!AM14</f>
        <v>1639257.1009964186</v>
      </c>
    </row>
    <row r="26" spans="2:11" x14ac:dyDescent="0.2">
      <c r="B26" s="91" t="s">
        <v>963</v>
      </c>
      <c r="F26" s="2" t="s">
        <v>922</v>
      </c>
      <c r="J26" s="32">
        <f>'10. Brondata'!AM17</f>
        <v>41844847.837775692</v>
      </c>
      <c r="K26" s="32">
        <f>'10. Brondata'!AM18</f>
        <v>1786258.8108977827</v>
      </c>
    </row>
    <row r="27" spans="2:11" x14ac:dyDescent="0.2">
      <c r="B27" s="2" t="s">
        <v>971</v>
      </c>
      <c r="F27" s="2" t="s">
        <v>922</v>
      </c>
      <c r="J27" s="32">
        <f>'10. Brondata'!AM21</f>
        <v>2511.8620975183121</v>
      </c>
      <c r="K27" s="32">
        <f>'10. Brondata'!AM24</f>
        <v>26741.789704514304</v>
      </c>
    </row>
    <row r="28" spans="2:11" x14ac:dyDescent="0.2">
      <c r="B28" s="2" t="s">
        <v>964</v>
      </c>
      <c r="F28" s="2" t="s">
        <v>922</v>
      </c>
      <c r="J28" s="32">
        <f>'10. Brondata'!AM26</f>
        <v>48271.900453107366</v>
      </c>
      <c r="K28" s="50"/>
    </row>
    <row r="29" spans="2:11" x14ac:dyDescent="0.2">
      <c r="B29" s="2" t="s">
        <v>1017</v>
      </c>
      <c r="F29" s="2" t="s">
        <v>922</v>
      </c>
      <c r="J29" s="32">
        <f>'10. Brondata'!AM27</f>
        <v>2034723.9688852844</v>
      </c>
      <c r="K29" s="32">
        <f>'10. Brondata'!AM28</f>
        <v>1010918.5284637433</v>
      </c>
    </row>
    <row r="30" spans="2:11" x14ac:dyDescent="0.2">
      <c r="B30" s="2" t="s">
        <v>1004</v>
      </c>
      <c r="F30" s="2" t="s">
        <v>922</v>
      </c>
      <c r="J30" s="32">
        <f>'10. Brondata'!AM29</f>
        <v>2691483.8489603447</v>
      </c>
      <c r="K30" s="50"/>
    </row>
    <row r="31" spans="2:11" x14ac:dyDescent="0.2">
      <c r="B31" s="2" t="s">
        <v>1005</v>
      </c>
      <c r="F31" s="2" t="s">
        <v>922</v>
      </c>
      <c r="J31" s="32">
        <f>'10. Brondata'!AM30</f>
        <v>1218251.4787943137</v>
      </c>
      <c r="K31" s="50"/>
    </row>
    <row r="32" spans="2:11" x14ac:dyDescent="0.2">
      <c r="B32" s="2" t="s">
        <v>849</v>
      </c>
      <c r="F32" s="2" t="s">
        <v>922</v>
      </c>
      <c r="J32" s="32">
        <f>'18. Correcties OA&amp;M en IKTNN'!L32</f>
        <v>-281920.87062656967</v>
      </c>
      <c r="K32" s="32">
        <f>'18. Correcties OA&amp;M en IKTNN'!M32</f>
        <v>-8578716.7760229874</v>
      </c>
    </row>
    <row r="33" spans="2:11" x14ac:dyDescent="0.2">
      <c r="B33" s="137" t="s">
        <v>103</v>
      </c>
      <c r="F33" s="2" t="s">
        <v>922</v>
      </c>
      <c r="J33" s="32">
        <f>'25. Overige correcties'!AM69</f>
        <v>0</v>
      </c>
      <c r="K33" s="50"/>
    </row>
    <row r="34" spans="2:11" x14ac:dyDescent="0.2">
      <c r="B34" s="137" t="s">
        <v>975</v>
      </c>
      <c r="F34" s="2" t="s">
        <v>922</v>
      </c>
      <c r="J34" s="50"/>
      <c r="K34" s="32">
        <f>'25. Overige correcties'!AM80</f>
        <v>16280341.493433829</v>
      </c>
    </row>
    <row r="35" spans="2:11" x14ac:dyDescent="0.2">
      <c r="B35" s="137" t="s">
        <v>976</v>
      </c>
      <c r="F35" s="2" t="s">
        <v>922</v>
      </c>
      <c r="J35" s="32">
        <f>'25. Overige correcties'!AM71</f>
        <v>10899990.409179827</v>
      </c>
      <c r="K35" s="32">
        <f>'25. Overige correcties'!AM81</f>
        <v>7144011.3473074315</v>
      </c>
    </row>
    <row r="36" spans="2:11" x14ac:dyDescent="0.2">
      <c r="B36" s="2" t="s">
        <v>977</v>
      </c>
      <c r="F36" s="2" t="s">
        <v>922</v>
      </c>
      <c r="J36" s="32">
        <f>'17. Correctie IKE&amp;V'!AM114</f>
        <v>74771629.227783024</v>
      </c>
      <c r="K36" s="32">
        <f>'17. Correctie IKE&amp;V'!AM148</f>
        <v>59648871.765735745</v>
      </c>
    </row>
    <row r="37" spans="2:11" x14ac:dyDescent="0.2">
      <c r="B37" s="2" t="s">
        <v>978</v>
      </c>
      <c r="F37" s="2" t="s">
        <v>922</v>
      </c>
      <c r="J37" s="32">
        <f>'17. Correctie IKE&amp;V'!AM176</f>
        <v>88420882.544868082</v>
      </c>
      <c r="K37" s="50"/>
    </row>
    <row r="38" spans="2:11" x14ac:dyDescent="0.2">
      <c r="B38" s="2" t="s">
        <v>468</v>
      </c>
      <c r="F38" s="2" t="s">
        <v>922</v>
      </c>
      <c r="J38" s="32">
        <f>'25. Overige correcties'!AM65</f>
        <v>0</v>
      </c>
      <c r="K38" s="32">
        <f>'25. Overige correcties'!AM74</f>
        <v>-325455.533147551</v>
      </c>
    </row>
    <row r="39" spans="2:11" x14ac:dyDescent="0.2">
      <c r="B39" s="2" t="s">
        <v>469</v>
      </c>
      <c r="F39" s="2" t="s">
        <v>922</v>
      </c>
      <c r="J39" s="32">
        <f>'25. Overige correcties'!AM67</f>
        <v>-1371232.902216651</v>
      </c>
      <c r="K39" s="32">
        <f>'25. Overige correcties'!AM76</f>
        <v>0</v>
      </c>
    </row>
    <row r="40" spans="2:11" x14ac:dyDescent="0.2">
      <c r="B40" s="81" t="s">
        <v>973</v>
      </c>
      <c r="F40" s="2" t="s">
        <v>922</v>
      </c>
      <c r="J40" s="32">
        <f>'19. Correctie desinvesteringen'!P579</f>
        <v>-340442.45585303672</v>
      </c>
      <c r="K40" s="32">
        <f>'19. Correctie desinvesteringen'!P580</f>
        <v>-262830.44063693727</v>
      </c>
    </row>
    <row r="41" spans="2:11" x14ac:dyDescent="0.2">
      <c r="B41" s="81" t="s">
        <v>974</v>
      </c>
      <c r="F41" s="2" t="s">
        <v>922</v>
      </c>
      <c r="J41" s="32">
        <f>'19. Correctie desinvesteringen'!P581</f>
        <v>-12287.165217265356</v>
      </c>
      <c r="K41" s="50"/>
    </row>
    <row r="42" spans="2:11" x14ac:dyDescent="0.2">
      <c r="B42" s="81" t="s">
        <v>643</v>
      </c>
      <c r="F42" s="2" t="s">
        <v>922</v>
      </c>
      <c r="J42" s="32">
        <f>'20. Correctie bijschatten'!AM158</f>
        <v>17339326.568892449</v>
      </c>
      <c r="K42" s="32">
        <f>'20. Correctie bijschatten'!AM181</f>
        <v>33281434.905907966</v>
      </c>
    </row>
    <row r="43" spans="2:11" x14ac:dyDescent="0.2">
      <c r="B43" s="81" t="s">
        <v>470</v>
      </c>
      <c r="F43" s="2" t="s">
        <v>922</v>
      </c>
      <c r="J43" s="32">
        <f>'20. Correctie bijschatten'!AM197</f>
        <v>1758278.8656406971</v>
      </c>
      <c r="K43" s="50"/>
    </row>
    <row r="44" spans="2:11" x14ac:dyDescent="0.2">
      <c r="B44" s="81" t="s">
        <v>741</v>
      </c>
      <c r="F44" s="2" t="s">
        <v>922</v>
      </c>
      <c r="J44" s="32">
        <f>'23. Correctie inv. &lt;= 10 jaar'!O148</f>
        <v>5903619.5109624248</v>
      </c>
      <c r="K44" s="32">
        <f>'23. Correctie inv. &lt;= 10 jaar'!O151</f>
        <v>18676131.343710661</v>
      </c>
    </row>
    <row r="45" spans="2:11" x14ac:dyDescent="0.2">
      <c r="B45" s="81" t="s">
        <v>742</v>
      </c>
      <c r="F45" s="2" t="s">
        <v>922</v>
      </c>
      <c r="J45" s="32">
        <f>'23. Correctie inv. &lt;= 10 jaar'!O154</f>
        <v>15352671.806494443</v>
      </c>
      <c r="K45" s="50"/>
    </row>
    <row r="46" spans="2:11" x14ac:dyDescent="0.2">
      <c r="B46" s="2" t="s">
        <v>972</v>
      </c>
      <c r="F46" s="2" t="s">
        <v>922</v>
      </c>
      <c r="J46" s="32">
        <f>'21. Correctie afloopinv. WUI'!AM76</f>
        <v>0</v>
      </c>
      <c r="K46" s="32">
        <f>'21. Correctie afloopinv. WUI'!AM93</f>
        <v>1805905.2138954885</v>
      </c>
    </row>
    <row r="47" spans="2:11" x14ac:dyDescent="0.2">
      <c r="B47" s="2" t="s">
        <v>1106</v>
      </c>
      <c r="F47" s="2" t="s">
        <v>922</v>
      </c>
      <c r="J47" s="50"/>
      <c r="K47" s="32">
        <f>'25. Overige correcties'!AM85</f>
        <v>10952774.554155953</v>
      </c>
    </row>
    <row r="48" spans="2:11" x14ac:dyDescent="0.2">
      <c r="B48" s="2" t="s">
        <v>930</v>
      </c>
      <c r="F48" s="2" t="s">
        <v>922</v>
      </c>
      <c r="J48" s="32">
        <f>'25. Overige correcties'!AM88</f>
        <v>0</v>
      </c>
      <c r="K48" s="50"/>
    </row>
    <row r="49" spans="2:11" x14ac:dyDescent="0.2">
      <c r="B49" s="2" t="s">
        <v>931</v>
      </c>
      <c r="F49" s="2" t="s">
        <v>922</v>
      </c>
      <c r="J49" s="32">
        <f>'25. Overige correcties'!AM90</f>
        <v>0</v>
      </c>
      <c r="K49" s="50"/>
    </row>
    <row r="50" spans="2:11" x14ac:dyDescent="0.2">
      <c r="B50" s="2" t="s">
        <v>932</v>
      </c>
      <c r="F50" s="2" t="s">
        <v>922</v>
      </c>
      <c r="J50" s="32">
        <f>'25. Overige correcties'!AM91</f>
        <v>0</v>
      </c>
      <c r="K50" s="50"/>
    </row>
    <row r="52" spans="2:11" x14ac:dyDescent="0.2">
      <c r="B52" s="2" t="s">
        <v>1164</v>
      </c>
      <c r="F52" s="2" t="s">
        <v>922</v>
      </c>
      <c r="J52" s="33">
        <f>SUM(J17:J50)</f>
        <v>403874652.45207244</v>
      </c>
      <c r="K52" s="33">
        <f>SUM(K17:K50)</f>
        <v>-8755384.9951087944</v>
      </c>
    </row>
    <row r="54" spans="2:11" s="7" customFormat="1" x14ac:dyDescent="0.2">
      <c r="B54" s="7" t="s">
        <v>1021</v>
      </c>
      <c r="J54" s="7" t="s">
        <v>85</v>
      </c>
      <c r="K54" s="7" t="s">
        <v>86</v>
      </c>
    </row>
    <row r="56" spans="2:11" x14ac:dyDescent="0.2">
      <c r="B56" s="21" t="s">
        <v>91</v>
      </c>
    </row>
    <row r="57" spans="2:11" x14ac:dyDescent="0.2">
      <c r="B57" s="2" t="s">
        <v>957</v>
      </c>
      <c r="F57" s="2" t="s">
        <v>922</v>
      </c>
      <c r="J57" s="50"/>
      <c r="K57" s="33">
        <f>$H$12*K17</f>
        <v>-23101843.118341208</v>
      </c>
    </row>
    <row r="58" spans="2:11" x14ac:dyDescent="0.2">
      <c r="B58" s="2" t="s">
        <v>958</v>
      </c>
      <c r="F58" s="2" t="s">
        <v>922</v>
      </c>
      <c r="J58" s="33">
        <f>$H$12*J18</f>
        <v>-14460303.649137739</v>
      </c>
      <c r="K58" s="50"/>
    </row>
    <row r="59" spans="2:11" x14ac:dyDescent="0.2">
      <c r="B59" s="2" t="s">
        <v>959</v>
      </c>
      <c r="F59" s="2" t="s">
        <v>922</v>
      </c>
      <c r="J59" s="33">
        <f>$H$12*J19</f>
        <v>68822047.237928942</v>
      </c>
      <c r="K59" s="33">
        <f>$H$12*K19</f>
        <v>-154114673.6512264</v>
      </c>
    </row>
    <row r="60" spans="2:11" x14ac:dyDescent="0.2">
      <c r="B60" s="2" t="s">
        <v>752</v>
      </c>
      <c r="F60" s="2" t="s">
        <v>922</v>
      </c>
      <c r="J60" s="50"/>
      <c r="K60" s="33">
        <f>$H$12*K20</f>
        <v>0</v>
      </c>
    </row>
    <row r="62" spans="2:11" x14ac:dyDescent="0.2">
      <c r="B62" s="21" t="s">
        <v>90</v>
      </c>
    </row>
    <row r="63" spans="2:11" x14ac:dyDescent="0.2">
      <c r="B63" s="2" t="s">
        <v>960</v>
      </c>
      <c r="F63" s="2" t="s">
        <v>922</v>
      </c>
      <c r="J63" s="33">
        <f>$H$12*J23</f>
        <v>43460950.870970242</v>
      </c>
      <c r="K63" s="33">
        <f>$H$12*K23</f>
        <v>55743693.489958942</v>
      </c>
    </row>
    <row r="64" spans="2:11" x14ac:dyDescent="0.2">
      <c r="B64" s="2" t="s">
        <v>961</v>
      </c>
      <c r="F64" s="2" t="s">
        <v>922</v>
      </c>
      <c r="J64" s="33">
        <f>$H$12*J24</f>
        <v>2561319.5104273343</v>
      </c>
      <c r="K64" s="50"/>
    </row>
    <row r="65" spans="2:11" x14ac:dyDescent="0.2">
      <c r="B65" s="91" t="s">
        <v>962</v>
      </c>
      <c r="F65" s="2" t="s">
        <v>922</v>
      </c>
      <c r="J65" s="33">
        <f>$H$12*J25</f>
        <v>14491222.841970319</v>
      </c>
      <c r="K65" s="33">
        <f>$H$12*K25</f>
        <v>1311405.680797135</v>
      </c>
    </row>
    <row r="66" spans="2:11" x14ac:dyDescent="0.2">
      <c r="B66" s="91" t="s">
        <v>963</v>
      </c>
      <c r="F66" s="2" t="s">
        <v>922</v>
      </c>
      <c r="J66" s="33">
        <f>$H$12*J26</f>
        <v>33475878.270220555</v>
      </c>
      <c r="K66" s="33">
        <f>$H$12*K26</f>
        <v>1429007.0487182261</v>
      </c>
    </row>
    <row r="67" spans="2:11" x14ac:dyDescent="0.2">
      <c r="B67" s="2" t="s">
        <v>971</v>
      </c>
      <c r="F67" s="2" t="s">
        <v>922</v>
      </c>
      <c r="J67" s="33">
        <f t="shared" ref="J67:K71" si="0">$H$12*J27</f>
        <v>2009.4896780146498</v>
      </c>
      <c r="K67" s="33">
        <f t="shared" si="0"/>
        <v>21393.431763611443</v>
      </c>
    </row>
    <row r="68" spans="2:11" x14ac:dyDescent="0.2">
      <c r="B68" s="2" t="s">
        <v>964</v>
      </c>
      <c r="F68" s="2" t="s">
        <v>922</v>
      </c>
      <c r="J68" s="33">
        <f t="shared" si="0"/>
        <v>38617.520362485891</v>
      </c>
      <c r="K68" s="50"/>
    </row>
    <row r="69" spans="2:11" x14ac:dyDescent="0.2">
      <c r="B69" s="2" t="s">
        <v>1017</v>
      </c>
      <c r="F69" s="2" t="s">
        <v>922</v>
      </c>
      <c r="J69" s="33">
        <f t="shared" si="0"/>
        <v>1627779.1751082276</v>
      </c>
      <c r="K69" s="33">
        <f t="shared" si="0"/>
        <v>808734.82277099462</v>
      </c>
    </row>
    <row r="70" spans="2:11" x14ac:dyDescent="0.2">
      <c r="B70" s="2" t="s">
        <v>1004</v>
      </c>
      <c r="F70" s="2" t="s">
        <v>922</v>
      </c>
      <c r="J70" s="33">
        <f t="shared" si="0"/>
        <v>2153187.0791682759</v>
      </c>
      <c r="K70" s="50"/>
    </row>
    <row r="71" spans="2:11" x14ac:dyDescent="0.2">
      <c r="B71" s="2" t="s">
        <v>1005</v>
      </c>
      <c r="F71" s="2" t="s">
        <v>922</v>
      </c>
      <c r="J71" s="33">
        <f t="shared" si="0"/>
        <v>974601.18303545099</v>
      </c>
      <c r="K71" s="50"/>
    </row>
    <row r="72" spans="2:11" x14ac:dyDescent="0.2">
      <c r="B72" s="2" t="s">
        <v>849</v>
      </c>
      <c r="F72" s="2" t="s">
        <v>922</v>
      </c>
      <c r="J72" s="33">
        <f t="shared" ref="J72:J90" si="1">$H$12*J32</f>
        <v>-225536.69650125573</v>
      </c>
      <c r="K72" s="33">
        <f t="shared" ref="K72:K76" si="2">$H$12*K32</f>
        <v>-6862973.4208183903</v>
      </c>
    </row>
    <row r="73" spans="2:11" x14ac:dyDescent="0.2">
      <c r="B73" s="137" t="s">
        <v>103</v>
      </c>
      <c r="F73" s="2" t="s">
        <v>922</v>
      </c>
      <c r="J73" s="33">
        <f t="shared" si="1"/>
        <v>0</v>
      </c>
      <c r="K73" s="50"/>
    </row>
    <row r="74" spans="2:11" x14ac:dyDescent="0.2">
      <c r="B74" s="137" t="s">
        <v>975</v>
      </c>
      <c r="F74" s="2" t="s">
        <v>922</v>
      </c>
      <c r="J74" s="50"/>
      <c r="K74" s="33">
        <f t="shared" si="2"/>
        <v>13024273.194747064</v>
      </c>
    </row>
    <row r="75" spans="2:11" x14ac:dyDescent="0.2">
      <c r="B75" s="137" t="s">
        <v>976</v>
      </c>
      <c r="F75" s="2" t="s">
        <v>922</v>
      </c>
      <c r="J75" s="33">
        <f t="shared" si="1"/>
        <v>8719992.3273438625</v>
      </c>
      <c r="K75" s="33">
        <f t="shared" si="2"/>
        <v>5715209.077845946</v>
      </c>
    </row>
    <row r="76" spans="2:11" x14ac:dyDescent="0.2">
      <c r="B76" s="2" t="s">
        <v>977</v>
      </c>
      <c r="F76" s="2" t="s">
        <v>922</v>
      </c>
      <c r="J76" s="33">
        <f t="shared" si="1"/>
        <v>59817303.382226422</v>
      </c>
      <c r="K76" s="33">
        <f t="shared" si="2"/>
        <v>47719097.412588596</v>
      </c>
    </row>
    <row r="77" spans="2:11" x14ac:dyDescent="0.2">
      <c r="B77" s="2" t="s">
        <v>978</v>
      </c>
      <c r="F77" s="2" t="s">
        <v>922</v>
      </c>
      <c r="J77" s="33">
        <f t="shared" si="1"/>
        <v>70736706.035894468</v>
      </c>
      <c r="K77" s="50"/>
    </row>
    <row r="78" spans="2:11" x14ac:dyDescent="0.2">
      <c r="B78" s="2" t="s">
        <v>468</v>
      </c>
      <c r="F78" s="2" t="s">
        <v>922</v>
      </c>
      <c r="J78" s="33">
        <f t="shared" si="1"/>
        <v>0</v>
      </c>
      <c r="K78" s="33">
        <f>$H$12*K38</f>
        <v>-260364.42651804083</v>
      </c>
    </row>
    <row r="79" spans="2:11" x14ac:dyDescent="0.2">
      <c r="B79" s="2" t="s">
        <v>469</v>
      </c>
      <c r="F79" s="2" t="s">
        <v>922</v>
      </c>
      <c r="J79" s="33">
        <f t="shared" si="1"/>
        <v>-1096986.3217733209</v>
      </c>
      <c r="K79" s="33">
        <f>$H$12*K39</f>
        <v>0</v>
      </c>
    </row>
    <row r="80" spans="2:11" x14ac:dyDescent="0.2">
      <c r="B80" s="81" t="s">
        <v>973</v>
      </c>
      <c r="F80" s="2" t="s">
        <v>922</v>
      </c>
      <c r="J80" s="33">
        <f t="shared" si="1"/>
        <v>-272353.96468242939</v>
      </c>
      <c r="K80" s="33">
        <f>$H$12*K40</f>
        <v>-210264.35250954982</v>
      </c>
    </row>
    <row r="81" spans="2:11" x14ac:dyDescent="0.2">
      <c r="B81" s="81" t="s">
        <v>974</v>
      </c>
      <c r="F81" s="2" t="s">
        <v>922</v>
      </c>
      <c r="J81" s="33">
        <f t="shared" si="1"/>
        <v>-9829.7321738122846</v>
      </c>
      <c r="K81" s="50"/>
    </row>
    <row r="82" spans="2:11" x14ac:dyDescent="0.2">
      <c r="B82" s="81" t="s">
        <v>643</v>
      </c>
      <c r="F82" s="2" t="s">
        <v>922</v>
      </c>
      <c r="J82" s="33">
        <f t="shared" si="1"/>
        <v>13871461.255113959</v>
      </c>
      <c r="K82" s="33">
        <f>$H$12*K42</f>
        <v>26625147.924726374</v>
      </c>
    </row>
    <row r="83" spans="2:11" x14ac:dyDescent="0.2">
      <c r="B83" s="81" t="s">
        <v>470</v>
      </c>
      <c r="F83" s="2" t="s">
        <v>922</v>
      </c>
      <c r="J83" s="33">
        <f t="shared" si="1"/>
        <v>1406623.0925125577</v>
      </c>
      <c r="K83" s="50"/>
    </row>
    <row r="84" spans="2:11" x14ac:dyDescent="0.2">
      <c r="B84" s="81" t="s">
        <v>741</v>
      </c>
      <c r="F84" s="2" t="s">
        <v>922</v>
      </c>
      <c r="J84" s="33">
        <f t="shared" si="1"/>
        <v>4722895.6087699402</v>
      </c>
      <c r="K84" s="33">
        <f>$H$12*K44</f>
        <v>14940905.07496853</v>
      </c>
    </row>
    <row r="85" spans="2:11" x14ac:dyDescent="0.2">
      <c r="B85" s="81" t="s">
        <v>742</v>
      </c>
      <c r="F85" s="2" t="s">
        <v>922</v>
      </c>
      <c r="J85" s="33">
        <f t="shared" si="1"/>
        <v>12282137.445195556</v>
      </c>
      <c r="K85" s="50"/>
    </row>
    <row r="86" spans="2:11" x14ac:dyDescent="0.2">
      <c r="B86" s="2" t="s">
        <v>972</v>
      </c>
      <c r="F86" s="2" t="s">
        <v>922</v>
      </c>
      <c r="J86" s="33">
        <f t="shared" si="1"/>
        <v>0</v>
      </c>
      <c r="K86" s="33">
        <f>$H$12*K46</f>
        <v>1444724.171116391</v>
      </c>
    </row>
    <row r="87" spans="2:11" x14ac:dyDescent="0.2">
      <c r="B87" s="2" t="s">
        <v>1106</v>
      </c>
      <c r="F87" s="2" t="s">
        <v>922</v>
      </c>
      <c r="J87" s="50"/>
      <c r="K87" s="33">
        <f>$H$12*K47</f>
        <v>8762219.6433247626</v>
      </c>
    </row>
    <row r="88" spans="2:11" x14ac:dyDescent="0.2">
      <c r="B88" s="2" t="s">
        <v>930</v>
      </c>
      <c r="F88" s="2" t="s">
        <v>922</v>
      </c>
      <c r="J88" s="33">
        <f t="shared" si="1"/>
        <v>0</v>
      </c>
      <c r="K88" s="50"/>
    </row>
    <row r="89" spans="2:11" x14ac:dyDescent="0.2">
      <c r="B89" s="2" t="s">
        <v>931</v>
      </c>
      <c r="F89" s="2" t="s">
        <v>922</v>
      </c>
      <c r="J89" s="33">
        <f t="shared" si="1"/>
        <v>0</v>
      </c>
      <c r="K89" s="50"/>
    </row>
    <row r="90" spans="2:11" x14ac:dyDescent="0.2">
      <c r="B90" s="2" t="s">
        <v>932</v>
      </c>
      <c r="F90" s="2" t="s">
        <v>922</v>
      </c>
      <c r="J90" s="33">
        <f t="shared" si="1"/>
        <v>0</v>
      </c>
      <c r="K90" s="50"/>
    </row>
    <row r="92" spans="2:11" s="7" customFormat="1" x14ac:dyDescent="0.2">
      <c r="B92" s="7" t="s">
        <v>1023</v>
      </c>
      <c r="J92" s="7" t="s">
        <v>85</v>
      </c>
      <c r="K92" s="7" t="s">
        <v>86</v>
      </c>
    </row>
    <row r="94" spans="2:11" x14ac:dyDescent="0.2">
      <c r="B94" s="1" t="s">
        <v>1025</v>
      </c>
    </row>
    <row r="95" spans="2:11" x14ac:dyDescent="0.2">
      <c r="B95" s="2" t="s">
        <v>1022</v>
      </c>
      <c r="F95" s="2" t="s">
        <v>922</v>
      </c>
      <c r="J95" s="23">
        <f>SUM((J57:J60,J63:J90))</f>
        <v>323099721.96165812</v>
      </c>
      <c r="K95" s="23">
        <f>SUM((K57:K60,K63:K90))</f>
        <v>-7004307.9960870203</v>
      </c>
    </row>
    <row r="96" spans="2:11" x14ac:dyDescent="0.2">
      <c r="B96" s="2" t="s">
        <v>1161</v>
      </c>
      <c r="F96" s="2" t="s">
        <v>922</v>
      </c>
      <c r="J96" s="23">
        <f>J52-SUM(J57:J60,J63:J90)</f>
        <v>80774930.490414321</v>
      </c>
      <c r="K96" s="23">
        <f>K52-SUM(K57:K60,K63:K90)</f>
        <v>-1751076.9990217742</v>
      </c>
    </row>
  </sheetData>
  <mergeCells count="1">
    <mergeCell ref="B5:E5"/>
  </mergeCells>
  <phoneticPr fontId="30"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AD9A3-5BD0-4856-9FA5-F6AFF69E694E}">
  <sheetPr>
    <tabColor rgb="FF99FF99"/>
    <pageSetUpPr fitToPage="1"/>
  </sheetPr>
  <dimension ref="B2:R32"/>
  <sheetViews>
    <sheetView showGridLines="0" zoomScale="85" zoomScaleNormal="85" workbookViewId="0">
      <pane xSplit="6" ySplit="11" topLeftCell="G12" activePane="bottomRight" state="frozen"/>
      <selection activeCell="P579" sqref="P579"/>
      <selection pane="topRight" activeCell="P579" sqref="P579"/>
      <selection pane="bottomLeft" activeCell="P579" sqref="P579"/>
      <selection pane="bottomRight"/>
    </sheetView>
  </sheetViews>
  <sheetFormatPr defaultColWidth="9.140625" defaultRowHeight="12.75" x14ac:dyDescent="0.2"/>
  <cols>
    <col min="1" max="1" width="5.7109375" style="2" customWidth="1"/>
    <col min="2" max="2" width="74.7109375" style="2" customWidth="1"/>
    <col min="3" max="5" width="5.7109375" style="2" customWidth="1"/>
    <col min="6" max="6" width="12.5703125" style="2" bestFit="1" customWidth="1"/>
    <col min="7" max="7" width="2.7109375" style="2" customWidth="1"/>
    <col min="8" max="8" width="10.7109375" style="2" bestFit="1" customWidth="1"/>
    <col min="9" max="9" width="2.7109375" style="2" customWidth="1"/>
    <col min="10" max="10" width="8.5703125" style="2" bestFit="1" customWidth="1"/>
    <col min="11" max="11" width="2.7109375" style="2" customWidth="1"/>
    <col min="12" max="12" width="12.5703125" style="2" customWidth="1"/>
    <col min="13" max="16" width="18.7109375" style="2" customWidth="1"/>
    <col min="17" max="17" width="2.7109375" style="2" customWidth="1"/>
    <col min="18" max="18" width="56.85546875" style="66" customWidth="1"/>
    <col min="19" max="32" width="13.7109375" style="2" customWidth="1"/>
    <col min="33" max="16384" width="9.140625" style="2"/>
  </cols>
  <sheetData>
    <row r="2" spans="2:18" s="13" customFormat="1" ht="18" x14ac:dyDescent="0.2">
      <c r="B2" s="13" t="s">
        <v>1086</v>
      </c>
      <c r="R2" s="151"/>
    </row>
    <row r="4" spans="2:18" x14ac:dyDescent="0.2">
      <c r="B4" s="21" t="s">
        <v>26</v>
      </c>
      <c r="C4" s="1"/>
      <c r="D4" s="1"/>
    </row>
    <row r="5" spans="2:18" ht="115.5" customHeight="1" x14ac:dyDescent="0.2">
      <c r="B5" s="163" t="s">
        <v>1301</v>
      </c>
      <c r="C5" s="163"/>
      <c r="D5" s="163"/>
      <c r="E5" s="163"/>
    </row>
    <row r="6" spans="2:18" x14ac:dyDescent="0.2">
      <c r="C6" s="3"/>
      <c r="D6" s="3"/>
    </row>
    <row r="7" spans="2:18" x14ac:dyDescent="0.2">
      <c r="B7" s="21" t="s">
        <v>94</v>
      </c>
      <c r="C7" s="3"/>
      <c r="D7" s="3"/>
    </row>
    <row r="8" spans="2:18" x14ac:dyDescent="0.2">
      <c r="B8" s="165" t="s">
        <v>294</v>
      </c>
      <c r="C8" s="165"/>
      <c r="D8" s="165"/>
      <c r="E8" s="165"/>
      <c r="F8" s="32" t="str">
        <f>'26. Controle tarieven'!H83</f>
        <v>ja</v>
      </c>
    </row>
    <row r="10" spans="2:18" s="7" customFormat="1" ht="42.75" customHeight="1" x14ac:dyDescent="0.2">
      <c r="B10" s="7" t="s">
        <v>42</v>
      </c>
      <c r="F10" s="7" t="s">
        <v>24</v>
      </c>
      <c r="H10" s="7" t="s">
        <v>25</v>
      </c>
      <c r="J10" s="7" t="s">
        <v>46</v>
      </c>
      <c r="L10" s="51" t="s">
        <v>95</v>
      </c>
      <c r="M10" s="51" t="s">
        <v>96</v>
      </c>
      <c r="N10" s="51" t="s">
        <v>574</v>
      </c>
      <c r="O10" s="51" t="s">
        <v>97</v>
      </c>
      <c r="P10" s="51" t="s">
        <v>575</v>
      </c>
      <c r="R10" s="51" t="s">
        <v>44</v>
      </c>
    </row>
    <row r="13" spans="2:18" s="7" customFormat="1" x14ac:dyDescent="0.2">
      <c r="B13" s="7" t="s">
        <v>915</v>
      </c>
      <c r="R13" s="51"/>
    </row>
    <row r="15" spans="2:18" x14ac:dyDescent="0.2">
      <c r="B15" s="21" t="s">
        <v>85</v>
      </c>
    </row>
    <row r="16" spans="2:18" x14ac:dyDescent="0.2">
      <c r="B16" s="2" t="s">
        <v>944</v>
      </c>
      <c r="F16" s="2" t="s">
        <v>98</v>
      </c>
      <c r="L16" s="31">
        <v>22.583333333333332</v>
      </c>
      <c r="M16" s="31">
        <v>655597.01600000018</v>
      </c>
      <c r="N16" s="31">
        <v>5096149</v>
      </c>
      <c r="O16" s="31">
        <v>120379.004</v>
      </c>
      <c r="P16" s="31">
        <v>1646902</v>
      </c>
    </row>
    <row r="17" spans="2:18" x14ac:dyDescent="0.2">
      <c r="M17" s="75"/>
    </row>
    <row r="18" spans="2:18" x14ac:dyDescent="0.2">
      <c r="B18" s="21" t="s">
        <v>86</v>
      </c>
    </row>
    <row r="19" spans="2:18" x14ac:dyDescent="0.2">
      <c r="B19" s="2" t="s">
        <v>945</v>
      </c>
      <c r="F19" s="2" t="s">
        <v>98</v>
      </c>
      <c r="L19" s="31">
        <v>99.083333333333329</v>
      </c>
      <c r="M19" s="31">
        <v>17639969.015999999</v>
      </c>
      <c r="N19" s="31">
        <v>148325360</v>
      </c>
      <c r="O19" s="31">
        <v>270236.71600000007</v>
      </c>
      <c r="P19" s="31">
        <v>2235875</v>
      </c>
    </row>
    <row r="20" spans="2:18" x14ac:dyDescent="0.2">
      <c r="M20" s="75"/>
      <c r="N20" s="75"/>
      <c r="O20" s="75"/>
      <c r="P20" s="75"/>
      <c r="R20" s="99"/>
    </row>
    <row r="21" spans="2:18" s="7" customFormat="1" x14ac:dyDescent="0.2">
      <c r="B21" s="7" t="s">
        <v>948</v>
      </c>
      <c r="R21" s="156"/>
    </row>
    <row r="22" spans="2:18" x14ac:dyDescent="0.2">
      <c r="R22" s="99"/>
    </row>
    <row r="23" spans="2:18" x14ac:dyDescent="0.2">
      <c r="B23" s="21" t="s">
        <v>85</v>
      </c>
      <c r="R23" s="99"/>
    </row>
    <row r="24" spans="2:18" x14ac:dyDescent="0.2">
      <c r="B24" s="2" t="s">
        <v>946</v>
      </c>
      <c r="F24" s="2" t="s">
        <v>922</v>
      </c>
      <c r="L24" s="52">
        <v>12478.96</v>
      </c>
      <c r="M24" s="52">
        <v>57.03</v>
      </c>
      <c r="N24" s="52">
        <v>4.4400000000000004</v>
      </c>
      <c r="O24" s="52">
        <v>28.509999999999998</v>
      </c>
      <c r="P24" s="52">
        <v>1.54</v>
      </c>
      <c r="R24" s="99"/>
    </row>
    <row r="25" spans="2:18" ht="25.5" x14ac:dyDescent="0.2">
      <c r="B25" s="2" t="s">
        <v>947</v>
      </c>
      <c r="F25" s="2" t="s">
        <v>98</v>
      </c>
      <c r="L25" s="154">
        <v>27.736320001101376</v>
      </c>
      <c r="M25" s="154">
        <v>854945.36694392562</v>
      </c>
      <c r="N25" s="154">
        <v>10730411.50369918</v>
      </c>
      <c r="O25" s="154">
        <v>51426.435114503838</v>
      </c>
      <c r="P25" s="154">
        <v>1698972.9229007959</v>
      </c>
      <c r="R25" s="66" t="s">
        <v>1044</v>
      </c>
    </row>
    <row r="26" spans="2:18" x14ac:dyDescent="0.2">
      <c r="L26" s="53"/>
      <c r="M26" s="53"/>
      <c r="N26" s="53"/>
      <c r="O26" s="53"/>
      <c r="P26" s="53"/>
      <c r="R26" s="99"/>
    </row>
    <row r="27" spans="2:18" x14ac:dyDescent="0.2">
      <c r="B27" s="21" t="s">
        <v>86</v>
      </c>
      <c r="L27" s="53"/>
      <c r="M27" s="53"/>
      <c r="N27" s="53"/>
      <c r="O27" s="53"/>
      <c r="P27" s="53"/>
      <c r="R27" s="99"/>
    </row>
    <row r="28" spans="2:18" x14ac:dyDescent="0.2">
      <c r="B28" s="2" t="s">
        <v>946</v>
      </c>
      <c r="F28" s="2" t="s">
        <v>922</v>
      </c>
      <c r="L28" s="52">
        <v>2760</v>
      </c>
      <c r="M28" s="52">
        <v>79.66</v>
      </c>
      <c r="N28" s="52">
        <v>9.24</v>
      </c>
      <c r="O28" s="52">
        <v>39.830000000000005</v>
      </c>
      <c r="P28" s="52">
        <v>3.2</v>
      </c>
      <c r="R28" s="99"/>
    </row>
    <row r="29" spans="2:18" ht="25.5" x14ac:dyDescent="0.2">
      <c r="B29" s="2" t="s">
        <v>947</v>
      </c>
      <c r="F29" s="2" t="s">
        <v>98</v>
      </c>
      <c r="L29" s="31">
        <v>111.67409631508963</v>
      </c>
      <c r="M29" s="31">
        <v>19967371.618835926</v>
      </c>
      <c r="N29" s="31">
        <v>173386779.6419012</v>
      </c>
      <c r="O29" s="31">
        <v>519853.71755725145</v>
      </c>
      <c r="P29" s="31">
        <v>3013391.0404579639</v>
      </c>
      <c r="R29" s="66" t="s">
        <v>1044</v>
      </c>
    </row>
    <row r="32" spans="2:18" x14ac:dyDescent="0.2">
      <c r="N32" s="75"/>
    </row>
  </sheetData>
  <mergeCells count="2">
    <mergeCell ref="B5:E5"/>
    <mergeCell ref="B8:E8"/>
  </mergeCells>
  <pageMargins left="0.70866141732283472" right="0.70866141732283472" top="0.74803149606299213" bottom="0.74803149606299213" header="0.31496062992125984" footer="0.31496062992125984"/>
  <pageSetup paperSize="9" scale="4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4.9989318521683403E-2"/>
  </sheetPr>
  <dimension ref="B2:B3"/>
  <sheetViews>
    <sheetView showGridLines="0" zoomScale="85" zoomScaleNormal="85" workbookViewId="0"/>
  </sheetViews>
  <sheetFormatPr defaultColWidth="9.140625" defaultRowHeight="12.75" x14ac:dyDescent="0.2"/>
  <cols>
    <col min="1" max="1" width="5.7109375" style="16" customWidth="1"/>
    <col min="2" max="16384" width="9.140625" style="16"/>
  </cols>
  <sheetData>
    <row r="2" spans="2:2" x14ac:dyDescent="0.2">
      <c r="B2" s="34"/>
    </row>
    <row r="3" spans="2:2" x14ac:dyDescent="0.2">
      <c r="B3" s="34"/>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F36DF-D09B-4068-A88F-01B61D475EF4}">
  <sheetPr>
    <tabColor rgb="FFE1FFE1"/>
  </sheetPr>
  <dimension ref="A1:BG105"/>
  <sheetViews>
    <sheetView showGridLines="0" zoomScale="85" zoomScaleNormal="85" workbookViewId="0">
      <pane xSplit="6" ySplit="8" topLeftCell="G9" activePane="bottomRight" state="frozen"/>
      <selection activeCell="P579" sqref="P579"/>
      <selection pane="topRight" activeCell="P579" sqref="P579"/>
      <selection pane="bottomLeft" activeCell="P579" sqref="P579"/>
      <selection pane="bottomRight"/>
    </sheetView>
  </sheetViews>
  <sheetFormatPr defaultColWidth="9.140625" defaultRowHeight="12.75" outlineLevelCol="1" x14ac:dyDescent="0.2"/>
  <cols>
    <col min="1" max="1" width="5.7109375" customWidth="1"/>
    <col min="2" max="2" width="106.42578125" style="2" customWidth="1"/>
    <col min="3" max="5" width="5.7109375" style="2" customWidth="1"/>
    <col min="6" max="6" width="13.7109375" style="2" customWidth="1"/>
    <col min="7" max="7" width="2.7109375" style="2" customWidth="1"/>
    <col min="8" max="8" width="13.7109375" style="2" customWidth="1"/>
    <col min="9" max="9" width="2.7109375" style="2" customWidth="1"/>
    <col min="10" max="10" width="13.7109375" style="2" customWidth="1"/>
    <col min="11" max="11" width="2.7109375" style="2" customWidth="1"/>
    <col min="12" max="29" width="12.5703125" style="2" hidden="1" customWidth="1" outlineLevel="1"/>
    <col min="30" max="30" width="12.5703125" style="2" customWidth="1" collapsed="1"/>
    <col min="31" max="39" width="12.5703125" style="2" customWidth="1"/>
    <col min="40" max="40" width="2.7109375" style="2" customWidth="1"/>
    <col min="41" max="41" width="45.42578125" style="2" customWidth="1"/>
    <col min="42" max="42" width="2.7109375" style="2" customWidth="1"/>
    <col min="43" max="43" width="30.7109375" style="2" customWidth="1"/>
    <col min="44" max="44" width="2.7109375" customWidth="1"/>
    <col min="45" max="59" width="13.7109375" customWidth="1"/>
    <col min="60" max="16384" width="9.140625" style="2"/>
  </cols>
  <sheetData>
    <row r="1" spans="1:59" x14ac:dyDescent="0.2">
      <c r="A1" s="2"/>
    </row>
    <row r="2" spans="1:59" s="13" customFormat="1" ht="18" x14ac:dyDescent="0.2">
      <c r="B2" s="13" t="s">
        <v>1048</v>
      </c>
    </row>
    <row r="4" spans="1:59" x14ac:dyDescent="0.2">
      <c r="B4" s="21" t="s">
        <v>26</v>
      </c>
      <c r="C4" s="1"/>
      <c r="D4" s="1"/>
      <c r="Y4"/>
    </row>
    <row r="5" spans="1:59" ht="79.5" customHeight="1" x14ac:dyDescent="0.2">
      <c r="B5" s="163" t="s">
        <v>710</v>
      </c>
      <c r="C5" s="163"/>
      <c r="D5" s="163"/>
      <c r="E5" s="163"/>
      <c r="H5" s="14"/>
    </row>
    <row r="7" spans="1:59" s="7" customFormat="1" x14ac:dyDescent="0.2">
      <c r="B7" s="7" t="s">
        <v>42</v>
      </c>
      <c r="F7" s="7" t="s">
        <v>24</v>
      </c>
      <c r="H7" s="7" t="s">
        <v>25</v>
      </c>
      <c r="J7" s="7" t="s">
        <v>46</v>
      </c>
      <c r="L7" s="54">
        <v>2000</v>
      </c>
      <c r="M7" s="77">
        <v>2001</v>
      </c>
      <c r="N7" s="77">
        <v>2002</v>
      </c>
      <c r="O7" s="77">
        <v>2003</v>
      </c>
      <c r="P7" s="77">
        <v>2004</v>
      </c>
      <c r="Q7" s="77">
        <v>2005</v>
      </c>
      <c r="R7" s="77">
        <v>2006</v>
      </c>
      <c r="S7" s="77">
        <v>2007</v>
      </c>
      <c r="T7" s="77">
        <v>2008</v>
      </c>
      <c r="U7" s="77">
        <v>2009</v>
      </c>
      <c r="V7" s="77">
        <v>2010</v>
      </c>
      <c r="W7" s="77">
        <v>2011</v>
      </c>
      <c r="X7" s="77">
        <v>2012</v>
      </c>
      <c r="Y7" s="77">
        <v>2013</v>
      </c>
      <c r="Z7" s="77">
        <v>2014</v>
      </c>
      <c r="AA7" s="77">
        <v>2015</v>
      </c>
      <c r="AB7" s="77">
        <v>2016</v>
      </c>
      <c r="AC7" s="77">
        <v>2017</v>
      </c>
      <c r="AD7" s="77">
        <v>2018</v>
      </c>
      <c r="AE7" s="77">
        <v>2019</v>
      </c>
      <c r="AF7" s="77">
        <v>2020</v>
      </c>
      <c r="AG7" s="77">
        <v>2021</v>
      </c>
      <c r="AH7" s="77">
        <v>2022</v>
      </c>
      <c r="AI7" s="77" t="s">
        <v>225</v>
      </c>
      <c r="AJ7" s="77">
        <v>2024</v>
      </c>
      <c r="AK7" s="77">
        <v>2025</v>
      </c>
      <c r="AL7" s="77">
        <v>2026</v>
      </c>
      <c r="AM7" s="77">
        <v>2027</v>
      </c>
      <c r="AO7" s="7" t="s">
        <v>43</v>
      </c>
      <c r="AQ7" s="7" t="s">
        <v>44</v>
      </c>
    </row>
    <row r="10" spans="1:59" s="7" customFormat="1" x14ac:dyDescent="0.2">
      <c r="B10" s="7" t="s">
        <v>108</v>
      </c>
    </row>
    <row r="11" spans="1:59" x14ac:dyDescent="0.2">
      <c r="A11" s="2"/>
      <c r="AR11" s="2"/>
      <c r="AS11" s="2"/>
      <c r="AT11" s="2"/>
      <c r="AU11" s="2"/>
      <c r="AV11" s="2"/>
      <c r="AW11" s="2"/>
      <c r="AX11" s="2"/>
      <c r="AY11" s="2"/>
      <c r="AZ11" s="2"/>
      <c r="BA11" s="2"/>
      <c r="BB11" s="2"/>
      <c r="BC11" s="2"/>
      <c r="BD11" s="2"/>
      <c r="BE11" s="2"/>
      <c r="BF11" s="2"/>
      <c r="BG11" s="2"/>
    </row>
    <row r="12" spans="1:59" x14ac:dyDescent="0.2">
      <c r="A12" s="2"/>
      <c r="B12" s="21" t="s">
        <v>109</v>
      </c>
      <c r="AQ12" s="21" t="s">
        <v>110</v>
      </c>
    </row>
    <row r="13" spans="1:59" x14ac:dyDescent="0.2">
      <c r="A13" s="2"/>
      <c r="B13" s="2" t="s">
        <v>111</v>
      </c>
      <c r="F13" s="2" t="s">
        <v>112</v>
      </c>
      <c r="L13" s="56">
        <v>2.5999999999999999E-2</v>
      </c>
      <c r="M13" s="56">
        <v>2.5000000000000001E-2</v>
      </c>
      <c r="N13" s="56">
        <v>4.7E-2</v>
      </c>
      <c r="O13" s="56">
        <v>3.3000000000000002E-2</v>
      </c>
      <c r="P13" s="56">
        <v>2.1000000000000001E-2</v>
      </c>
      <c r="Q13" s="56">
        <v>1.1000000000000001E-2</v>
      </c>
      <c r="R13" s="56">
        <v>1.8000000000000002E-2</v>
      </c>
      <c r="S13" s="56">
        <v>1.3999999999999999E-2</v>
      </c>
      <c r="T13" s="56">
        <v>1.1000000000000001E-2</v>
      </c>
      <c r="U13" s="56">
        <v>3.2000000000000001E-2</v>
      </c>
      <c r="V13" s="56">
        <v>3.0000000000000001E-3</v>
      </c>
      <c r="W13" s="56">
        <v>1.4999999999999999E-2</v>
      </c>
      <c r="X13" s="56">
        <v>2.6000000000000002E-2</v>
      </c>
      <c r="Y13" s="56">
        <v>2.3E-2</v>
      </c>
      <c r="Z13" s="56">
        <v>2.8000000000000001E-2</v>
      </c>
      <c r="AA13" s="56">
        <v>0.01</v>
      </c>
      <c r="AB13" s="56">
        <v>8.0000000000000002E-3</v>
      </c>
      <c r="AC13" s="56">
        <v>2E-3</v>
      </c>
      <c r="AD13" s="56">
        <v>1.4E-2</v>
      </c>
      <c r="AE13" s="56">
        <v>2.1000000000000001E-2</v>
      </c>
      <c r="AF13" s="56">
        <v>2.8000000000000001E-2</v>
      </c>
      <c r="AG13" s="56">
        <v>7.0000000000000001E-3</v>
      </c>
      <c r="AH13" s="56">
        <v>2.4E-2</v>
      </c>
      <c r="AI13" s="56">
        <v>0.12</v>
      </c>
      <c r="AJ13" s="56">
        <v>0.03</v>
      </c>
      <c r="AK13" s="56">
        <v>3.5999999999999997E-2</v>
      </c>
      <c r="AL13" s="56">
        <v>2.8000000000000001E-2</v>
      </c>
      <c r="AO13" s="2" t="s">
        <v>113</v>
      </c>
      <c r="AQ13" s="2" t="s">
        <v>114</v>
      </c>
    </row>
    <row r="14" spans="1:59" x14ac:dyDescent="0.2">
      <c r="A14" s="2"/>
      <c r="AQ14" s="2" t="s">
        <v>474</v>
      </c>
    </row>
    <row r="15" spans="1:59" x14ac:dyDescent="0.2">
      <c r="B15" s="21" t="s">
        <v>459</v>
      </c>
      <c r="AQ15" s="2" t="s">
        <v>115</v>
      </c>
    </row>
    <row r="16" spans="1:59" x14ac:dyDescent="0.2">
      <c r="B16" s="2" t="s">
        <v>459</v>
      </c>
      <c r="F16" s="2" t="s">
        <v>112</v>
      </c>
      <c r="H16" s="56">
        <v>8.9999999999999993E-3</v>
      </c>
      <c r="AO16" s="2" t="s">
        <v>486</v>
      </c>
    </row>
    <row r="18" spans="2:43" s="7" customFormat="1" x14ac:dyDescent="0.2">
      <c r="B18" s="7" t="s">
        <v>269</v>
      </c>
    </row>
    <row r="20" spans="2:43" x14ac:dyDescent="0.2">
      <c r="B20" s="2" t="s">
        <v>269</v>
      </c>
      <c r="F20" s="2" t="s">
        <v>112</v>
      </c>
      <c r="AF20" s="72">
        <v>0</v>
      </c>
      <c r="AG20" s="72">
        <v>0</v>
      </c>
      <c r="AH20" s="72">
        <v>5.0000000000000001E-3</v>
      </c>
      <c r="AI20" s="72">
        <v>5.0000000000000001E-3</v>
      </c>
      <c r="AJ20" s="72">
        <v>5.0000000000000001E-3</v>
      </c>
      <c r="AK20" s="72">
        <v>5.0000000000000001E-3</v>
      </c>
      <c r="AL20" s="72">
        <v>5.0000000000000001E-3</v>
      </c>
      <c r="AM20" s="140"/>
      <c r="AO20" s="2" t="s">
        <v>711</v>
      </c>
    </row>
    <row r="22" spans="2:43" s="7" customFormat="1" x14ac:dyDescent="0.2">
      <c r="B22" s="7" t="s">
        <v>116</v>
      </c>
    </row>
    <row r="24" spans="2:43" x14ac:dyDescent="0.2">
      <c r="B24" s="21" t="s">
        <v>116</v>
      </c>
      <c r="AQ24" s="21" t="s">
        <v>117</v>
      </c>
    </row>
    <row r="25" spans="2:43" x14ac:dyDescent="0.2">
      <c r="B25" s="2" t="s">
        <v>118</v>
      </c>
      <c r="F25" s="2" t="s">
        <v>112</v>
      </c>
      <c r="AD25" s="55">
        <v>0.02</v>
      </c>
      <c r="AE25" s="55">
        <v>0.02</v>
      </c>
      <c r="AF25" s="55">
        <v>0.02</v>
      </c>
      <c r="AG25" s="55">
        <v>0.02</v>
      </c>
      <c r="AH25" s="55">
        <v>0.02</v>
      </c>
      <c r="AI25" s="71">
        <v>0.04</v>
      </c>
      <c r="AJ25" s="71">
        <v>7.0000000000000007E-2</v>
      </c>
      <c r="AK25" s="71">
        <v>0.06</v>
      </c>
      <c r="AL25" s="71">
        <v>0.04</v>
      </c>
      <c r="AM25" s="106">
        <v>0.05</v>
      </c>
      <c r="AO25" s="2" t="s">
        <v>119</v>
      </c>
      <c r="AQ25" s="2" t="s">
        <v>120</v>
      </c>
    </row>
    <row r="26" spans="2:43" x14ac:dyDescent="0.2">
      <c r="B26" s="2" t="s">
        <v>121</v>
      </c>
      <c r="F26" s="2" t="s">
        <v>112</v>
      </c>
      <c r="AD26" s="55">
        <v>0.02</v>
      </c>
      <c r="AE26" s="55">
        <v>0.02</v>
      </c>
      <c r="AF26" s="55">
        <v>0.02</v>
      </c>
      <c r="AG26" s="55">
        <v>0.02</v>
      </c>
      <c r="AH26" s="55">
        <v>0.02</v>
      </c>
      <c r="AI26" s="71">
        <v>0.04</v>
      </c>
      <c r="AJ26" s="71">
        <v>7.0000000000000007E-2</v>
      </c>
      <c r="AK26" s="71">
        <v>0.06</v>
      </c>
      <c r="AL26" s="71">
        <v>0.04</v>
      </c>
      <c r="AM26" s="106">
        <v>0.05</v>
      </c>
      <c r="AO26" s="2" t="s">
        <v>119</v>
      </c>
      <c r="AQ26" s="2" t="s">
        <v>122</v>
      </c>
    </row>
    <row r="27" spans="2:43" x14ac:dyDescent="0.2">
      <c r="B27" s="2" t="s">
        <v>123</v>
      </c>
      <c r="F27" s="2" t="s">
        <v>112</v>
      </c>
      <c r="AD27" s="55">
        <v>0.02</v>
      </c>
      <c r="AE27" s="55">
        <v>0.02</v>
      </c>
      <c r="AF27" s="55">
        <v>0.02</v>
      </c>
      <c r="AG27" s="55">
        <v>0.02</v>
      </c>
      <c r="AH27" s="71">
        <v>0.02</v>
      </c>
      <c r="AI27" s="71">
        <v>0.06</v>
      </c>
      <c r="AJ27" s="71">
        <v>7.0000000000000007E-2</v>
      </c>
      <c r="AK27" s="71">
        <v>0.06</v>
      </c>
      <c r="AL27" s="71">
        <v>0.04</v>
      </c>
      <c r="AO27" s="2" t="s">
        <v>119</v>
      </c>
      <c r="AQ27" s="2" t="s">
        <v>1148</v>
      </c>
    </row>
    <row r="28" spans="2:43" x14ac:dyDescent="0.2">
      <c r="B28" s="2" t="s">
        <v>124</v>
      </c>
      <c r="F28" s="2" t="s">
        <v>112</v>
      </c>
      <c r="AD28" s="55">
        <v>0.02</v>
      </c>
      <c r="AE28" s="55">
        <v>0.02</v>
      </c>
      <c r="AF28" s="55">
        <v>0.02</v>
      </c>
      <c r="AG28" s="55">
        <v>0.02</v>
      </c>
      <c r="AH28" s="71">
        <v>0.02</v>
      </c>
      <c r="AI28" s="71">
        <v>0.06</v>
      </c>
      <c r="AJ28" s="71">
        <v>7.0000000000000007E-2</v>
      </c>
      <c r="AK28" s="71">
        <v>0.06</v>
      </c>
      <c r="AL28" s="71">
        <v>0.04</v>
      </c>
      <c r="AO28" s="2" t="s">
        <v>119</v>
      </c>
      <c r="AQ28" s="2" t="s">
        <v>1147</v>
      </c>
    </row>
    <row r="29" spans="2:43" x14ac:dyDescent="0.2">
      <c r="AQ29" s="2" t="s">
        <v>1146</v>
      </c>
    </row>
    <row r="30" spans="2:43" x14ac:dyDescent="0.2">
      <c r="AQ30" s="2" t="s">
        <v>1155</v>
      </c>
    </row>
    <row r="32" spans="2:43" s="7" customFormat="1" x14ac:dyDescent="0.2">
      <c r="B32" s="7" t="s">
        <v>270</v>
      </c>
    </row>
    <row r="34" spans="1:59" x14ac:dyDescent="0.2">
      <c r="A34" s="2"/>
      <c r="B34" s="2" t="s">
        <v>270</v>
      </c>
      <c r="F34" s="2" t="s">
        <v>112</v>
      </c>
      <c r="H34" s="71">
        <v>0.01</v>
      </c>
      <c r="AO34" s="2" t="s">
        <v>487</v>
      </c>
    </row>
    <row r="36" spans="1:59" s="7" customFormat="1" x14ac:dyDescent="0.2">
      <c r="B36" s="7" t="s">
        <v>296</v>
      </c>
    </row>
    <row r="38" spans="1:59" x14ac:dyDescent="0.2">
      <c r="A38" s="2"/>
      <c r="B38" s="2" t="s">
        <v>272</v>
      </c>
      <c r="F38" s="2" t="s">
        <v>112</v>
      </c>
      <c r="AG38" s="78">
        <v>1</v>
      </c>
      <c r="AH38" s="78">
        <v>1</v>
      </c>
      <c r="AI38" s="78">
        <v>1</v>
      </c>
      <c r="AJ38" s="78">
        <v>1</v>
      </c>
      <c r="AK38" s="78">
        <v>1</v>
      </c>
      <c r="AL38" s="78">
        <v>1</v>
      </c>
      <c r="AM38" s="36"/>
      <c r="AO38" s="2" t="s">
        <v>488</v>
      </c>
    </row>
    <row r="39" spans="1:59" x14ac:dyDescent="0.2">
      <c r="A39" s="2"/>
      <c r="AR39" s="2"/>
      <c r="AS39" s="2"/>
      <c r="AT39" s="2"/>
      <c r="AU39" s="2"/>
      <c r="AV39" s="2"/>
      <c r="AW39" s="2"/>
      <c r="AX39" s="2"/>
      <c r="AY39" s="2"/>
      <c r="AZ39" s="2"/>
      <c r="BA39" s="2"/>
      <c r="BB39" s="2"/>
      <c r="BC39" s="2"/>
      <c r="BD39" s="2"/>
      <c r="BE39" s="2"/>
      <c r="BF39" s="2"/>
      <c r="BG39" s="2"/>
    </row>
    <row r="40" spans="1:59" s="7" customFormat="1" x14ac:dyDescent="0.2">
      <c r="B40" s="7" t="s">
        <v>407</v>
      </c>
    </row>
    <row r="41" spans="1:59" x14ac:dyDescent="0.2">
      <c r="A41" s="2"/>
      <c r="AR41" s="2"/>
      <c r="AS41" s="2"/>
      <c r="AT41" s="2"/>
      <c r="AU41" s="2"/>
      <c r="AV41" s="2"/>
      <c r="AW41" s="2"/>
      <c r="AX41" s="2"/>
      <c r="AY41" s="2"/>
      <c r="AZ41" s="2"/>
      <c r="BA41" s="2"/>
      <c r="BB41" s="2"/>
      <c r="BC41" s="2"/>
      <c r="BD41" s="2"/>
      <c r="BE41" s="2"/>
      <c r="BF41" s="2"/>
      <c r="BG41" s="2"/>
    </row>
    <row r="42" spans="1:59" x14ac:dyDescent="0.2">
      <c r="A42" s="2"/>
      <c r="B42" s="21" t="s">
        <v>410</v>
      </c>
      <c r="AR42" s="2"/>
      <c r="AS42" s="2"/>
      <c r="AT42" s="2"/>
      <c r="AU42" s="2"/>
      <c r="AV42" s="2"/>
      <c r="AW42" s="2"/>
      <c r="AX42" s="2"/>
      <c r="AY42" s="2"/>
      <c r="AZ42" s="2"/>
      <c r="BA42" s="2"/>
      <c r="BB42" s="2"/>
      <c r="BC42" s="2"/>
      <c r="BD42" s="2"/>
      <c r="BE42" s="2"/>
      <c r="BF42" s="2"/>
      <c r="BG42" s="2"/>
    </row>
    <row r="43" spans="1:59" x14ac:dyDescent="0.2">
      <c r="A43" s="2"/>
      <c r="B43" s="2" t="s">
        <v>409</v>
      </c>
      <c r="F43" s="2" t="s">
        <v>112</v>
      </c>
      <c r="AH43" s="72">
        <v>2.1999999999999999E-2</v>
      </c>
      <c r="AI43" s="72">
        <v>2.1999999999999999E-2</v>
      </c>
      <c r="AJ43" s="72">
        <v>2.7E-2</v>
      </c>
      <c r="AK43" s="72">
        <v>2.7E-2</v>
      </c>
      <c r="AL43" s="72">
        <v>2.7E-2</v>
      </c>
      <c r="AM43" s="140"/>
      <c r="AO43" s="2" t="s">
        <v>485</v>
      </c>
      <c r="AR43" s="2"/>
      <c r="AS43" s="2"/>
      <c r="AT43" s="2"/>
      <c r="AU43" s="2"/>
      <c r="AV43" s="2"/>
      <c r="AW43" s="2"/>
      <c r="AX43" s="2"/>
      <c r="AY43" s="2"/>
      <c r="AZ43" s="2"/>
      <c r="BA43" s="2"/>
      <c r="BB43" s="2"/>
      <c r="BC43" s="2"/>
      <c r="BD43" s="2"/>
      <c r="BE43" s="2"/>
      <c r="BF43" s="2"/>
      <c r="BG43" s="2"/>
    </row>
    <row r="44" spans="1:59" x14ac:dyDescent="0.2">
      <c r="A44" s="2"/>
      <c r="B44" s="2" t="s">
        <v>408</v>
      </c>
      <c r="F44" s="2" t="s">
        <v>112</v>
      </c>
      <c r="AH44" s="72">
        <v>2.4E-2</v>
      </c>
      <c r="AI44" s="72">
        <v>2.3E-2</v>
      </c>
      <c r="AJ44" s="72">
        <v>2.8000000000000001E-2</v>
      </c>
      <c r="AK44" s="72">
        <v>2.8000000000000001E-2</v>
      </c>
      <c r="AL44" s="72">
        <v>2.8000000000000001E-2</v>
      </c>
      <c r="AM44" s="140"/>
      <c r="AO44" s="2" t="s">
        <v>485</v>
      </c>
      <c r="AR44" s="2"/>
      <c r="AS44" s="2"/>
      <c r="AT44" s="2"/>
      <c r="AU44" s="2"/>
      <c r="AV44" s="2"/>
      <c r="AW44" s="2"/>
      <c r="AX44" s="2"/>
      <c r="AY44" s="2"/>
      <c r="AZ44" s="2"/>
      <c r="BA44" s="2"/>
      <c r="BB44" s="2"/>
      <c r="BC44" s="2"/>
      <c r="BD44" s="2"/>
      <c r="BE44" s="2"/>
      <c r="BF44" s="2"/>
      <c r="BG44" s="2"/>
    </row>
    <row r="45" spans="1:59" x14ac:dyDescent="0.2">
      <c r="A45" s="2"/>
      <c r="AR45" s="2"/>
      <c r="AS45" s="2"/>
      <c r="AT45" s="2"/>
      <c r="AU45" s="2"/>
      <c r="AV45" s="2"/>
      <c r="AW45" s="2"/>
      <c r="AX45" s="2"/>
      <c r="AY45" s="2"/>
      <c r="AZ45" s="2"/>
      <c r="BA45" s="2"/>
      <c r="BB45" s="2"/>
      <c r="BC45" s="2"/>
      <c r="BD45" s="2"/>
      <c r="BE45" s="2"/>
      <c r="BF45" s="2"/>
      <c r="BG45" s="2"/>
    </row>
    <row r="46" spans="1:59" x14ac:dyDescent="0.2">
      <c r="A46" s="2"/>
      <c r="B46" s="21" t="s">
        <v>582</v>
      </c>
      <c r="AR46" s="2"/>
      <c r="AS46" s="2"/>
      <c r="AT46" s="2"/>
      <c r="AU46" s="2"/>
      <c r="AV46" s="2"/>
      <c r="AW46" s="2"/>
      <c r="AX46" s="2"/>
      <c r="AY46" s="2"/>
      <c r="AZ46" s="2"/>
      <c r="BA46" s="2"/>
      <c r="BB46" s="2"/>
      <c r="BC46" s="2"/>
      <c r="BD46" s="2"/>
      <c r="BE46" s="2"/>
      <c r="BF46" s="2"/>
      <c r="BG46" s="2"/>
    </row>
    <row r="47" spans="1:59" x14ac:dyDescent="0.2">
      <c r="A47" s="2"/>
      <c r="B47" s="2" t="s">
        <v>627</v>
      </c>
      <c r="F47" s="2" t="s">
        <v>112</v>
      </c>
      <c r="AH47" s="72">
        <v>3.6999999999999998E-2</v>
      </c>
      <c r="AI47" s="72">
        <v>5.0999999999999997E-2</v>
      </c>
      <c r="AJ47" s="72">
        <v>4.9000000000000002E-2</v>
      </c>
      <c r="AK47" s="72">
        <v>5.2999999999999999E-2</v>
      </c>
      <c r="AL47" s="36"/>
      <c r="AM47" s="36"/>
      <c r="AO47" s="2" t="s">
        <v>753</v>
      </c>
      <c r="AR47" s="2"/>
      <c r="AS47" s="2"/>
      <c r="AT47" s="2"/>
      <c r="AU47" s="2"/>
      <c r="AV47" s="2"/>
      <c r="AW47" s="2"/>
      <c r="AX47" s="2"/>
      <c r="AY47" s="2"/>
      <c r="AZ47" s="2"/>
      <c r="BA47" s="2"/>
      <c r="BB47" s="2"/>
      <c r="BC47" s="2"/>
      <c r="BD47" s="2"/>
      <c r="BE47" s="2"/>
      <c r="BF47" s="2"/>
      <c r="BG47" s="2"/>
    </row>
    <row r="48" spans="1:59" x14ac:dyDescent="0.2">
      <c r="A48" s="2"/>
      <c r="B48" s="2" t="s">
        <v>628</v>
      </c>
      <c r="F48" s="2" t="s">
        <v>112</v>
      </c>
      <c r="AH48" s="72">
        <v>3.1E-2</v>
      </c>
      <c r="AI48" s="72">
        <v>4.1000000000000002E-2</v>
      </c>
      <c r="AJ48" s="72">
        <v>4.1000000000000002E-2</v>
      </c>
      <c r="AK48" s="72">
        <v>4.4999999999999998E-2</v>
      </c>
      <c r="AL48" s="36"/>
      <c r="AM48" s="36"/>
      <c r="AO48" s="2" t="s">
        <v>754</v>
      </c>
      <c r="AR48" s="2"/>
      <c r="AS48" s="2"/>
      <c r="AT48" s="2"/>
      <c r="AU48" s="2"/>
      <c r="AV48" s="2"/>
      <c r="AW48" s="2"/>
      <c r="AX48" s="2"/>
      <c r="AY48" s="2"/>
      <c r="AZ48" s="2"/>
      <c r="BA48" s="2"/>
      <c r="BB48" s="2"/>
      <c r="BC48" s="2"/>
      <c r="BD48" s="2"/>
      <c r="BE48" s="2"/>
      <c r="BF48" s="2"/>
      <c r="BG48" s="2"/>
    </row>
    <row r="49" spans="1:59" x14ac:dyDescent="0.2">
      <c r="A49" s="2"/>
      <c r="AH49" s="74"/>
      <c r="AI49" s="74"/>
      <c r="AJ49" s="74"/>
      <c r="AK49" s="74"/>
      <c r="AL49" s="74"/>
      <c r="AM49" s="74"/>
    </row>
    <row r="50" spans="1:59" s="7" customFormat="1" x14ac:dyDescent="0.2">
      <c r="B50" s="7" t="s">
        <v>413</v>
      </c>
    </row>
    <row r="51" spans="1:59" x14ac:dyDescent="0.2">
      <c r="A51" s="2"/>
      <c r="B51" s="21"/>
      <c r="AH51" s="74"/>
      <c r="AI51" s="74"/>
      <c r="AJ51" s="74"/>
      <c r="AK51" s="74"/>
      <c r="AL51" s="74"/>
      <c r="AM51" s="74"/>
    </row>
    <row r="52" spans="1:59" x14ac:dyDescent="0.2">
      <c r="A52" s="2"/>
      <c r="B52" s="21" t="s">
        <v>652</v>
      </c>
      <c r="AH52" s="74"/>
      <c r="AI52" s="74"/>
      <c r="AJ52" s="74"/>
      <c r="AK52" s="74"/>
      <c r="AL52" s="74"/>
      <c r="AM52" s="74"/>
    </row>
    <row r="53" spans="1:59" x14ac:dyDescent="0.2">
      <c r="A53" s="2"/>
      <c r="B53" s="2" t="s">
        <v>411</v>
      </c>
      <c r="F53" s="2" t="s">
        <v>112</v>
      </c>
      <c r="AH53" s="72">
        <v>0.10302589446794742</v>
      </c>
      <c r="AI53" s="72">
        <v>0.37569182058302503</v>
      </c>
      <c r="AJ53" s="72">
        <v>0.51008650140328804</v>
      </c>
      <c r="AK53" s="72">
        <v>0.58497698623171523</v>
      </c>
      <c r="AL53" s="97"/>
      <c r="AM53" s="97"/>
      <c r="AO53" s="2" t="s">
        <v>979</v>
      </c>
    </row>
    <row r="54" spans="1:59" x14ac:dyDescent="0.2">
      <c r="A54" s="2"/>
      <c r="B54" s="2" t="s">
        <v>412</v>
      </c>
      <c r="F54" s="2" t="s">
        <v>112</v>
      </c>
      <c r="AH54" s="72">
        <v>0.89697410553205259</v>
      </c>
      <c r="AI54" s="72">
        <v>0.62430817941697492</v>
      </c>
      <c r="AJ54" s="72">
        <v>0.48991349859671196</v>
      </c>
      <c r="AK54" s="72">
        <v>0.41502301376828477</v>
      </c>
      <c r="AL54" s="97"/>
      <c r="AM54" s="97"/>
      <c r="AO54" s="2" t="s">
        <v>980</v>
      </c>
    </row>
    <row r="55" spans="1:59" x14ac:dyDescent="0.2">
      <c r="A55" s="2"/>
      <c r="AH55" s="105"/>
      <c r="AI55" s="105"/>
      <c r="AR55" s="2"/>
      <c r="AS55" s="2"/>
      <c r="AT55" s="2"/>
      <c r="AU55" s="2"/>
      <c r="AV55" s="2"/>
      <c r="AW55" s="2"/>
      <c r="AX55" s="2"/>
      <c r="AY55" s="2"/>
      <c r="AZ55" s="2"/>
      <c r="BA55" s="2"/>
      <c r="BB55" s="2"/>
      <c r="BC55" s="2"/>
      <c r="BD55" s="2"/>
      <c r="BE55" s="2"/>
      <c r="BF55" s="2"/>
      <c r="BG55" s="2"/>
    </row>
    <row r="56" spans="1:59" x14ac:dyDescent="0.2">
      <c r="A56" s="2"/>
      <c r="B56" s="21" t="s">
        <v>653</v>
      </c>
      <c r="AH56" s="105"/>
      <c r="AI56" s="105"/>
      <c r="AR56" s="2"/>
      <c r="AS56" s="2"/>
      <c r="AT56" s="2"/>
      <c r="AU56" s="2"/>
      <c r="AV56" s="2"/>
      <c r="AW56" s="2"/>
      <c r="AX56" s="2"/>
      <c r="AY56" s="2"/>
      <c r="AZ56" s="2"/>
      <c r="BA56" s="2"/>
      <c r="BB56" s="2"/>
      <c r="BC56" s="2"/>
      <c r="BD56" s="2"/>
      <c r="BE56" s="2"/>
      <c r="BF56" s="2"/>
      <c r="BG56" s="2"/>
    </row>
    <row r="57" spans="1:59" x14ac:dyDescent="0.2">
      <c r="A57" s="2"/>
      <c r="B57" s="2" t="s">
        <v>411</v>
      </c>
      <c r="F57" s="2" t="s">
        <v>112</v>
      </c>
      <c r="AH57" s="72">
        <v>0.11528690563874533</v>
      </c>
      <c r="AI57" s="72">
        <v>0.5009964768016022</v>
      </c>
      <c r="AJ57" s="72">
        <v>0.45405600246826827</v>
      </c>
      <c r="AK57" s="72">
        <v>0.51113913657770937</v>
      </c>
      <c r="AL57" s="97"/>
      <c r="AM57" s="97"/>
      <c r="AO57" s="2" t="s">
        <v>981</v>
      </c>
    </row>
    <row r="58" spans="1:59" x14ac:dyDescent="0.2">
      <c r="A58" s="2"/>
      <c r="B58" s="2" t="s">
        <v>412</v>
      </c>
      <c r="F58" s="2" t="s">
        <v>112</v>
      </c>
      <c r="AH58" s="72">
        <v>0.88471309436125467</v>
      </c>
      <c r="AI58" s="72">
        <v>0.4990035231983978</v>
      </c>
      <c r="AJ58" s="72">
        <v>0.54594399753173173</v>
      </c>
      <c r="AK58" s="72">
        <v>0.48886086342229063</v>
      </c>
      <c r="AL58" s="97"/>
      <c r="AM58" s="97"/>
      <c r="AO58" s="2" t="s">
        <v>982</v>
      </c>
    </row>
    <row r="59" spans="1:59" x14ac:dyDescent="0.2">
      <c r="AH59" s="74"/>
      <c r="AI59" s="74"/>
      <c r="AJ59" s="74"/>
      <c r="AK59" s="74"/>
      <c r="AL59" s="74"/>
      <c r="AM59" s="74"/>
    </row>
    <row r="60" spans="1:59" s="7" customFormat="1" x14ac:dyDescent="0.2">
      <c r="B60" s="7" t="s">
        <v>287</v>
      </c>
    </row>
    <row r="61" spans="1:59" x14ac:dyDescent="0.2">
      <c r="A61" s="2"/>
      <c r="AH61" s="74"/>
      <c r="AI61" s="74"/>
      <c r="AJ61" s="74"/>
      <c r="AK61" s="74"/>
      <c r="AL61" s="74"/>
      <c r="AM61" s="74"/>
    </row>
    <row r="62" spans="1:59" x14ac:dyDescent="0.2">
      <c r="A62" s="2"/>
      <c r="B62" s="2" t="s">
        <v>228</v>
      </c>
      <c r="F62" s="2" t="s">
        <v>112</v>
      </c>
      <c r="H62" s="78">
        <v>0.97443793491415276</v>
      </c>
      <c r="AH62" s="74"/>
      <c r="AI62" s="74"/>
      <c r="AJ62" s="74"/>
      <c r="AK62" s="74"/>
      <c r="AL62" s="74"/>
      <c r="AM62" s="74"/>
      <c r="AO62" s="2" t="s">
        <v>589</v>
      </c>
    </row>
    <row r="63" spans="1:59" x14ac:dyDescent="0.2">
      <c r="B63" s="2" t="s">
        <v>229</v>
      </c>
      <c r="F63" s="2" t="s">
        <v>112</v>
      </c>
      <c r="H63" s="78">
        <v>0.9501178320392909</v>
      </c>
      <c r="AH63" s="74"/>
      <c r="AI63" s="74"/>
      <c r="AJ63" s="74"/>
      <c r="AK63" s="74"/>
      <c r="AL63" s="74"/>
      <c r="AM63" s="74"/>
      <c r="AO63" s="2" t="s">
        <v>590</v>
      </c>
    </row>
    <row r="64" spans="1:59" x14ac:dyDescent="0.2">
      <c r="B64" s="2" t="s">
        <v>230</v>
      </c>
      <c r="F64" s="2" t="s">
        <v>112</v>
      </c>
      <c r="H64" s="78">
        <v>0.9501178320392909</v>
      </c>
      <c r="AH64" s="74"/>
      <c r="AI64" s="74"/>
      <c r="AJ64" s="74"/>
      <c r="AK64" s="74"/>
      <c r="AL64" s="74"/>
      <c r="AM64" s="74"/>
      <c r="AO64" s="2" t="s">
        <v>591</v>
      </c>
    </row>
    <row r="65" spans="2:41" x14ac:dyDescent="0.2">
      <c r="B65" s="2" t="s">
        <v>231</v>
      </c>
      <c r="F65" s="2" t="s">
        <v>112</v>
      </c>
      <c r="H65" s="78">
        <v>0.9501178320392909</v>
      </c>
      <c r="AH65" s="74"/>
      <c r="AI65" s="74"/>
      <c r="AJ65" s="74"/>
      <c r="AK65" s="74"/>
      <c r="AL65" s="74"/>
      <c r="AM65" s="74"/>
      <c r="AO65" s="2" t="s">
        <v>592</v>
      </c>
    </row>
    <row r="66" spans="2:41" x14ac:dyDescent="0.2">
      <c r="B66" s="2" t="s">
        <v>232</v>
      </c>
      <c r="F66" s="2" t="s">
        <v>112</v>
      </c>
      <c r="H66" s="78">
        <v>0.9501178320392909</v>
      </c>
      <c r="AH66" s="74"/>
      <c r="AI66" s="74"/>
      <c r="AJ66" s="74"/>
      <c r="AK66" s="74"/>
      <c r="AL66" s="74"/>
      <c r="AM66" s="74"/>
      <c r="AO66" s="2" t="s">
        <v>593</v>
      </c>
    </row>
    <row r="67" spans="2:41" x14ac:dyDescent="0.2">
      <c r="B67" s="2" t="s">
        <v>233</v>
      </c>
      <c r="F67" s="2" t="s">
        <v>112</v>
      </c>
      <c r="H67" s="78">
        <v>0.8732220164530794</v>
      </c>
      <c r="AH67" s="74"/>
      <c r="AI67" s="74"/>
      <c r="AJ67" s="74"/>
      <c r="AK67" s="74"/>
      <c r="AL67" s="74"/>
      <c r="AM67" s="74"/>
      <c r="AO67" s="2" t="s">
        <v>594</v>
      </c>
    </row>
    <row r="68" spans="2:41" x14ac:dyDescent="0.2">
      <c r="B68" s="2" t="s">
        <v>234</v>
      </c>
      <c r="F68" s="2" t="s">
        <v>112</v>
      </c>
      <c r="H68" s="78">
        <v>0.8732220164530794</v>
      </c>
      <c r="AH68" s="74"/>
      <c r="AI68" s="74"/>
      <c r="AJ68" s="74"/>
      <c r="AK68" s="74"/>
      <c r="AL68" s="74"/>
      <c r="AM68" s="74"/>
      <c r="AO68" s="2" t="s">
        <v>595</v>
      </c>
    </row>
    <row r="69" spans="2:41" x14ac:dyDescent="0.2">
      <c r="B69" s="2" t="s">
        <v>235</v>
      </c>
      <c r="F69" s="2" t="s">
        <v>112</v>
      </c>
      <c r="H69" s="78">
        <v>0.9501178320392909</v>
      </c>
      <c r="AH69" s="74"/>
      <c r="AI69" s="74"/>
      <c r="AJ69" s="74"/>
      <c r="AK69" s="74"/>
      <c r="AL69" s="74"/>
      <c r="AM69" s="74"/>
      <c r="AO69" s="2" t="s">
        <v>596</v>
      </c>
    </row>
    <row r="70" spans="2:41" x14ac:dyDescent="0.2">
      <c r="B70" s="2" t="s">
        <v>236</v>
      </c>
      <c r="F70" s="2" t="s">
        <v>112</v>
      </c>
      <c r="H70" s="78">
        <v>1</v>
      </c>
      <c r="AH70" s="74"/>
      <c r="AI70" s="74"/>
      <c r="AJ70" s="74"/>
      <c r="AK70" s="74"/>
      <c r="AL70" s="74"/>
      <c r="AM70" s="74"/>
      <c r="AO70" s="2" t="s">
        <v>597</v>
      </c>
    </row>
    <row r="71" spans="2:41" x14ac:dyDescent="0.2">
      <c r="B71" s="2" t="s">
        <v>237</v>
      </c>
      <c r="F71" s="2" t="s">
        <v>112</v>
      </c>
      <c r="H71" s="78">
        <v>1</v>
      </c>
      <c r="AH71" s="74"/>
      <c r="AI71" s="74"/>
      <c r="AJ71" s="74"/>
      <c r="AK71" s="74"/>
      <c r="AL71" s="74"/>
      <c r="AM71" s="74"/>
      <c r="AO71" s="2" t="s">
        <v>598</v>
      </c>
    </row>
    <row r="72" spans="2:41" x14ac:dyDescent="0.2">
      <c r="B72" s="2" t="s">
        <v>238</v>
      </c>
      <c r="F72" s="2" t="s">
        <v>112</v>
      </c>
      <c r="H72" s="78">
        <v>0.9912103633580529</v>
      </c>
      <c r="AH72" s="74"/>
      <c r="AI72" s="74"/>
      <c r="AJ72" s="74"/>
      <c r="AK72" s="74"/>
      <c r="AL72" s="74"/>
      <c r="AM72" s="74"/>
      <c r="AO72" s="2" t="s">
        <v>599</v>
      </c>
    </row>
    <row r="73" spans="2:41" x14ac:dyDescent="0.2">
      <c r="B73" s="2" t="s">
        <v>239</v>
      </c>
      <c r="F73" s="2" t="s">
        <v>112</v>
      </c>
      <c r="H73" s="78">
        <v>0.9912103633580529</v>
      </c>
      <c r="AH73" s="74"/>
      <c r="AI73" s="74"/>
      <c r="AJ73" s="74"/>
      <c r="AK73" s="74"/>
      <c r="AL73" s="74"/>
      <c r="AM73" s="74"/>
      <c r="AO73" s="2" t="s">
        <v>600</v>
      </c>
    </row>
    <row r="74" spans="2:41" x14ac:dyDescent="0.2">
      <c r="B74" s="2" t="s">
        <v>240</v>
      </c>
      <c r="F74" s="2" t="s">
        <v>112</v>
      </c>
      <c r="H74" s="78">
        <v>0.9912103633580529</v>
      </c>
      <c r="AH74" s="74"/>
      <c r="AI74" s="74"/>
      <c r="AJ74" s="74"/>
      <c r="AK74" s="74"/>
      <c r="AL74" s="74"/>
      <c r="AM74" s="74"/>
      <c r="AO74" s="2" t="s">
        <v>601</v>
      </c>
    </row>
    <row r="75" spans="2:41" x14ac:dyDescent="0.2">
      <c r="B75" s="2" t="s">
        <v>241</v>
      </c>
      <c r="F75" s="2" t="s">
        <v>112</v>
      </c>
      <c r="H75" s="78">
        <v>1</v>
      </c>
      <c r="AH75" s="74"/>
      <c r="AI75" s="74"/>
      <c r="AJ75" s="74"/>
      <c r="AK75" s="74"/>
      <c r="AL75" s="74"/>
      <c r="AM75" s="74"/>
      <c r="AO75" s="2" t="s">
        <v>602</v>
      </c>
    </row>
    <row r="76" spans="2:41" x14ac:dyDescent="0.2">
      <c r="B76" s="2" t="s">
        <v>242</v>
      </c>
      <c r="F76" s="2" t="s">
        <v>112</v>
      </c>
      <c r="H76" s="78">
        <v>1</v>
      </c>
      <c r="AH76" s="74"/>
      <c r="AI76" s="74"/>
      <c r="AJ76" s="74"/>
      <c r="AK76" s="74"/>
      <c r="AL76" s="74"/>
      <c r="AM76" s="74"/>
      <c r="AO76" s="2" t="s">
        <v>603</v>
      </c>
    </row>
    <row r="77" spans="2:41" x14ac:dyDescent="0.2">
      <c r="B77" s="2" t="s">
        <v>243</v>
      </c>
      <c r="F77" s="2" t="s">
        <v>112</v>
      </c>
      <c r="H77" s="78">
        <v>1</v>
      </c>
      <c r="AH77" s="74"/>
      <c r="AI77" s="74"/>
      <c r="AJ77" s="74"/>
      <c r="AK77" s="74"/>
      <c r="AL77" s="74"/>
      <c r="AM77" s="74"/>
      <c r="AO77" s="2" t="s">
        <v>604</v>
      </c>
    </row>
    <row r="78" spans="2:41" x14ac:dyDescent="0.2">
      <c r="B78" s="2" t="s">
        <v>244</v>
      </c>
      <c r="F78" s="2" t="s">
        <v>112</v>
      </c>
      <c r="H78" s="78">
        <v>7.146988531270318E-2</v>
      </c>
      <c r="AH78" s="74"/>
      <c r="AI78" s="74"/>
      <c r="AJ78" s="74"/>
      <c r="AK78" s="74"/>
      <c r="AL78" s="74"/>
      <c r="AM78" s="74"/>
      <c r="AO78" s="2" t="s">
        <v>605</v>
      </c>
    </row>
    <row r="79" spans="2:41" x14ac:dyDescent="0.2">
      <c r="B79" s="2" t="s">
        <v>245</v>
      </c>
      <c r="F79" s="2" t="s">
        <v>112</v>
      </c>
      <c r="H79" s="78">
        <v>7.146988531270318E-2</v>
      </c>
      <c r="AH79" s="74"/>
      <c r="AI79" s="74"/>
      <c r="AJ79" s="74"/>
      <c r="AK79" s="74"/>
      <c r="AL79" s="74"/>
      <c r="AM79" s="74"/>
      <c r="AO79" s="2" t="s">
        <v>606</v>
      </c>
    </row>
    <row r="80" spans="2:41" x14ac:dyDescent="0.2">
      <c r="B80" s="2" t="s">
        <v>246</v>
      </c>
      <c r="F80" s="2" t="s">
        <v>112</v>
      </c>
      <c r="H80" s="78">
        <v>0.9291228604561127</v>
      </c>
      <c r="AH80" s="74"/>
      <c r="AI80" s="74"/>
      <c r="AJ80" s="74"/>
      <c r="AK80" s="74"/>
      <c r="AL80" s="74"/>
      <c r="AM80" s="74"/>
      <c r="AO80" s="2" t="s">
        <v>607</v>
      </c>
    </row>
    <row r="81" spans="2:41" x14ac:dyDescent="0.2">
      <c r="B81" s="2" t="s">
        <v>247</v>
      </c>
      <c r="F81" s="2" t="s">
        <v>112</v>
      </c>
      <c r="H81" s="78">
        <v>0.9291228604561127</v>
      </c>
      <c r="AH81" s="74"/>
      <c r="AI81" s="74"/>
      <c r="AJ81" s="74"/>
      <c r="AK81" s="74"/>
      <c r="AL81" s="74"/>
      <c r="AM81" s="74"/>
      <c r="AO81" s="2" t="s">
        <v>608</v>
      </c>
    </row>
    <row r="82" spans="2:41" x14ac:dyDescent="0.2">
      <c r="B82" s="2" t="s">
        <v>248</v>
      </c>
      <c r="F82" s="2" t="s">
        <v>112</v>
      </c>
      <c r="H82" s="78">
        <v>0.9291228604561127</v>
      </c>
      <c r="AH82" s="74"/>
      <c r="AI82" s="74"/>
      <c r="AJ82" s="74"/>
      <c r="AK82" s="74"/>
      <c r="AL82" s="74"/>
      <c r="AM82" s="74"/>
      <c r="AO82" s="2" t="s">
        <v>609</v>
      </c>
    </row>
    <row r="83" spans="2:41" x14ac:dyDescent="0.2">
      <c r="B83" s="2" t="s">
        <v>249</v>
      </c>
      <c r="F83" s="2" t="s">
        <v>112</v>
      </c>
      <c r="H83" s="78">
        <v>1</v>
      </c>
      <c r="AH83" s="74"/>
      <c r="AI83" s="74"/>
      <c r="AJ83" s="74"/>
      <c r="AK83" s="74"/>
      <c r="AL83" s="74"/>
      <c r="AM83" s="74"/>
      <c r="AO83" s="2" t="s">
        <v>610</v>
      </c>
    </row>
    <row r="84" spans="2:41" x14ac:dyDescent="0.2">
      <c r="B84" s="2" t="s">
        <v>250</v>
      </c>
      <c r="F84" s="2" t="s">
        <v>112</v>
      </c>
      <c r="H84" s="78">
        <v>1</v>
      </c>
      <c r="AH84" s="74"/>
      <c r="AI84" s="74"/>
      <c r="AJ84" s="74"/>
      <c r="AK84" s="74"/>
      <c r="AL84" s="74"/>
      <c r="AM84" s="74"/>
      <c r="AO84" s="2" t="s">
        <v>611</v>
      </c>
    </row>
    <row r="85" spans="2:41" x14ac:dyDescent="0.2">
      <c r="B85" s="2" t="s">
        <v>251</v>
      </c>
      <c r="F85" s="2" t="s">
        <v>112</v>
      </c>
      <c r="H85" s="78">
        <v>0</v>
      </c>
      <c r="AH85" s="74"/>
      <c r="AI85" s="74"/>
      <c r="AJ85" s="74"/>
      <c r="AK85" s="74"/>
      <c r="AL85" s="74"/>
      <c r="AM85" s="74"/>
      <c r="AO85" s="2" t="s">
        <v>612</v>
      </c>
    </row>
    <row r="86" spans="2:41" x14ac:dyDescent="0.2">
      <c r="B86" s="2" t="s">
        <v>252</v>
      </c>
      <c r="F86" s="2" t="s">
        <v>112</v>
      </c>
      <c r="H86" s="78">
        <v>0</v>
      </c>
      <c r="AH86" s="74"/>
      <c r="AI86" s="74"/>
      <c r="AJ86" s="74"/>
      <c r="AK86" s="74"/>
      <c r="AL86" s="74"/>
      <c r="AM86" s="74"/>
      <c r="AO86" s="2" t="s">
        <v>613</v>
      </c>
    </row>
    <row r="87" spans="2:41" x14ac:dyDescent="0.2">
      <c r="B87" s="2" t="s">
        <v>253</v>
      </c>
      <c r="F87" s="2" t="s">
        <v>112</v>
      </c>
      <c r="H87" s="78">
        <v>0</v>
      </c>
      <c r="AH87" s="74"/>
      <c r="AI87" s="74"/>
      <c r="AJ87" s="74"/>
      <c r="AK87" s="74"/>
      <c r="AL87" s="74"/>
      <c r="AM87" s="74"/>
      <c r="AO87" s="2" t="s">
        <v>614</v>
      </c>
    </row>
    <row r="88" spans="2:41" x14ac:dyDescent="0.2">
      <c r="B88" s="2" t="s">
        <v>254</v>
      </c>
      <c r="F88" s="2" t="s">
        <v>112</v>
      </c>
      <c r="H88" s="78">
        <v>1</v>
      </c>
      <c r="AH88" s="74"/>
      <c r="AI88" s="74"/>
      <c r="AJ88" s="74"/>
      <c r="AK88" s="74"/>
      <c r="AL88" s="74"/>
      <c r="AM88" s="74"/>
      <c r="AO88" s="2" t="s">
        <v>615</v>
      </c>
    </row>
    <row r="89" spans="2:41" x14ac:dyDescent="0.2">
      <c r="B89" s="2" t="s">
        <v>255</v>
      </c>
      <c r="F89" s="2" t="s">
        <v>112</v>
      </c>
      <c r="H89" s="78">
        <v>1</v>
      </c>
      <c r="AH89" s="74"/>
      <c r="AI89" s="74"/>
      <c r="AJ89" s="74"/>
      <c r="AK89" s="74"/>
      <c r="AL89" s="74"/>
      <c r="AM89" s="74"/>
      <c r="AO89" s="2" t="s">
        <v>616</v>
      </c>
    </row>
    <row r="90" spans="2:41" x14ac:dyDescent="0.2">
      <c r="B90" s="2" t="s">
        <v>256</v>
      </c>
      <c r="F90" s="2" t="s">
        <v>112</v>
      </c>
      <c r="H90" s="78">
        <v>1</v>
      </c>
      <c r="AH90" s="74"/>
      <c r="AI90" s="74"/>
      <c r="AJ90" s="74"/>
      <c r="AK90" s="74"/>
      <c r="AL90" s="74"/>
      <c r="AM90" s="74"/>
      <c r="AO90" s="2" t="s">
        <v>617</v>
      </c>
    </row>
    <row r="91" spans="2:41" x14ac:dyDescent="0.2">
      <c r="B91" s="2" t="s">
        <v>257</v>
      </c>
      <c r="F91" s="2" t="s">
        <v>112</v>
      </c>
      <c r="H91" s="78">
        <v>1</v>
      </c>
      <c r="AH91" s="74"/>
      <c r="AI91" s="74"/>
      <c r="AJ91" s="74"/>
      <c r="AK91" s="74"/>
      <c r="AL91" s="74"/>
      <c r="AM91" s="74"/>
      <c r="AO91" s="2" t="s">
        <v>618</v>
      </c>
    </row>
    <row r="92" spans="2:41" x14ac:dyDescent="0.2">
      <c r="B92" s="2" t="s">
        <v>258</v>
      </c>
      <c r="F92" s="2" t="s">
        <v>112</v>
      </c>
      <c r="H92" s="78">
        <v>1</v>
      </c>
      <c r="AH92" s="74"/>
      <c r="AI92" s="74"/>
      <c r="AJ92" s="74"/>
      <c r="AK92" s="74"/>
      <c r="AL92" s="74"/>
      <c r="AM92" s="74"/>
      <c r="AO92" s="2" t="s">
        <v>619</v>
      </c>
    </row>
    <row r="93" spans="2:41" x14ac:dyDescent="0.2">
      <c r="B93" s="2" t="s">
        <v>259</v>
      </c>
      <c r="F93" s="2" t="s">
        <v>112</v>
      </c>
      <c r="H93" s="78">
        <v>1</v>
      </c>
      <c r="AH93" s="74"/>
      <c r="AI93" s="74"/>
      <c r="AJ93" s="74"/>
      <c r="AK93" s="74"/>
      <c r="AL93" s="74"/>
      <c r="AM93" s="74"/>
      <c r="AO93" s="2" t="s">
        <v>620</v>
      </c>
    </row>
    <row r="94" spans="2:41" x14ac:dyDescent="0.2">
      <c r="B94" s="2" t="s">
        <v>260</v>
      </c>
      <c r="F94" s="2" t="s">
        <v>112</v>
      </c>
      <c r="H94" s="78">
        <v>1</v>
      </c>
      <c r="AH94" s="74"/>
      <c r="AI94" s="74"/>
      <c r="AJ94" s="74"/>
      <c r="AK94" s="74"/>
      <c r="AL94" s="74"/>
      <c r="AM94" s="74"/>
      <c r="AO94" s="2" t="s">
        <v>621</v>
      </c>
    </row>
    <row r="95" spans="2:41" x14ac:dyDescent="0.2">
      <c r="B95" s="2" t="s">
        <v>261</v>
      </c>
      <c r="F95" s="2" t="s">
        <v>112</v>
      </c>
      <c r="H95" s="78">
        <v>1</v>
      </c>
      <c r="AH95" s="74"/>
      <c r="AI95" s="74"/>
      <c r="AJ95" s="74"/>
      <c r="AK95" s="74"/>
      <c r="AL95" s="74"/>
      <c r="AM95" s="74"/>
      <c r="AO95" s="2" t="s">
        <v>622</v>
      </c>
    </row>
    <row r="96" spans="2:41" x14ac:dyDescent="0.2">
      <c r="AH96" s="74"/>
      <c r="AI96" s="74"/>
      <c r="AJ96" s="74"/>
      <c r="AK96" s="74"/>
      <c r="AL96" s="74"/>
      <c r="AM96" s="74"/>
    </row>
    <row r="97" spans="2:41" s="7" customFormat="1" x14ac:dyDescent="0.2">
      <c r="B97" s="7" t="s">
        <v>125</v>
      </c>
    </row>
    <row r="99" spans="2:41" x14ac:dyDescent="0.2">
      <c r="B99" s="21" t="s">
        <v>126</v>
      </c>
    </row>
    <row r="100" spans="2:41" x14ac:dyDescent="0.2">
      <c r="B100" s="2" t="s">
        <v>127</v>
      </c>
      <c r="F100" s="2" t="s">
        <v>112</v>
      </c>
      <c r="H100" s="58">
        <v>0.5</v>
      </c>
      <c r="AO100" s="2" t="s">
        <v>1153</v>
      </c>
    </row>
    <row r="101" spans="2:41" x14ac:dyDescent="0.2">
      <c r="B101" s="2" t="s">
        <v>578</v>
      </c>
      <c r="F101" s="2" t="s">
        <v>112</v>
      </c>
      <c r="H101" s="58">
        <v>0.5</v>
      </c>
      <c r="AO101" s="2" t="s">
        <v>1152</v>
      </c>
    </row>
    <row r="103" spans="2:41" x14ac:dyDescent="0.2">
      <c r="B103" s="21" t="s">
        <v>128</v>
      </c>
    </row>
    <row r="104" spans="2:41" x14ac:dyDescent="0.2">
      <c r="B104" s="2" t="s">
        <v>129</v>
      </c>
      <c r="F104" s="2" t="s">
        <v>112</v>
      </c>
      <c r="H104" s="58">
        <v>0.5</v>
      </c>
      <c r="AO104" s="2" t="s">
        <v>1151</v>
      </c>
    </row>
    <row r="105" spans="2:41" x14ac:dyDescent="0.2">
      <c r="B105" s="2" t="s">
        <v>579</v>
      </c>
      <c r="F105" s="2" t="s">
        <v>112</v>
      </c>
      <c r="H105" s="58">
        <v>0.34615384615384615</v>
      </c>
      <c r="AO105" s="2" t="s">
        <v>1154</v>
      </c>
    </row>
  </sheetData>
  <mergeCells count="1">
    <mergeCell ref="B5:E5"/>
  </mergeCells>
  <phoneticPr fontId="30" type="noConversion"/>
  <pageMargins left="0.7" right="0.7" top="0.75" bottom="0.75" header="0.3" footer="0.3"/>
  <pageSetup paperSize="9" orientation="portrait" r:id="rId1"/>
  <ignoredErrors>
    <ignoredError sqref="AI7"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8BCE5-8E1F-4B88-9FF2-3E79D840829D}">
  <sheetPr>
    <tabColor rgb="FFE1FFE1"/>
  </sheetPr>
  <dimension ref="A1:BG225"/>
  <sheetViews>
    <sheetView showGridLines="0" zoomScale="85" zoomScaleNormal="85" workbookViewId="0">
      <pane xSplit="6" ySplit="8" topLeftCell="G9" activePane="bottomRight" state="frozen"/>
      <selection activeCell="P579" sqref="P579"/>
      <selection pane="topRight" activeCell="P579" sqref="P579"/>
      <selection pane="bottomLeft" activeCell="P579" sqref="P579"/>
      <selection pane="bottomRight"/>
    </sheetView>
  </sheetViews>
  <sheetFormatPr defaultColWidth="9.140625" defaultRowHeight="12.75" outlineLevelCol="1" x14ac:dyDescent="0.2"/>
  <cols>
    <col min="1" max="1" width="5.7109375" customWidth="1"/>
    <col min="2" max="2" width="98.7109375" style="2" customWidth="1"/>
    <col min="3" max="5" width="5.7109375" style="2" customWidth="1"/>
    <col min="6" max="6" width="13.7109375" style="2" customWidth="1"/>
    <col min="7" max="7" width="2.7109375" style="2" customWidth="1"/>
    <col min="8" max="8" width="13.7109375" style="2" customWidth="1"/>
    <col min="9" max="9" width="2.7109375" style="2" customWidth="1"/>
    <col min="10" max="10" width="13.7109375" style="2" customWidth="1"/>
    <col min="11" max="11" width="2.7109375" style="2" customWidth="1"/>
    <col min="12" max="29" width="12.5703125" style="2" hidden="1" customWidth="1" outlineLevel="1"/>
    <col min="30" max="30" width="14.42578125" style="2" customWidth="1" collapsed="1"/>
    <col min="31" max="39" width="14.42578125" style="2" customWidth="1"/>
    <col min="40" max="40" width="2.7109375" style="2" customWidth="1"/>
    <col min="41" max="41" width="20.7109375" style="2" customWidth="1"/>
    <col min="42" max="42" width="2.7109375" style="2" customWidth="1"/>
    <col min="43" max="43" width="30.7109375" style="2" customWidth="1"/>
    <col min="44" max="44" width="2.7109375" customWidth="1"/>
    <col min="45" max="59" width="13.7109375" customWidth="1"/>
    <col min="60" max="16384" width="9.140625" style="2"/>
  </cols>
  <sheetData>
    <row r="1" spans="1:43" x14ac:dyDescent="0.2">
      <c r="A1" s="2"/>
    </row>
    <row r="2" spans="1:43" s="13" customFormat="1" ht="18" x14ac:dyDescent="0.2">
      <c r="B2" s="13" t="s">
        <v>1049</v>
      </c>
    </row>
    <row r="4" spans="1:43" x14ac:dyDescent="0.2">
      <c r="B4" s="21" t="s">
        <v>26</v>
      </c>
      <c r="C4" s="1"/>
      <c r="D4" s="1"/>
      <c r="Y4"/>
    </row>
    <row r="5" spans="1:43" ht="25.5" customHeight="1" x14ac:dyDescent="0.2">
      <c r="B5" s="163" t="s">
        <v>755</v>
      </c>
      <c r="C5" s="163"/>
      <c r="D5" s="163"/>
      <c r="E5" s="163"/>
      <c r="H5" s="14"/>
    </row>
    <row r="7" spans="1:43" s="7" customFormat="1" x14ac:dyDescent="0.2">
      <c r="B7" s="7" t="s">
        <v>42</v>
      </c>
      <c r="F7" s="7" t="s">
        <v>24</v>
      </c>
      <c r="H7" s="7" t="s">
        <v>25</v>
      </c>
      <c r="J7" s="7" t="s">
        <v>46</v>
      </c>
      <c r="L7" s="7">
        <v>2000</v>
      </c>
      <c r="M7" s="7">
        <v>2001</v>
      </c>
      <c r="N7" s="7">
        <v>2002</v>
      </c>
      <c r="O7" s="7">
        <v>2003</v>
      </c>
      <c r="P7" s="7">
        <v>2004</v>
      </c>
      <c r="Q7" s="7">
        <v>2005</v>
      </c>
      <c r="R7" s="7">
        <v>2006</v>
      </c>
      <c r="S7" s="7">
        <v>2007</v>
      </c>
      <c r="T7" s="7">
        <v>2008</v>
      </c>
      <c r="U7" s="7">
        <v>2009</v>
      </c>
      <c r="V7" s="7">
        <v>2010</v>
      </c>
      <c r="W7" s="7">
        <v>2011</v>
      </c>
      <c r="X7" s="7">
        <v>2012</v>
      </c>
      <c r="Y7" s="7">
        <v>2013</v>
      </c>
      <c r="Z7" s="7">
        <v>2014</v>
      </c>
      <c r="AA7" s="7">
        <v>2015</v>
      </c>
      <c r="AB7" s="7">
        <v>2016</v>
      </c>
      <c r="AC7" s="7">
        <v>2017</v>
      </c>
      <c r="AD7" s="7">
        <v>2018</v>
      </c>
      <c r="AE7" s="7">
        <v>2019</v>
      </c>
      <c r="AF7" s="7">
        <v>2020</v>
      </c>
      <c r="AG7" s="7">
        <v>2021</v>
      </c>
      <c r="AH7" s="7">
        <v>2022</v>
      </c>
      <c r="AI7" s="7" t="s">
        <v>225</v>
      </c>
      <c r="AJ7" s="7">
        <v>2024</v>
      </c>
      <c r="AK7" s="54">
        <v>2025</v>
      </c>
      <c r="AL7" s="54">
        <v>2026</v>
      </c>
      <c r="AM7" s="54">
        <v>2027</v>
      </c>
      <c r="AO7" s="7" t="s">
        <v>43</v>
      </c>
      <c r="AQ7" s="7" t="s">
        <v>44</v>
      </c>
    </row>
    <row r="10" spans="1:43" s="7" customFormat="1" x14ac:dyDescent="0.2">
      <c r="B10" s="7" t="s">
        <v>587</v>
      </c>
    </row>
    <row r="11" spans="1:43" ht="12" customHeight="1" x14ac:dyDescent="0.2">
      <c r="A11" s="2"/>
    </row>
    <row r="12" spans="1:43" x14ac:dyDescent="0.2">
      <c r="B12" s="21" t="s">
        <v>130</v>
      </c>
    </row>
    <row r="13" spans="1:43" x14ac:dyDescent="0.2">
      <c r="B13" s="2" t="s">
        <v>759</v>
      </c>
      <c r="F13" s="2" t="s">
        <v>100</v>
      </c>
      <c r="AH13" s="75"/>
      <c r="AM13" s="27">
        <v>18114028.552462898</v>
      </c>
      <c r="AO13" s="2" t="s">
        <v>586</v>
      </c>
    </row>
    <row r="14" spans="1:43" x14ac:dyDescent="0.2">
      <c r="B14" s="2" t="s">
        <v>760</v>
      </c>
      <c r="F14" s="2" t="s">
        <v>100</v>
      </c>
      <c r="AH14" s="75"/>
      <c r="AM14" s="27">
        <v>1639257.1009964186</v>
      </c>
      <c r="AO14" s="2" t="s">
        <v>583</v>
      </c>
    </row>
    <row r="16" spans="1:43" x14ac:dyDescent="0.2">
      <c r="B16" s="21" t="s">
        <v>451</v>
      </c>
    </row>
    <row r="17" spans="2:43" x14ac:dyDescent="0.2">
      <c r="B17" s="2" t="s">
        <v>757</v>
      </c>
      <c r="F17" s="2" t="s">
        <v>100</v>
      </c>
      <c r="AH17" s="75"/>
      <c r="AM17" s="27">
        <v>41844847.837775692</v>
      </c>
      <c r="AO17" s="2" t="s">
        <v>584</v>
      </c>
    </row>
    <row r="18" spans="2:43" x14ac:dyDescent="0.2">
      <c r="B18" s="2" t="s">
        <v>758</v>
      </c>
      <c r="F18" s="2" t="s">
        <v>100</v>
      </c>
      <c r="AH18" s="75"/>
      <c r="AM18" s="27">
        <v>1786258.8108977827</v>
      </c>
      <c r="AO18" s="2" t="s">
        <v>585</v>
      </c>
    </row>
    <row r="19" spans="2:43" x14ac:dyDescent="0.2">
      <c r="AH19" s="75"/>
      <c r="AI19" s="75"/>
      <c r="AJ19" s="75"/>
      <c r="AM19" s="75"/>
    </row>
    <row r="20" spans="2:43" x14ac:dyDescent="0.2">
      <c r="B20" s="21" t="s">
        <v>131</v>
      </c>
      <c r="AH20" s="75"/>
      <c r="AI20" s="75"/>
      <c r="AJ20" s="75"/>
      <c r="AM20" s="75"/>
    </row>
    <row r="21" spans="2:43" x14ac:dyDescent="0.2">
      <c r="B21" s="2" t="s">
        <v>997</v>
      </c>
      <c r="F21" s="2" t="s">
        <v>100</v>
      </c>
      <c r="AH21" s="75"/>
      <c r="AM21" s="27">
        <v>2511.8620975183121</v>
      </c>
      <c r="AO21" s="2" t="s">
        <v>586</v>
      </c>
      <c r="AQ21" s="2" t="s">
        <v>646</v>
      </c>
    </row>
    <row r="22" spans="2:43" x14ac:dyDescent="0.2">
      <c r="B22" s="2" t="s">
        <v>998</v>
      </c>
      <c r="F22" s="2" t="s">
        <v>100</v>
      </c>
      <c r="AH22" s="75"/>
      <c r="AM22" s="27">
        <v>-5256.1226155404638</v>
      </c>
      <c r="AO22" s="2" t="s">
        <v>1038</v>
      </c>
    </row>
    <row r="23" spans="2:43" x14ac:dyDescent="0.2">
      <c r="B23" s="2" t="s">
        <v>999</v>
      </c>
      <c r="F23" s="2" t="s">
        <v>100</v>
      </c>
      <c r="AH23" s="75"/>
      <c r="AM23" s="27">
        <v>31997.912320054769</v>
      </c>
      <c r="AO23" s="2" t="s">
        <v>1039</v>
      </c>
    </row>
    <row r="24" spans="2:43" x14ac:dyDescent="0.2">
      <c r="B24" s="2" t="s">
        <v>1000</v>
      </c>
      <c r="F24" s="2" t="s">
        <v>100</v>
      </c>
      <c r="AM24" s="33">
        <f>SUM(AM22:AM23)</f>
        <v>26741.789704514304</v>
      </c>
      <c r="AQ24" s="2" t="s">
        <v>647</v>
      </c>
    </row>
    <row r="25" spans="2:43" x14ac:dyDescent="0.2">
      <c r="B25" s="2" t="s">
        <v>1036</v>
      </c>
      <c r="F25" s="2" t="s">
        <v>100</v>
      </c>
      <c r="AM25" s="27">
        <v>48271.900453107366</v>
      </c>
      <c r="AO25" s="2" t="s">
        <v>1040</v>
      </c>
    </row>
    <row r="26" spans="2:43" x14ac:dyDescent="0.2">
      <c r="B26" s="2" t="s">
        <v>1001</v>
      </c>
      <c r="F26" s="2" t="s">
        <v>100</v>
      </c>
      <c r="AM26" s="33">
        <f>SUM(AM25:AM25)</f>
        <v>48271.900453107366</v>
      </c>
      <c r="AQ26" s="2" t="s">
        <v>1037</v>
      </c>
    </row>
    <row r="27" spans="2:43" x14ac:dyDescent="0.2">
      <c r="B27" s="2" t="s">
        <v>1002</v>
      </c>
      <c r="F27" s="2" t="s">
        <v>100</v>
      </c>
      <c r="AM27" s="27">
        <v>2034723.9688852844</v>
      </c>
      <c r="AO27" s="2" t="s">
        <v>1041</v>
      </c>
    </row>
    <row r="28" spans="2:43" x14ac:dyDescent="0.2">
      <c r="B28" s="2" t="s">
        <v>1003</v>
      </c>
      <c r="F28" s="2" t="s">
        <v>100</v>
      </c>
      <c r="AM28" s="27">
        <v>1010918.5284637433</v>
      </c>
      <c r="AO28" s="2" t="s">
        <v>1042</v>
      </c>
    </row>
    <row r="29" spans="2:43" x14ac:dyDescent="0.2">
      <c r="B29" s="2" t="s">
        <v>1004</v>
      </c>
      <c r="F29" s="2" t="s">
        <v>100</v>
      </c>
      <c r="AM29" s="27">
        <v>2691483.8489603447</v>
      </c>
      <c r="AO29" s="2" t="s">
        <v>1043</v>
      </c>
    </row>
    <row r="30" spans="2:43" x14ac:dyDescent="0.2">
      <c r="B30" s="2" t="s">
        <v>1005</v>
      </c>
      <c r="F30" s="2" t="s">
        <v>100</v>
      </c>
      <c r="AM30" s="27">
        <v>1218251.4787943137</v>
      </c>
      <c r="AO30" s="2" t="s">
        <v>1006</v>
      </c>
    </row>
    <row r="32" spans="2:43" x14ac:dyDescent="0.2">
      <c r="B32" s="21" t="s">
        <v>471</v>
      </c>
    </row>
    <row r="33" spans="2:41" x14ac:dyDescent="0.2">
      <c r="B33" s="2" t="s">
        <v>756</v>
      </c>
      <c r="F33" s="2" t="s">
        <v>100</v>
      </c>
      <c r="AM33" s="27">
        <v>-959129.27343793935</v>
      </c>
      <c r="AO33" s="2" t="s">
        <v>714</v>
      </c>
    </row>
    <row r="35" spans="2:41" s="7" customFormat="1" x14ac:dyDescent="0.2">
      <c r="B35" s="7" t="s">
        <v>135</v>
      </c>
    </row>
    <row r="37" spans="2:41" x14ac:dyDescent="0.2">
      <c r="B37" s="21" t="s">
        <v>136</v>
      </c>
    </row>
    <row r="38" spans="2:41" x14ac:dyDescent="0.2">
      <c r="B38" s="2" t="s">
        <v>761</v>
      </c>
      <c r="F38" s="2" t="s">
        <v>100</v>
      </c>
      <c r="AF38" s="75"/>
      <c r="AK38" s="27">
        <v>26319384.081692517</v>
      </c>
      <c r="AO38" s="2" t="s">
        <v>763</v>
      </c>
    </row>
    <row r="40" spans="2:41" x14ac:dyDescent="0.2">
      <c r="B40" s="21" t="s">
        <v>137</v>
      </c>
    </row>
    <row r="41" spans="2:41" x14ac:dyDescent="0.2">
      <c r="B41" s="2" t="s">
        <v>762</v>
      </c>
      <c r="F41" s="2" t="s">
        <v>100</v>
      </c>
      <c r="AF41" s="75"/>
      <c r="AK41" s="27">
        <v>-12052594.782469202</v>
      </c>
      <c r="AO41" s="2" t="s">
        <v>764</v>
      </c>
    </row>
    <row r="43" spans="2:41" s="7" customFormat="1" x14ac:dyDescent="0.2">
      <c r="B43" s="7" t="s">
        <v>767</v>
      </c>
    </row>
    <row r="45" spans="2:41" x14ac:dyDescent="0.2">
      <c r="B45" s="21" t="s">
        <v>504</v>
      </c>
    </row>
    <row r="46" spans="2:41" x14ac:dyDescent="0.2">
      <c r="B46" s="2" t="s">
        <v>692</v>
      </c>
      <c r="F46" s="2" t="s">
        <v>112</v>
      </c>
      <c r="H46" s="58">
        <v>0.4</v>
      </c>
      <c r="AO46" s="2" t="s">
        <v>838</v>
      </c>
    </row>
    <row r="48" spans="2:41" x14ac:dyDescent="0.2">
      <c r="B48" s="21" t="s">
        <v>765</v>
      </c>
    </row>
    <row r="49" spans="1:41" x14ac:dyDescent="0.2">
      <c r="B49" s="2" t="s">
        <v>331</v>
      </c>
      <c r="F49" s="2" t="s">
        <v>819</v>
      </c>
      <c r="AK49" s="157"/>
      <c r="AO49" s="2" t="s">
        <v>839</v>
      </c>
    </row>
    <row r="50" spans="1:41" x14ac:dyDescent="0.2">
      <c r="B50" s="2" t="s">
        <v>440</v>
      </c>
      <c r="F50" s="2" t="s">
        <v>819</v>
      </c>
      <c r="AK50" s="157"/>
      <c r="AO50" s="2" t="s">
        <v>840</v>
      </c>
    </row>
    <row r="51" spans="1:41" x14ac:dyDescent="0.2">
      <c r="B51" s="2" t="s">
        <v>333</v>
      </c>
      <c r="F51" s="2" t="s">
        <v>819</v>
      </c>
      <c r="AK51" s="157"/>
      <c r="AO51" s="2" t="s">
        <v>841</v>
      </c>
    </row>
    <row r="53" spans="1:41" x14ac:dyDescent="0.2">
      <c r="B53" s="2" t="s">
        <v>334</v>
      </c>
      <c r="F53" s="2" t="s">
        <v>819</v>
      </c>
      <c r="AK53" s="157"/>
      <c r="AO53" s="2" t="s">
        <v>842</v>
      </c>
    </row>
    <row r="54" spans="1:41" x14ac:dyDescent="0.2">
      <c r="B54" s="2" t="s">
        <v>441</v>
      </c>
      <c r="F54" s="2" t="s">
        <v>819</v>
      </c>
      <c r="AK54" s="157"/>
      <c r="AO54" s="2" t="s">
        <v>843</v>
      </c>
    </row>
    <row r="55" spans="1:41" x14ac:dyDescent="0.2">
      <c r="B55" s="2" t="s">
        <v>336</v>
      </c>
      <c r="F55" s="2" t="s">
        <v>819</v>
      </c>
      <c r="AK55" s="157"/>
      <c r="AO55" s="2" t="s">
        <v>844</v>
      </c>
    </row>
    <row r="57" spans="1:41" x14ac:dyDescent="0.2">
      <c r="B57" s="21" t="s">
        <v>766</v>
      </c>
    </row>
    <row r="58" spans="1:41" x14ac:dyDescent="0.2">
      <c r="B58" s="2" t="s">
        <v>338</v>
      </c>
      <c r="F58" s="2" t="s">
        <v>819</v>
      </c>
      <c r="AK58" s="157"/>
      <c r="AO58" s="2" t="s">
        <v>845</v>
      </c>
    </row>
    <row r="59" spans="1:41" x14ac:dyDescent="0.2">
      <c r="B59" s="2" t="s">
        <v>339</v>
      </c>
      <c r="F59" s="2" t="s">
        <v>819</v>
      </c>
      <c r="AK59" s="157"/>
      <c r="AO59" s="2" t="s">
        <v>846</v>
      </c>
    </row>
    <row r="60" spans="1:41" x14ac:dyDescent="0.2">
      <c r="B60" s="2" t="s">
        <v>340</v>
      </c>
      <c r="F60" s="2" t="s">
        <v>819</v>
      </c>
      <c r="AK60" s="157"/>
      <c r="AO60" s="2" t="s">
        <v>847</v>
      </c>
    </row>
    <row r="61" spans="1:41" x14ac:dyDescent="0.2">
      <c r="B61" s="2" t="s">
        <v>341</v>
      </c>
      <c r="F61" s="2" t="s">
        <v>819</v>
      </c>
      <c r="AK61" s="157"/>
      <c r="AO61" s="2" t="s">
        <v>848</v>
      </c>
    </row>
    <row r="63" spans="1:41" s="7" customFormat="1" x14ac:dyDescent="0.2">
      <c r="B63" s="7" t="s">
        <v>552</v>
      </c>
    </row>
    <row r="64" spans="1:41" x14ac:dyDescent="0.2">
      <c r="A64" s="2"/>
    </row>
    <row r="65" spans="2:41" s="2" customFormat="1" x14ac:dyDescent="0.2">
      <c r="B65" s="21" t="s">
        <v>367</v>
      </c>
    </row>
    <row r="66" spans="2:41" s="2" customFormat="1" x14ac:dyDescent="0.2">
      <c r="B66" s="2" t="s">
        <v>297</v>
      </c>
      <c r="F66" s="2" t="s">
        <v>100</v>
      </c>
      <c r="AG66" s="36"/>
      <c r="AH66" s="27">
        <v>3956909.7607700564</v>
      </c>
      <c r="AI66" s="27">
        <v>6252842.1635753922</v>
      </c>
      <c r="AJ66" s="27">
        <v>9323114.5498409458</v>
      </c>
      <c r="AK66" s="27">
        <v>11867310.84234092</v>
      </c>
      <c r="AL66" s="27">
        <v>14228132.607429011</v>
      </c>
      <c r="AM66" s="50"/>
      <c r="AN66" s="75"/>
      <c r="AO66" s="2" t="s">
        <v>528</v>
      </c>
    </row>
    <row r="67" spans="2:41" s="2" customFormat="1" x14ac:dyDescent="0.2">
      <c r="B67" s="2" t="s">
        <v>373</v>
      </c>
      <c r="F67" s="2" t="s">
        <v>100</v>
      </c>
      <c r="AG67" s="36"/>
      <c r="AH67" s="27">
        <v>376893.98401988368</v>
      </c>
      <c r="AI67" s="27">
        <v>381759.6853535804</v>
      </c>
      <c r="AJ67" s="27">
        <v>386688.20289149508</v>
      </c>
      <c r="AK67" s="27">
        <v>391680.34759082424</v>
      </c>
      <c r="AL67" s="27">
        <v>396736.94087822194</v>
      </c>
      <c r="AM67" s="50"/>
      <c r="AO67" s="2" t="s">
        <v>527</v>
      </c>
    </row>
    <row r="68" spans="2:41" s="2" customFormat="1" x14ac:dyDescent="0.2">
      <c r="B68" s="2" t="s">
        <v>374</v>
      </c>
      <c r="F68" s="2" t="s">
        <v>100</v>
      </c>
      <c r="AG68" s="36"/>
      <c r="AH68" s="27">
        <v>188446.99200994187</v>
      </c>
      <c r="AI68" s="27">
        <v>381759.6853535804</v>
      </c>
      <c r="AJ68" s="27">
        <v>386688.2028914952</v>
      </c>
      <c r="AK68" s="27">
        <v>391680.34759082441</v>
      </c>
      <c r="AL68" s="27">
        <v>396736.940878222</v>
      </c>
      <c r="AM68" s="50"/>
      <c r="AO68" s="2" t="s">
        <v>526</v>
      </c>
    </row>
    <row r="69" spans="2:41" s="2" customFormat="1" x14ac:dyDescent="0.2">
      <c r="B69" s="2" t="s">
        <v>498</v>
      </c>
      <c r="F69" s="2" t="s">
        <v>100</v>
      </c>
      <c r="AG69" s="36"/>
      <c r="AH69" s="36"/>
      <c r="AI69" s="27">
        <v>190879.8426767902</v>
      </c>
      <c r="AJ69" s="27">
        <v>386688.20289149508</v>
      </c>
      <c r="AK69" s="27">
        <v>391680.34759082441</v>
      </c>
      <c r="AL69" s="27">
        <v>396736.94087822188</v>
      </c>
      <c r="AM69" s="50"/>
      <c r="AO69" s="2" t="s">
        <v>525</v>
      </c>
    </row>
    <row r="70" spans="2:41" s="2" customFormat="1" x14ac:dyDescent="0.2">
      <c r="B70" s="2" t="s">
        <v>654</v>
      </c>
      <c r="F70" s="2" t="s">
        <v>100</v>
      </c>
      <c r="AG70" s="36"/>
      <c r="AH70" s="36"/>
      <c r="AI70" s="36"/>
      <c r="AJ70" s="27">
        <v>193344.10144574751</v>
      </c>
      <c r="AK70" s="27">
        <v>391680.34759082441</v>
      </c>
      <c r="AL70" s="27">
        <v>396736.94087822188</v>
      </c>
      <c r="AM70" s="50"/>
      <c r="AO70" s="2" t="s">
        <v>680</v>
      </c>
    </row>
    <row r="71" spans="2:41" s="2" customFormat="1" x14ac:dyDescent="0.2">
      <c r="B71" s="2" t="s">
        <v>768</v>
      </c>
      <c r="F71" s="2" t="s">
        <v>100</v>
      </c>
      <c r="AG71" s="36"/>
      <c r="AH71" s="36"/>
      <c r="AI71" s="36"/>
      <c r="AJ71" s="36"/>
      <c r="AK71" s="27">
        <v>195840.17379541215</v>
      </c>
      <c r="AL71" s="27">
        <v>396736.94087822177</v>
      </c>
      <c r="AM71" s="50"/>
      <c r="AO71" s="2" t="s">
        <v>772</v>
      </c>
    </row>
    <row r="72" spans="2:41" s="2" customFormat="1" x14ac:dyDescent="0.2"/>
    <row r="73" spans="2:41" s="2" customFormat="1" x14ac:dyDescent="0.2">
      <c r="B73" s="2" t="s">
        <v>298</v>
      </c>
      <c r="F73" s="2" t="s">
        <v>100</v>
      </c>
      <c r="AG73" s="36"/>
      <c r="AH73" s="27">
        <v>1826202.7430237248</v>
      </c>
      <c r="AI73" s="27">
        <v>2876198.8848429834</v>
      </c>
      <c r="AJ73" s="27">
        <v>4308390.7558248397</v>
      </c>
      <c r="AK73" s="27">
        <v>5482066.8994580097</v>
      </c>
      <c r="AL73" s="27">
        <v>6514012.7114090919</v>
      </c>
      <c r="AM73" s="50"/>
      <c r="AO73" s="2" t="s">
        <v>524</v>
      </c>
    </row>
    <row r="74" spans="2:41" s="2" customFormat="1" x14ac:dyDescent="0.2">
      <c r="B74" s="2" t="s">
        <v>379</v>
      </c>
      <c r="F74" s="2" t="s">
        <v>100</v>
      </c>
      <c r="AG74" s="36"/>
      <c r="AH74" s="27">
        <v>184399.12872284817</v>
      </c>
      <c r="AI74" s="27">
        <v>186779.72147466012</v>
      </c>
      <c r="AJ74" s="27">
        <v>189191.04767889803</v>
      </c>
      <c r="AK74" s="27">
        <v>191633.50410443256</v>
      </c>
      <c r="AL74" s="27">
        <v>194107.49264242084</v>
      </c>
      <c r="AM74" s="50"/>
      <c r="AO74" s="2" t="s">
        <v>523</v>
      </c>
    </row>
    <row r="75" spans="2:41" s="2" customFormat="1" x14ac:dyDescent="0.2">
      <c r="B75" s="2" t="s">
        <v>380</v>
      </c>
      <c r="F75" s="2" t="s">
        <v>100</v>
      </c>
      <c r="AG75" s="36"/>
      <c r="AH75" s="27">
        <v>92199.564361424098</v>
      </c>
      <c r="AI75" s="27">
        <v>186779.72147466018</v>
      </c>
      <c r="AJ75" s="27">
        <v>189191.04767889803</v>
      </c>
      <c r="AK75" s="27">
        <v>191633.50410443259</v>
      </c>
      <c r="AL75" s="27">
        <v>194107.49264242081</v>
      </c>
      <c r="AM75" s="50"/>
      <c r="AO75" s="2" t="s">
        <v>522</v>
      </c>
    </row>
    <row r="76" spans="2:41" s="2" customFormat="1" x14ac:dyDescent="0.2">
      <c r="B76" s="2" t="s">
        <v>499</v>
      </c>
      <c r="F76" s="2" t="s">
        <v>100</v>
      </c>
      <c r="AG76" s="36"/>
      <c r="AH76" s="36"/>
      <c r="AI76" s="27">
        <v>93389.860737330077</v>
      </c>
      <c r="AJ76" s="27">
        <v>189191.04767889803</v>
      </c>
      <c r="AK76" s="27">
        <v>191633.50410443262</v>
      </c>
      <c r="AL76" s="27">
        <v>194107.49264242081</v>
      </c>
      <c r="AM76" s="50"/>
      <c r="AO76" s="2" t="s">
        <v>521</v>
      </c>
    </row>
    <row r="77" spans="2:41" s="2" customFormat="1" x14ac:dyDescent="0.2">
      <c r="B77" s="2" t="s">
        <v>655</v>
      </c>
      <c r="F77" s="2" t="s">
        <v>100</v>
      </c>
      <c r="AG77" s="36"/>
      <c r="AH77" s="36"/>
      <c r="AI77" s="36"/>
      <c r="AJ77" s="27">
        <v>94595.523839449015</v>
      </c>
      <c r="AK77" s="27">
        <v>191633.50410443256</v>
      </c>
      <c r="AL77" s="27">
        <v>194107.49264242081</v>
      </c>
      <c r="AM77" s="50"/>
      <c r="AO77" s="2" t="s">
        <v>681</v>
      </c>
    </row>
    <row r="78" spans="2:41" s="2" customFormat="1" x14ac:dyDescent="0.2">
      <c r="B78" s="2" t="s">
        <v>769</v>
      </c>
      <c r="F78" s="2" t="s">
        <v>100</v>
      </c>
      <c r="AG78" s="36"/>
      <c r="AH78" s="36"/>
      <c r="AI78" s="36"/>
      <c r="AJ78" s="36"/>
      <c r="AK78" s="27">
        <v>95816.75205221631</v>
      </c>
      <c r="AL78" s="27">
        <v>194107.49264242084</v>
      </c>
      <c r="AM78" s="50"/>
      <c r="AO78" s="2" t="s">
        <v>773</v>
      </c>
    </row>
    <row r="79" spans="2:41" s="2" customFormat="1" x14ac:dyDescent="0.2">
      <c r="AH79" s="75"/>
      <c r="AI79" s="75"/>
      <c r="AJ79" s="75"/>
      <c r="AK79" s="75"/>
      <c r="AL79" s="75"/>
      <c r="AM79" s="75"/>
    </row>
    <row r="80" spans="2:41" s="2" customFormat="1" x14ac:dyDescent="0.2">
      <c r="B80" s="21" t="s">
        <v>351</v>
      </c>
      <c r="AH80" s="75"/>
      <c r="AI80" s="75"/>
      <c r="AJ80" s="75"/>
      <c r="AK80" s="75"/>
      <c r="AL80" s="75"/>
      <c r="AM80" s="75"/>
    </row>
    <row r="81" spans="2:41" s="2" customFormat="1" x14ac:dyDescent="0.2">
      <c r="B81" s="2" t="s">
        <v>299</v>
      </c>
      <c r="F81" s="2" t="s">
        <v>100</v>
      </c>
      <c r="AG81" s="36"/>
      <c r="AH81" s="27">
        <v>17629824.412582844</v>
      </c>
      <c r="AI81" s="27">
        <v>27629471.080287002</v>
      </c>
      <c r="AJ81" s="27">
        <v>41671476.391443908</v>
      </c>
      <c r="AK81" s="27">
        <v>52994431.92588152</v>
      </c>
      <c r="AL81" s="27">
        <v>63754632.531542301</v>
      </c>
      <c r="AM81" s="50"/>
      <c r="AO81" s="2" t="s">
        <v>520</v>
      </c>
    </row>
    <row r="82" spans="2:41" s="2" customFormat="1" x14ac:dyDescent="0.2">
      <c r="B82" s="2" t="s">
        <v>375</v>
      </c>
      <c r="F82" s="2" t="s">
        <v>100</v>
      </c>
      <c r="AG82" s="36"/>
      <c r="AH82" s="27">
        <v>1928713.3469667879</v>
      </c>
      <c r="AI82" s="27">
        <v>1953613.0362761293</v>
      </c>
      <c r="AJ82" s="27">
        <v>1978834.1805744539</v>
      </c>
      <c r="AK82" s="27">
        <v>2004380.92984567</v>
      </c>
      <c r="AL82" s="27">
        <v>2030257.4876499781</v>
      </c>
      <c r="AM82" s="50"/>
      <c r="AO82" s="2" t="s">
        <v>519</v>
      </c>
    </row>
    <row r="83" spans="2:41" s="2" customFormat="1" x14ac:dyDescent="0.2">
      <c r="B83" s="2" t="s">
        <v>376</v>
      </c>
      <c r="F83" s="2" t="s">
        <v>100</v>
      </c>
      <c r="AG83" s="36"/>
      <c r="AH83" s="27">
        <v>964356.67348339385</v>
      </c>
      <c r="AI83" s="27">
        <v>1953613.0362761291</v>
      </c>
      <c r="AJ83" s="27">
        <v>1978834.1805744539</v>
      </c>
      <c r="AK83" s="27">
        <v>2004380.9298456705</v>
      </c>
      <c r="AL83" s="27">
        <v>2030257.4876499777</v>
      </c>
      <c r="AM83" s="50"/>
      <c r="AO83" s="2" t="s">
        <v>518</v>
      </c>
    </row>
    <row r="84" spans="2:41" s="2" customFormat="1" x14ac:dyDescent="0.2">
      <c r="B84" s="2" t="s">
        <v>517</v>
      </c>
      <c r="F84" s="2" t="s">
        <v>100</v>
      </c>
      <c r="AG84" s="36"/>
      <c r="AH84" s="36"/>
      <c r="AI84" s="27">
        <v>976806.51813806465</v>
      </c>
      <c r="AJ84" s="27">
        <v>1978834.1805744541</v>
      </c>
      <c r="AK84" s="27">
        <v>2004380.92984567</v>
      </c>
      <c r="AL84" s="27">
        <v>2030257.4876499781</v>
      </c>
      <c r="AM84" s="50"/>
      <c r="AO84" s="2" t="s">
        <v>516</v>
      </c>
    </row>
    <row r="85" spans="2:41" s="2" customFormat="1" x14ac:dyDescent="0.2">
      <c r="B85" s="2" t="s">
        <v>656</v>
      </c>
      <c r="F85" s="2" t="s">
        <v>100</v>
      </c>
      <c r="AG85" s="36"/>
      <c r="AH85" s="36"/>
      <c r="AI85" s="36"/>
      <c r="AJ85" s="27">
        <v>989417.09028722707</v>
      </c>
      <c r="AK85" s="27">
        <v>2004380.9298456702</v>
      </c>
      <c r="AL85" s="27">
        <v>2030257.4876499779</v>
      </c>
      <c r="AM85" s="50"/>
      <c r="AO85" s="2" t="s">
        <v>683</v>
      </c>
    </row>
    <row r="86" spans="2:41" s="2" customFormat="1" x14ac:dyDescent="0.2">
      <c r="B86" s="2" t="s">
        <v>770</v>
      </c>
      <c r="F86" s="2" t="s">
        <v>100</v>
      </c>
      <c r="AG86" s="36"/>
      <c r="AH86" s="36"/>
      <c r="AI86" s="36"/>
      <c r="AJ86" s="36"/>
      <c r="AK86" s="27">
        <v>1002190.4649228351</v>
      </c>
      <c r="AL86" s="27">
        <v>2030257.4876499779</v>
      </c>
      <c r="AM86" s="50"/>
      <c r="AO86" s="2" t="s">
        <v>774</v>
      </c>
    </row>
    <row r="87" spans="2:41" s="2" customFormat="1" x14ac:dyDescent="0.2"/>
    <row r="88" spans="2:41" s="2" customFormat="1" x14ac:dyDescent="0.2">
      <c r="B88" s="2" t="s">
        <v>300</v>
      </c>
      <c r="F88" s="2" t="s">
        <v>100</v>
      </c>
      <c r="AG88" s="36"/>
      <c r="AH88" s="27">
        <v>3782556.363840986</v>
      </c>
      <c r="AI88" s="27">
        <v>6021196.2794198925</v>
      </c>
      <c r="AJ88" s="27">
        <v>8886956.5460432209</v>
      </c>
      <c r="AK88" s="27">
        <v>11321451.985314852</v>
      </c>
      <c r="AL88" s="27">
        <v>13298324.704620291</v>
      </c>
      <c r="AM88" s="50"/>
      <c r="AO88" s="2" t="s">
        <v>515</v>
      </c>
    </row>
    <row r="89" spans="2:41" s="2" customFormat="1" x14ac:dyDescent="0.2">
      <c r="B89" s="2" t="s">
        <v>377</v>
      </c>
      <c r="F89" s="2" t="s">
        <v>100</v>
      </c>
      <c r="AG89" s="36"/>
      <c r="AH89" s="27">
        <v>312650.49393148359</v>
      </c>
      <c r="AI89" s="27">
        <v>316686.81180813909</v>
      </c>
      <c r="AJ89" s="27">
        <v>320775.23854858213</v>
      </c>
      <c r="AK89" s="27">
        <v>324916.44687824429</v>
      </c>
      <c r="AL89" s="27">
        <v>329111.11820744252</v>
      </c>
      <c r="AM89" s="50"/>
      <c r="AO89" s="2" t="s">
        <v>514</v>
      </c>
    </row>
    <row r="90" spans="2:41" s="2" customFormat="1" x14ac:dyDescent="0.2">
      <c r="B90" s="2" t="s">
        <v>378</v>
      </c>
      <c r="F90" s="2" t="s">
        <v>100</v>
      </c>
      <c r="AG90" s="36"/>
      <c r="AH90" s="27">
        <v>156325.24696574177</v>
      </c>
      <c r="AI90" s="27">
        <v>316686.81180813903</v>
      </c>
      <c r="AJ90" s="27">
        <v>320775.23854858213</v>
      </c>
      <c r="AK90" s="27">
        <v>324916.44687824429</v>
      </c>
      <c r="AL90" s="27">
        <v>329111.1182074424</v>
      </c>
      <c r="AM90" s="50"/>
      <c r="AO90" s="2" t="s">
        <v>513</v>
      </c>
    </row>
    <row r="91" spans="2:41" s="2" customFormat="1" x14ac:dyDescent="0.2">
      <c r="B91" s="2" t="s">
        <v>512</v>
      </c>
      <c r="F91" s="2" t="s">
        <v>100</v>
      </c>
      <c r="AG91" s="36"/>
      <c r="AH91" s="36"/>
      <c r="AI91" s="27">
        <v>158343.40590406951</v>
      </c>
      <c r="AJ91" s="27">
        <v>320775.23854858213</v>
      </c>
      <c r="AK91" s="27">
        <v>324916.44687824434</v>
      </c>
      <c r="AL91" s="27">
        <v>329111.11820744246</v>
      </c>
      <c r="AM91" s="50"/>
      <c r="AO91" s="2" t="s">
        <v>511</v>
      </c>
    </row>
    <row r="92" spans="2:41" s="2" customFormat="1" x14ac:dyDescent="0.2">
      <c r="B92" s="2" t="s">
        <v>657</v>
      </c>
      <c r="F92" s="2" t="s">
        <v>100</v>
      </c>
      <c r="AG92" s="36"/>
      <c r="AH92" s="36"/>
      <c r="AI92" s="36"/>
      <c r="AJ92" s="27">
        <v>160387.61927429104</v>
      </c>
      <c r="AK92" s="27">
        <v>324916.44687824429</v>
      </c>
      <c r="AL92" s="27">
        <v>329111.11820744246</v>
      </c>
      <c r="AM92" s="50"/>
      <c r="AO92" s="2" t="s">
        <v>682</v>
      </c>
    </row>
    <row r="93" spans="2:41" s="2" customFormat="1" x14ac:dyDescent="0.2">
      <c r="B93" s="2" t="s">
        <v>771</v>
      </c>
      <c r="F93" s="2" t="s">
        <v>100</v>
      </c>
      <c r="AG93" s="36"/>
      <c r="AH93" s="36"/>
      <c r="AI93" s="36"/>
      <c r="AJ93" s="36"/>
      <c r="AK93" s="27">
        <v>162458.22343912217</v>
      </c>
      <c r="AL93" s="27">
        <v>329111.11820744246</v>
      </c>
      <c r="AM93" s="50"/>
      <c r="AO93" s="2" t="s">
        <v>775</v>
      </c>
    </row>
    <row r="94" spans="2:41" s="2" customFormat="1" x14ac:dyDescent="0.2"/>
    <row r="95" spans="2:41" s="2" customFormat="1" x14ac:dyDescent="0.2">
      <c r="B95" s="21" t="s">
        <v>352</v>
      </c>
    </row>
    <row r="96" spans="2:41" s="2" customFormat="1" x14ac:dyDescent="0.2">
      <c r="B96" s="2" t="s">
        <v>304</v>
      </c>
      <c r="F96" s="2" t="s">
        <v>100</v>
      </c>
      <c r="AG96" s="36"/>
      <c r="AH96" s="27">
        <v>7048454.0516935959</v>
      </c>
      <c r="AI96" s="27">
        <v>11549404.822751751</v>
      </c>
      <c r="AJ96" s="27">
        <v>16339120.774427582</v>
      </c>
      <c r="AK96" s="27">
        <v>20885891.229404293</v>
      </c>
      <c r="AL96" s="27">
        <v>23323971.803118173</v>
      </c>
      <c r="AM96" s="50"/>
      <c r="AO96" s="2" t="s">
        <v>510</v>
      </c>
    </row>
    <row r="97" spans="1:59" x14ac:dyDescent="0.2">
      <c r="A97" s="2"/>
      <c r="B97" s="2" t="s">
        <v>371</v>
      </c>
      <c r="F97" s="2" t="s">
        <v>100</v>
      </c>
      <c r="AG97" s="36"/>
      <c r="AH97" s="27">
        <v>209865.12019720746</v>
      </c>
      <c r="AI97" s="27">
        <v>212574.47889895341</v>
      </c>
      <c r="AJ97" s="27">
        <v>215318.81542153889</v>
      </c>
      <c r="AK97" s="27">
        <v>218098.58132863097</v>
      </c>
      <c r="AL97" s="27">
        <v>220914.23401358357</v>
      </c>
      <c r="AM97" s="50"/>
      <c r="AO97" s="2" t="s">
        <v>509</v>
      </c>
      <c r="AR97" s="2"/>
      <c r="AS97" s="2"/>
      <c r="AT97" s="2"/>
      <c r="AU97" s="2"/>
      <c r="AV97" s="2"/>
      <c r="AW97" s="2"/>
      <c r="AX97" s="2"/>
      <c r="AY97" s="2"/>
      <c r="AZ97" s="2"/>
      <c r="BA97" s="2"/>
      <c r="BB97" s="2"/>
      <c r="BC97" s="2"/>
      <c r="BD97" s="2"/>
      <c r="BE97" s="2"/>
      <c r="BF97" s="2"/>
      <c r="BG97" s="2"/>
    </row>
    <row r="98" spans="1:59" x14ac:dyDescent="0.2">
      <c r="A98" s="2"/>
      <c r="B98" s="2" t="s">
        <v>372</v>
      </c>
      <c r="F98" s="2" t="s">
        <v>100</v>
      </c>
      <c r="AG98" s="36"/>
      <c r="AH98" s="27">
        <v>104932.56009860372</v>
      </c>
      <c r="AI98" s="27">
        <v>212574.47889895341</v>
      </c>
      <c r="AJ98" s="27">
        <v>215318.81542153889</v>
      </c>
      <c r="AK98" s="27">
        <v>218098.58132863097</v>
      </c>
      <c r="AL98" s="27">
        <v>220914.2340135836</v>
      </c>
      <c r="AM98" s="50"/>
      <c r="AO98" s="2" t="s">
        <v>508</v>
      </c>
      <c r="AR98" s="2"/>
      <c r="AS98" s="2"/>
      <c r="AT98" s="2"/>
      <c r="AU98" s="2"/>
      <c r="AV98" s="2"/>
      <c r="AW98" s="2"/>
      <c r="AX98" s="2"/>
      <c r="AY98" s="2"/>
      <c r="AZ98" s="2"/>
      <c r="BA98" s="2"/>
      <c r="BB98" s="2"/>
      <c r="BC98" s="2"/>
      <c r="BD98" s="2"/>
      <c r="BE98" s="2"/>
      <c r="BF98" s="2"/>
      <c r="BG98" s="2"/>
    </row>
    <row r="99" spans="1:59" x14ac:dyDescent="0.2">
      <c r="A99" s="2"/>
      <c r="B99" s="2" t="s">
        <v>507</v>
      </c>
      <c r="F99" s="2" t="s">
        <v>100</v>
      </c>
      <c r="AG99" s="36"/>
      <c r="AH99" s="36"/>
      <c r="AI99" s="27">
        <v>106287.23944947671</v>
      </c>
      <c r="AJ99" s="27">
        <v>215318.81542153892</v>
      </c>
      <c r="AK99" s="27">
        <v>218098.581328631</v>
      </c>
      <c r="AL99" s="27">
        <v>220914.23401358363</v>
      </c>
      <c r="AM99" s="50"/>
      <c r="AO99" s="2" t="s">
        <v>506</v>
      </c>
      <c r="AR99" s="2"/>
      <c r="AS99" s="2"/>
      <c r="AT99" s="2"/>
      <c r="AU99" s="2"/>
      <c r="AV99" s="2"/>
      <c r="AW99" s="2"/>
      <c r="AX99" s="2"/>
      <c r="AY99" s="2"/>
      <c r="AZ99" s="2"/>
      <c r="BA99" s="2"/>
      <c r="BB99" s="2"/>
      <c r="BC99" s="2"/>
      <c r="BD99" s="2"/>
      <c r="BE99" s="2"/>
      <c r="BF99" s="2"/>
      <c r="BG99" s="2"/>
    </row>
    <row r="100" spans="1:59" x14ac:dyDescent="0.2">
      <c r="A100" s="2"/>
      <c r="B100" s="2" t="s">
        <v>658</v>
      </c>
      <c r="F100" s="2" t="s">
        <v>100</v>
      </c>
      <c r="AG100" s="36"/>
      <c r="AH100" s="36"/>
      <c r="AI100" s="36"/>
      <c r="AJ100" s="27">
        <v>107659.40771076946</v>
      </c>
      <c r="AK100" s="27">
        <v>218098.58132863094</v>
      </c>
      <c r="AL100" s="27">
        <v>220914.23401358366</v>
      </c>
      <c r="AM100" s="50"/>
      <c r="AO100" s="2" t="s">
        <v>684</v>
      </c>
      <c r="AR100" s="2"/>
      <c r="AS100" s="2"/>
      <c r="AT100" s="2"/>
      <c r="AU100" s="2"/>
      <c r="AV100" s="2"/>
      <c r="AW100" s="2"/>
      <c r="AX100" s="2"/>
      <c r="AY100" s="2"/>
      <c r="AZ100" s="2"/>
      <c r="BA100" s="2"/>
      <c r="BB100" s="2"/>
      <c r="BC100" s="2"/>
      <c r="BD100" s="2"/>
      <c r="BE100" s="2"/>
      <c r="BF100" s="2"/>
      <c r="BG100" s="2"/>
    </row>
    <row r="101" spans="1:59" x14ac:dyDescent="0.2">
      <c r="A101" s="2"/>
      <c r="B101" s="2" t="s">
        <v>776</v>
      </c>
      <c r="F101" s="2" t="s">
        <v>100</v>
      </c>
      <c r="AG101" s="36"/>
      <c r="AH101" s="36"/>
      <c r="AI101" s="36"/>
      <c r="AJ101" s="36"/>
      <c r="AK101" s="27">
        <v>109049.29066431547</v>
      </c>
      <c r="AL101" s="27">
        <v>220914.23401358354</v>
      </c>
      <c r="AM101" s="50"/>
      <c r="AO101" s="2" t="s">
        <v>777</v>
      </c>
      <c r="AR101" s="2"/>
      <c r="AS101" s="2"/>
      <c r="AT101" s="2"/>
      <c r="AU101" s="2"/>
      <c r="AV101" s="2"/>
      <c r="AW101" s="2"/>
      <c r="AX101" s="2"/>
      <c r="AY101" s="2"/>
      <c r="AZ101" s="2"/>
      <c r="BA101" s="2"/>
      <c r="BB101" s="2"/>
      <c r="BC101" s="2"/>
      <c r="BD101" s="2"/>
      <c r="BE101" s="2"/>
      <c r="BF101" s="2"/>
      <c r="BG101" s="2"/>
    </row>
    <row r="102" spans="1:59" x14ac:dyDescent="0.2">
      <c r="A102" s="2"/>
    </row>
    <row r="103" spans="1:59" x14ac:dyDescent="0.2">
      <c r="A103" s="2"/>
      <c r="B103" s="21" t="s">
        <v>368</v>
      </c>
      <c r="AH103" s="75"/>
      <c r="AI103" s="75"/>
      <c r="AJ103" s="75"/>
      <c r="AK103" s="75"/>
      <c r="AL103" s="75"/>
      <c r="AM103" s="75"/>
      <c r="AR103" s="2"/>
      <c r="AS103" s="2"/>
      <c r="AT103" s="2"/>
      <c r="AU103" s="2"/>
      <c r="AV103" s="2"/>
      <c r="AW103" s="2"/>
      <c r="AX103" s="2"/>
      <c r="AY103" s="2"/>
      <c r="AZ103" s="2"/>
      <c r="BA103" s="2"/>
      <c r="BB103" s="2"/>
      <c r="BC103" s="2"/>
      <c r="BD103" s="2"/>
      <c r="BE103" s="2"/>
      <c r="BF103" s="2"/>
      <c r="BG103" s="2"/>
    </row>
    <row r="104" spans="1:59" x14ac:dyDescent="0.2">
      <c r="A104" s="2"/>
      <c r="B104" s="2" t="s">
        <v>785</v>
      </c>
      <c r="F104" s="2" t="s">
        <v>100</v>
      </c>
      <c r="AG104" s="36"/>
      <c r="AH104" s="27">
        <v>710312.77143697452</v>
      </c>
      <c r="AI104" s="27">
        <v>1160911.0404022278</v>
      </c>
      <c r="AJ104" s="27">
        <v>1645171.5464403296</v>
      </c>
      <c r="AK104" s="27">
        <v>2102688.2075386271</v>
      </c>
      <c r="AL104" s="27">
        <v>3955918.6928878711</v>
      </c>
      <c r="AM104" s="50"/>
      <c r="AO104" s="2" t="s">
        <v>1112</v>
      </c>
      <c r="AR104" s="2"/>
      <c r="AS104" s="2"/>
      <c r="AT104" s="2"/>
      <c r="AU104" s="2"/>
      <c r="AV104" s="2"/>
      <c r="AW104" s="2"/>
      <c r="AX104" s="2"/>
      <c r="AY104" s="2"/>
      <c r="AZ104" s="2"/>
      <c r="BA104" s="2"/>
      <c r="BB104" s="2"/>
      <c r="BC104" s="2"/>
      <c r="BD104" s="2"/>
      <c r="BE104" s="2"/>
      <c r="BF104" s="2"/>
      <c r="BG104" s="2"/>
    </row>
    <row r="105" spans="1:59" x14ac:dyDescent="0.2">
      <c r="A105" s="2"/>
      <c r="B105" s="2" t="s">
        <v>369</v>
      </c>
      <c r="F105" s="2" t="s">
        <v>100</v>
      </c>
      <c r="AG105" s="36"/>
      <c r="AH105" s="27">
        <v>22862.757459141292</v>
      </c>
      <c r="AI105" s="27">
        <v>23157.915657938811</v>
      </c>
      <c r="AJ105" s="27">
        <v>23456.8843490828</v>
      </c>
      <c r="AK105" s="27">
        <v>23759.712726029458</v>
      </c>
      <c r="AL105" s="27">
        <v>24066.450617322502</v>
      </c>
      <c r="AM105" s="50"/>
      <c r="AO105" s="2" t="s">
        <v>1113</v>
      </c>
      <c r="AR105" s="2"/>
      <c r="AS105" s="2"/>
      <c r="AT105" s="2"/>
      <c r="AU105" s="2"/>
      <c r="AV105" s="2"/>
      <c r="AW105" s="2"/>
      <c r="AX105" s="2"/>
      <c r="AY105" s="2"/>
      <c r="AZ105" s="2"/>
      <c r="BA105" s="2"/>
      <c r="BB105" s="2"/>
      <c r="BC105" s="2"/>
      <c r="BD105" s="2"/>
      <c r="BE105" s="2"/>
      <c r="BF105" s="2"/>
      <c r="BG105" s="2"/>
    </row>
    <row r="106" spans="1:59" x14ac:dyDescent="0.2">
      <c r="A106" s="2"/>
      <c r="B106" s="2" t="s">
        <v>370</v>
      </c>
      <c r="F106" s="2" t="s">
        <v>100</v>
      </c>
      <c r="AG106" s="36"/>
      <c r="AH106" s="27">
        <v>11431.378729570646</v>
      </c>
      <c r="AI106" s="27">
        <v>23157.915657938807</v>
      </c>
      <c r="AJ106" s="27">
        <v>23456.8843490828</v>
      </c>
      <c r="AK106" s="27">
        <v>23759.712726029458</v>
      </c>
      <c r="AL106" s="27">
        <v>24066.450617322502</v>
      </c>
      <c r="AM106" s="50"/>
      <c r="AO106" s="2" t="s">
        <v>1114</v>
      </c>
      <c r="AR106" s="2"/>
      <c r="AS106" s="2"/>
      <c r="AT106" s="2"/>
      <c r="AU106" s="2"/>
      <c r="AV106" s="2"/>
      <c r="AW106" s="2"/>
      <c r="AX106" s="2"/>
      <c r="AY106" s="2"/>
      <c r="AZ106" s="2"/>
      <c r="BA106" s="2"/>
      <c r="BB106" s="2"/>
      <c r="BC106" s="2"/>
      <c r="BD106" s="2"/>
      <c r="BE106" s="2"/>
      <c r="BF106" s="2"/>
      <c r="BG106" s="2"/>
    </row>
    <row r="107" spans="1:59" x14ac:dyDescent="0.2">
      <c r="A107" s="2"/>
      <c r="B107" s="2" t="s">
        <v>496</v>
      </c>
      <c r="F107" s="2" t="s">
        <v>100</v>
      </c>
      <c r="AG107" s="36"/>
      <c r="AH107" s="36"/>
      <c r="AI107" s="27">
        <v>11578.957828969404</v>
      </c>
      <c r="AJ107" s="27">
        <v>23456.884349082797</v>
      </c>
      <c r="AK107" s="27">
        <v>23759.712726029458</v>
      </c>
      <c r="AL107" s="27">
        <v>24066.450617322498</v>
      </c>
      <c r="AM107" s="50"/>
      <c r="AO107" s="2" t="s">
        <v>1115</v>
      </c>
      <c r="AR107" s="2"/>
      <c r="AS107" s="2"/>
      <c r="AT107" s="2"/>
      <c r="AU107" s="2"/>
      <c r="AV107" s="2"/>
      <c r="AW107" s="2"/>
      <c r="AX107" s="2"/>
      <c r="AY107" s="2"/>
      <c r="AZ107" s="2"/>
      <c r="BA107" s="2"/>
      <c r="BB107" s="2"/>
      <c r="BC107" s="2"/>
      <c r="BD107" s="2"/>
      <c r="BE107" s="2"/>
      <c r="BF107" s="2"/>
      <c r="BG107" s="2"/>
    </row>
    <row r="108" spans="1:59" x14ac:dyDescent="0.2">
      <c r="A108" s="2"/>
      <c r="B108" s="2" t="s">
        <v>659</v>
      </c>
      <c r="F108" s="2" t="s">
        <v>100</v>
      </c>
      <c r="AG108" s="36"/>
      <c r="AH108" s="36"/>
      <c r="AI108" s="36"/>
      <c r="AJ108" s="27">
        <v>11728.442174541398</v>
      </c>
      <c r="AK108" s="27">
        <v>23759.712726029458</v>
      </c>
      <c r="AL108" s="27">
        <v>24066.450617322502</v>
      </c>
      <c r="AM108" s="50"/>
      <c r="AO108" s="2" t="s">
        <v>1116</v>
      </c>
      <c r="AR108" s="2"/>
      <c r="AS108" s="2"/>
      <c r="AT108" s="2"/>
      <c r="AU108" s="2"/>
      <c r="AV108" s="2"/>
      <c r="AW108" s="2"/>
      <c r="AX108" s="2"/>
      <c r="AY108" s="2"/>
      <c r="AZ108" s="2"/>
      <c r="BA108" s="2"/>
      <c r="BB108" s="2"/>
      <c r="BC108" s="2"/>
      <c r="BD108" s="2"/>
      <c r="BE108" s="2"/>
      <c r="BF108" s="2"/>
      <c r="BG108" s="2"/>
    </row>
    <row r="109" spans="1:59" x14ac:dyDescent="0.2">
      <c r="A109" s="2"/>
      <c r="B109" s="2" t="s">
        <v>781</v>
      </c>
      <c r="F109" s="2" t="s">
        <v>100</v>
      </c>
      <c r="AG109" s="36"/>
      <c r="AH109" s="36"/>
      <c r="AI109" s="36"/>
      <c r="AJ109" s="36"/>
      <c r="AK109" s="27">
        <v>11879.856363014727</v>
      </c>
      <c r="AL109" s="27">
        <v>24066.450617322502</v>
      </c>
      <c r="AM109" s="50"/>
      <c r="AO109" s="2" t="s">
        <v>1117</v>
      </c>
      <c r="AR109" s="2"/>
      <c r="AS109" s="2"/>
      <c r="AT109" s="2"/>
      <c r="AU109" s="2"/>
      <c r="AV109" s="2"/>
      <c r="AW109" s="2"/>
      <c r="AX109" s="2"/>
      <c r="AY109" s="2"/>
      <c r="AZ109" s="2"/>
      <c r="BA109" s="2"/>
      <c r="BB109" s="2"/>
      <c r="BC109" s="2"/>
      <c r="BD109" s="2"/>
      <c r="BE109" s="2"/>
      <c r="BF109" s="2"/>
      <c r="BG109" s="2"/>
    </row>
    <row r="110" spans="1:59" x14ac:dyDescent="0.2">
      <c r="A110" s="2"/>
      <c r="AR110" s="2"/>
      <c r="AS110" s="2"/>
      <c r="AT110" s="2"/>
      <c r="AU110" s="2"/>
      <c r="AV110" s="2"/>
      <c r="AW110" s="2"/>
      <c r="AX110" s="2"/>
      <c r="AY110" s="2"/>
      <c r="AZ110" s="2"/>
      <c r="BA110" s="2"/>
      <c r="BB110" s="2"/>
      <c r="BC110" s="2"/>
      <c r="BD110" s="2"/>
      <c r="BE110" s="2"/>
      <c r="BF110" s="2"/>
      <c r="BG110" s="2"/>
    </row>
    <row r="111" spans="1:59" x14ac:dyDescent="0.2">
      <c r="A111" s="2"/>
      <c r="B111" s="2" t="s">
        <v>786</v>
      </c>
      <c r="F111" s="2" t="s">
        <v>100</v>
      </c>
      <c r="AG111" s="36"/>
      <c r="AH111" s="27">
        <v>4820374.2515915036</v>
      </c>
      <c r="AI111" s="27">
        <v>13585749.546667155</v>
      </c>
      <c r="AJ111" s="27">
        <v>27482477.256035816</v>
      </c>
      <c r="AK111" s="27">
        <v>38923829.861874104</v>
      </c>
      <c r="AL111" s="27">
        <v>43523035.947436929</v>
      </c>
      <c r="AM111" s="50"/>
      <c r="AO111" s="2" t="s">
        <v>1118</v>
      </c>
      <c r="AR111" s="2"/>
      <c r="AS111" s="2"/>
      <c r="AT111" s="2"/>
      <c r="AU111" s="2"/>
      <c r="AV111" s="2"/>
      <c r="AW111" s="2"/>
      <c r="AX111" s="2"/>
      <c r="AY111" s="2"/>
      <c r="AZ111" s="2"/>
      <c r="BA111" s="2"/>
      <c r="BB111" s="2"/>
      <c r="BC111" s="2"/>
      <c r="BD111" s="2"/>
      <c r="BE111" s="2"/>
      <c r="BF111" s="2"/>
      <c r="BG111" s="2"/>
    </row>
    <row r="112" spans="1:59" x14ac:dyDescent="0.2">
      <c r="A112" s="2"/>
      <c r="B112" s="2" t="s">
        <v>381</v>
      </c>
      <c r="F112" s="2" t="s">
        <v>100</v>
      </c>
      <c r="AG112" s="36"/>
      <c r="AH112" s="27">
        <v>561610.0472435212</v>
      </c>
      <c r="AI112" s="27">
        <v>568860.432953435</v>
      </c>
      <c r="AJ112" s="27">
        <v>576204.42114286392</v>
      </c>
      <c r="AK112" s="27">
        <v>583643.22021981841</v>
      </c>
      <c r="AL112" s="27">
        <v>591178.0541928563</v>
      </c>
      <c r="AM112" s="50"/>
      <c r="AO112" s="2" t="s">
        <v>1119</v>
      </c>
      <c r="AR112" s="2"/>
      <c r="AS112" s="2"/>
      <c r="AT112" s="2"/>
      <c r="AU112" s="2"/>
      <c r="AV112" s="2"/>
      <c r="AW112" s="2"/>
      <c r="AX112" s="2"/>
      <c r="AY112" s="2"/>
      <c r="AZ112" s="2"/>
      <c r="BA112" s="2"/>
      <c r="BB112" s="2"/>
      <c r="BC112" s="2"/>
      <c r="BD112" s="2"/>
      <c r="BE112" s="2"/>
      <c r="BF112" s="2"/>
      <c r="BG112" s="2"/>
    </row>
    <row r="113" spans="2:41" s="2" customFormat="1" x14ac:dyDescent="0.2">
      <c r="B113" s="2" t="s">
        <v>382</v>
      </c>
      <c r="F113" s="2" t="s">
        <v>100</v>
      </c>
      <c r="AG113" s="36"/>
      <c r="AH113" s="27">
        <v>233540.69313287723</v>
      </c>
      <c r="AI113" s="27">
        <v>467100.04102812865</v>
      </c>
      <c r="AJ113" s="27">
        <v>473130.30255780183</v>
      </c>
      <c r="AK113" s="27">
        <v>479238.41476382309</v>
      </c>
      <c r="AL113" s="27">
        <v>485425.38269842404</v>
      </c>
      <c r="AM113" s="50"/>
      <c r="AO113" s="2" t="s">
        <v>1120</v>
      </c>
    </row>
    <row r="114" spans="2:41" s="2" customFormat="1" x14ac:dyDescent="0.2">
      <c r="B114" s="2" t="s">
        <v>497</v>
      </c>
      <c r="F114" s="2" t="s">
        <v>100</v>
      </c>
      <c r="AG114" s="36"/>
      <c r="AH114" s="50"/>
      <c r="AI114" s="27">
        <v>876363.66342759749</v>
      </c>
      <c r="AJ114" s="27">
        <v>2350763.8984003635</v>
      </c>
      <c r="AK114" s="27">
        <v>2381112.2603287119</v>
      </c>
      <c r="AL114" s="27">
        <v>2411852.4196095564</v>
      </c>
      <c r="AM114" s="50"/>
      <c r="AO114" s="2" t="s">
        <v>1121</v>
      </c>
    </row>
    <row r="115" spans="2:41" s="2" customFormat="1" x14ac:dyDescent="0.2">
      <c r="B115" s="2" t="s">
        <v>660</v>
      </c>
      <c r="F115" s="2" t="s">
        <v>100</v>
      </c>
      <c r="AG115" s="36"/>
      <c r="AH115" s="50"/>
      <c r="AI115" s="50"/>
      <c r="AJ115" s="27">
        <v>947793.32915578119</v>
      </c>
      <c r="AK115" s="27">
        <v>2221860.6153806658</v>
      </c>
      <c r="AL115" s="27">
        <v>2250544.8359252298</v>
      </c>
      <c r="AM115" s="50"/>
      <c r="AO115" s="2" t="s">
        <v>1122</v>
      </c>
    </row>
    <row r="116" spans="2:41" s="2" customFormat="1" x14ac:dyDescent="0.2">
      <c r="B116" s="2" t="s">
        <v>782</v>
      </c>
      <c r="F116" s="2" t="s">
        <v>100</v>
      </c>
      <c r="AG116" s="36"/>
      <c r="AH116" s="50"/>
      <c r="AI116" s="50"/>
      <c r="AJ116" s="50"/>
      <c r="AK116" s="27">
        <v>721454.78411608236</v>
      </c>
      <c r="AL116" s="27">
        <v>2223186.7423949922</v>
      </c>
      <c r="AM116" s="50"/>
      <c r="AO116" s="2" t="s">
        <v>1123</v>
      </c>
    </row>
    <row r="117" spans="2:41" s="2" customFormat="1" x14ac:dyDescent="0.2"/>
    <row r="118" spans="2:41" s="2" customFormat="1" x14ac:dyDescent="0.2">
      <c r="B118" s="21" t="s">
        <v>686</v>
      </c>
    </row>
    <row r="119" spans="2:41" s="2" customFormat="1" x14ac:dyDescent="0.2">
      <c r="B119" s="2" t="s">
        <v>788</v>
      </c>
      <c r="F119" s="2" t="s">
        <v>100</v>
      </c>
      <c r="AG119" s="36"/>
      <c r="AH119" s="27">
        <v>2374050.459916559</v>
      </c>
      <c r="AI119" s="27">
        <v>3877726.4229751835</v>
      </c>
      <c r="AJ119" s="27">
        <v>5499144.8442174895</v>
      </c>
      <c r="AK119" s="27">
        <v>7027926.0802627495</v>
      </c>
      <c r="AL119" s="27">
        <v>15630638.482191274</v>
      </c>
      <c r="AM119" s="50"/>
      <c r="AO119" s="2" t="s">
        <v>1124</v>
      </c>
    </row>
    <row r="120" spans="2:41" s="2" customFormat="1" x14ac:dyDescent="0.2">
      <c r="B120" s="2" t="s">
        <v>687</v>
      </c>
      <c r="F120" s="2" t="s">
        <v>100</v>
      </c>
      <c r="AG120" s="36"/>
      <c r="AH120" s="27">
        <v>78582.435379516479</v>
      </c>
      <c r="AI120" s="27">
        <v>79596.934620266053</v>
      </c>
      <c r="AJ120" s="27">
        <v>80624.531046213684</v>
      </c>
      <c r="AK120" s="27">
        <v>81665.3937420203</v>
      </c>
      <c r="AL120" s="27">
        <v>82719.693975229806</v>
      </c>
      <c r="AM120" s="50"/>
      <c r="AO120" s="2" t="s">
        <v>1125</v>
      </c>
    </row>
    <row r="121" spans="2:41" s="2" customFormat="1" x14ac:dyDescent="0.2">
      <c r="B121" s="2" t="s">
        <v>384</v>
      </c>
      <c r="F121" s="2" t="s">
        <v>100</v>
      </c>
      <c r="AG121" s="36"/>
      <c r="AH121" s="27">
        <v>39291.217689758239</v>
      </c>
      <c r="AI121" s="27">
        <v>79596.934620266053</v>
      </c>
      <c r="AJ121" s="27">
        <v>80624.531046213684</v>
      </c>
      <c r="AK121" s="27">
        <v>81665.3937420203</v>
      </c>
      <c r="AL121" s="27">
        <v>82719.693975229777</v>
      </c>
      <c r="AM121" s="50"/>
      <c r="AO121" s="2" t="s">
        <v>1126</v>
      </c>
    </row>
    <row r="122" spans="2:41" s="2" customFormat="1" x14ac:dyDescent="0.2">
      <c r="B122" s="2" t="s">
        <v>529</v>
      </c>
      <c r="F122" s="2" t="s">
        <v>100</v>
      </c>
      <c r="AG122" s="36"/>
      <c r="AH122" s="36"/>
      <c r="AI122" s="27">
        <v>39798.467310133026</v>
      </c>
      <c r="AJ122" s="27">
        <v>80624.531046213684</v>
      </c>
      <c r="AK122" s="27">
        <v>81665.3937420203</v>
      </c>
      <c r="AL122" s="27">
        <v>82719.693975229806</v>
      </c>
      <c r="AM122" s="50"/>
      <c r="AO122" s="2" t="s">
        <v>1127</v>
      </c>
    </row>
    <row r="123" spans="2:41" s="2" customFormat="1" x14ac:dyDescent="0.2">
      <c r="B123" s="2" t="s">
        <v>663</v>
      </c>
      <c r="F123" s="2" t="s">
        <v>100</v>
      </c>
      <c r="AG123" s="36"/>
      <c r="AH123" s="36"/>
      <c r="AI123" s="36"/>
      <c r="AJ123" s="27">
        <v>40312.265523106842</v>
      </c>
      <c r="AK123" s="27">
        <v>81665.393742020315</v>
      </c>
      <c r="AL123" s="27">
        <v>82719.693975229791</v>
      </c>
      <c r="AM123" s="50"/>
      <c r="AO123" s="2" t="s">
        <v>1128</v>
      </c>
    </row>
    <row r="124" spans="2:41" s="2" customFormat="1" x14ac:dyDescent="0.2">
      <c r="B124" s="2" t="s">
        <v>778</v>
      </c>
      <c r="F124" s="2" t="s">
        <v>100</v>
      </c>
      <c r="AG124" s="36"/>
      <c r="AH124" s="36"/>
      <c r="AI124" s="36"/>
      <c r="AJ124" s="36"/>
      <c r="AK124" s="27">
        <v>40832.69687101015</v>
      </c>
      <c r="AL124" s="27">
        <v>82719.693975229777</v>
      </c>
      <c r="AM124" s="50"/>
      <c r="AO124" s="2" t="s">
        <v>1129</v>
      </c>
    </row>
    <row r="125" spans="2:41" s="2" customFormat="1" x14ac:dyDescent="0.2"/>
    <row r="126" spans="2:41" s="2" customFormat="1" x14ac:dyDescent="0.2">
      <c r="B126" s="2" t="s">
        <v>787</v>
      </c>
      <c r="F126" s="2" t="s">
        <v>100</v>
      </c>
      <c r="AG126" s="36"/>
      <c r="AH126" s="27">
        <v>13889267.916459739</v>
      </c>
      <c r="AI126" s="27">
        <v>28151958.646906726</v>
      </c>
      <c r="AJ126" s="27">
        <v>51559436.972748309</v>
      </c>
      <c r="AK126" s="27">
        <v>80064174.956570998</v>
      </c>
      <c r="AL126" s="27">
        <v>87681438.238449216</v>
      </c>
      <c r="AM126" s="50"/>
      <c r="AO126" s="2" t="s">
        <v>1130</v>
      </c>
    </row>
    <row r="127" spans="2:41" s="2" customFormat="1" x14ac:dyDescent="0.2">
      <c r="B127" s="2" t="s">
        <v>385</v>
      </c>
      <c r="F127" s="2" t="s">
        <v>100</v>
      </c>
      <c r="AG127" s="36"/>
      <c r="AH127" s="27">
        <v>1397228.4677926125</v>
      </c>
      <c r="AI127" s="27">
        <v>1415266.6873118153</v>
      </c>
      <c r="AJ127" s="27">
        <v>1433537.7802450098</v>
      </c>
      <c r="AK127" s="27">
        <v>1452044.7529879729</v>
      </c>
      <c r="AL127" s="27">
        <v>1470790.6507490491</v>
      </c>
      <c r="AM127" s="50"/>
      <c r="AO127" s="2" t="s">
        <v>1131</v>
      </c>
    </row>
    <row r="128" spans="2:41" s="2" customFormat="1" x14ac:dyDescent="0.2">
      <c r="B128" s="2" t="s">
        <v>386</v>
      </c>
      <c r="F128" s="2" t="s">
        <v>100</v>
      </c>
      <c r="AG128" s="36"/>
      <c r="AH128" s="27">
        <v>466581.86493245634</v>
      </c>
      <c r="AI128" s="27">
        <v>1876438.3982080191</v>
      </c>
      <c r="AJ128" s="27">
        <v>1900663.2179288843</v>
      </c>
      <c r="AK128" s="27">
        <v>1925200.7800723459</v>
      </c>
      <c r="AL128" s="27">
        <v>1950055.1221430795</v>
      </c>
      <c r="AM128" s="50"/>
      <c r="AO128" s="2" t="s">
        <v>1132</v>
      </c>
    </row>
    <row r="129" spans="1:59" x14ac:dyDescent="0.2">
      <c r="A129" s="2"/>
      <c r="B129" s="2" t="s">
        <v>530</v>
      </c>
      <c r="F129" s="2" t="s">
        <v>100</v>
      </c>
      <c r="AG129" s="36"/>
      <c r="AH129" s="36"/>
      <c r="AI129" s="27">
        <v>1384183.7925660927</v>
      </c>
      <c r="AJ129" s="27">
        <v>2750908.0159861082</v>
      </c>
      <c r="AK129" s="27">
        <v>2786422.2384724887</v>
      </c>
      <c r="AL129" s="27">
        <v>2822394.9495711685</v>
      </c>
      <c r="AM129" s="50"/>
      <c r="AO129" s="2" t="s">
        <v>1133</v>
      </c>
      <c r="AR129" s="2"/>
      <c r="AS129" s="2"/>
      <c r="AT129" s="2"/>
      <c r="AU129" s="2"/>
      <c r="AV129" s="2"/>
      <c r="AW129" s="2"/>
      <c r="AX129" s="2"/>
      <c r="AY129" s="2"/>
      <c r="AZ129" s="2"/>
      <c r="BA129" s="2"/>
      <c r="BB129" s="2"/>
      <c r="BC129" s="2"/>
      <c r="BD129" s="2"/>
      <c r="BE129" s="2"/>
      <c r="BF129" s="2"/>
      <c r="BG129" s="2"/>
    </row>
    <row r="130" spans="1:59" x14ac:dyDescent="0.2">
      <c r="A130" s="2"/>
      <c r="B130" s="2" t="s">
        <v>662</v>
      </c>
      <c r="F130" s="2" t="s">
        <v>100</v>
      </c>
      <c r="AG130" s="36"/>
      <c r="AH130" s="36"/>
      <c r="AI130" s="36"/>
      <c r="AJ130" s="27">
        <v>1775622.1223645208</v>
      </c>
      <c r="AK130" s="27">
        <v>4448169.9869610285</v>
      </c>
      <c r="AL130" s="27">
        <v>4505595.8614926925</v>
      </c>
      <c r="AM130" s="50"/>
      <c r="AO130" s="2" t="s">
        <v>1134</v>
      </c>
      <c r="AR130" s="2"/>
      <c r="AS130" s="2"/>
      <c r="AT130" s="2"/>
      <c r="AU130" s="2"/>
      <c r="AV130" s="2"/>
      <c r="AW130" s="2"/>
      <c r="AX130" s="2"/>
      <c r="AY130" s="2"/>
      <c r="AZ130" s="2"/>
      <c r="BA130" s="2"/>
      <c r="BB130" s="2"/>
      <c r="BC130" s="2"/>
      <c r="BD130" s="2"/>
      <c r="BE130" s="2"/>
      <c r="BF130" s="2"/>
      <c r="BG130" s="2"/>
    </row>
    <row r="131" spans="1:59" x14ac:dyDescent="0.2">
      <c r="A131" s="2"/>
      <c r="B131" s="2" t="s">
        <v>779</v>
      </c>
      <c r="F131" s="2" t="s">
        <v>100</v>
      </c>
      <c r="AG131" s="36"/>
      <c r="AH131" s="36"/>
      <c r="AI131" s="36"/>
      <c r="AJ131" s="36"/>
      <c r="AK131" s="27">
        <v>2086989.7576126298</v>
      </c>
      <c r="AL131" s="27">
        <v>4525894.3397888476</v>
      </c>
      <c r="AM131" s="50"/>
      <c r="AO131" s="2" t="s">
        <v>1135</v>
      </c>
      <c r="AR131" s="2"/>
      <c r="AS131" s="2"/>
      <c r="AT131" s="2"/>
      <c r="AU131" s="2"/>
      <c r="AV131" s="2"/>
      <c r="AW131" s="2"/>
      <c r="AX131" s="2"/>
      <c r="AY131" s="2"/>
      <c r="AZ131" s="2"/>
      <c r="BA131" s="2"/>
      <c r="BB131" s="2"/>
      <c r="BC131" s="2"/>
      <c r="BD131" s="2"/>
      <c r="BE131" s="2"/>
      <c r="BF131" s="2"/>
      <c r="BG131" s="2"/>
    </row>
    <row r="132" spans="1:59" x14ac:dyDescent="0.2">
      <c r="A132" s="2"/>
      <c r="AR132" s="2"/>
      <c r="AS132" s="2"/>
      <c r="AT132" s="2"/>
      <c r="AU132" s="2"/>
      <c r="AV132" s="2"/>
      <c r="AW132" s="2"/>
      <c r="AX132" s="2"/>
      <c r="AY132" s="2"/>
      <c r="AZ132" s="2"/>
      <c r="BA132" s="2"/>
      <c r="BB132" s="2"/>
      <c r="BC132" s="2"/>
      <c r="BD132" s="2"/>
      <c r="BE132" s="2"/>
      <c r="BF132" s="2"/>
      <c r="BG132" s="2"/>
    </row>
    <row r="133" spans="1:59" x14ac:dyDescent="0.2">
      <c r="A133" s="2"/>
      <c r="B133" s="21" t="s">
        <v>553</v>
      </c>
      <c r="AR133" s="2"/>
      <c r="AS133" s="2"/>
      <c r="AT133" s="2"/>
      <c r="AU133" s="2"/>
      <c r="AV133" s="2"/>
      <c r="AW133" s="2"/>
      <c r="AX133" s="2"/>
      <c r="AY133" s="2"/>
      <c r="AZ133" s="2"/>
      <c r="BA133" s="2"/>
      <c r="BB133" s="2"/>
      <c r="BC133" s="2"/>
      <c r="BD133" s="2"/>
      <c r="BE133" s="2"/>
      <c r="BF133" s="2"/>
      <c r="BG133" s="2"/>
    </row>
    <row r="134" spans="1:59" x14ac:dyDescent="0.2">
      <c r="A134" s="2"/>
      <c r="B134" s="2" t="s">
        <v>864</v>
      </c>
      <c r="F134" s="2" t="s">
        <v>100</v>
      </c>
      <c r="AG134" s="36"/>
      <c r="AH134" s="27">
        <v>7269254.4817024507</v>
      </c>
      <c r="AI134" s="27">
        <v>13368387.841809642</v>
      </c>
      <c r="AJ134" s="27">
        <v>20516800.905861668</v>
      </c>
      <c r="AK134" s="27">
        <v>25526205.780956302</v>
      </c>
      <c r="AL134" s="27">
        <v>28559314.727198884</v>
      </c>
      <c r="AM134" s="50"/>
      <c r="AO134" s="2" t="s">
        <v>1136</v>
      </c>
      <c r="AR134" s="2"/>
      <c r="AS134" s="2"/>
      <c r="AT134" s="2"/>
      <c r="AU134" s="2"/>
      <c r="AV134" s="2"/>
      <c r="AW134" s="2"/>
      <c r="AX134" s="2"/>
      <c r="AY134" s="2"/>
      <c r="AZ134" s="2"/>
      <c r="BA134" s="2"/>
      <c r="BB134" s="2"/>
      <c r="BC134" s="2"/>
      <c r="BD134" s="2"/>
      <c r="BE134" s="2"/>
      <c r="BF134" s="2"/>
      <c r="BG134" s="2"/>
    </row>
    <row r="135" spans="1:59" x14ac:dyDescent="0.2">
      <c r="A135" s="2"/>
      <c r="B135" s="2" t="s">
        <v>387</v>
      </c>
      <c r="F135" s="2" t="s">
        <v>100</v>
      </c>
      <c r="AG135" s="36"/>
      <c r="AH135" s="27">
        <v>235479.51240776759</v>
      </c>
      <c r="AI135" s="27">
        <v>238519.55291295188</v>
      </c>
      <c r="AJ135" s="27">
        <v>241598.84034105812</v>
      </c>
      <c r="AK135" s="27">
        <v>244717.88136986116</v>
      </c>
      <c r="AL135" s="27">
        <v>247877.18921834609</v>
      </c>
      <c r="AM135" s="50"/>
      <c r="AO135" s="2" t="s">
        <v>1137</v>
      </c>
      <c r="AR135" s="2"/>
      <c r="AS135" s="2"/>
      <c r="AT135" s="2"/>
      <c r="AU135" s="2"/>
      <c r="AV135" s="2"/>
      <c r="AW135" s="2"/>
      <c r="AX135" s="2"/>
      <c r="AY135" s="2"/>
      <c r="AZ135" s="2"/>
      <c r="BA135" s="2"/>
      <c r="BB135" s="2"/>
      <c r="BC135" s="2"/>
      <c r="BD135" s="2"/>
      <c r="BE135" s="2"/>
      <c r="BF135" s="2"/>
      <c r="BG135" s="2"/>
    </row>
    <row r="136" spans="1:59" x14ac:dyDescent="0.2">
      <c r="A136" s="2"/>
      <c r="B136" s="2" t="s">
        <v>388</v>
      </c>
      <c r="F136" s="2" t="s">
        <v>100</v>
      </c>
      <c r="AG136" s="36"/>
      <c r="AH136" s="27">
        <v>104836.33623028379</v>
      </c>
      <c r="AI136" s="27">
        <v>212379.54666203351</v>
      </c>
      <c r="AJ136" s="27">
        <v>215121.36660944039</v>
      </c>
      <c r="AK136" s="27">
        <v>217898.58345236824</v>
      </c>
      <c r="AL136" s="27">
        <v>220711.65416473831</v>
      </c>
      <c r="AM136" s="50"/>
      <c r="AO136" s="2" t="s">
        <v>1138</v>
      </c>
      <c r="AR136" s="2"/>
      <c r="AS136" s="2"/>
      <c r="AT136" s="2"/>
      <c r="AU136" s="2"/>
      <c r="AV136" s="2"/>
      <c r="AW136" s="2"/>
      <c r="AX136" s="2"/>
      <c r="AY136" s="2"/>
      <c r="AZ136" s="2"/>
      <c r="BA136" s="2"/>
      <c r="BB136" s="2"/>
      <c r="BC136" s="2"/>
      <c r="BD136" s="2"/>
      <c r="BE136" s="2"/>
      <c r="BF136" s="2"/>
      <c r="BG136" s="2"/>
    </row>
    <row r="137" spans="1:59" x14ac:dyDescent="0.2">
      <c r="A137" s="2"/>
      <c r="B137" s="2" t="s">
        <v>531</v>
      </c>
      <c r="F137" s="2" t="s">
        <v>100</v>
      </c>
      <c r="AG137" s="36"/>
      <c r="AH137" s="50"/>
      <c r="AI137" s="27">
        <v>208480.44333101675</v>
      </c>
      <c r="AJ137" s="27">
        <v>652574.07087414048</v>
      </c>
      <c r="AK137" s="27">
        <v>660998.80212912557</v>
      </c>
      <c r="AL137" s="27">
        <v>669532.29666461272</v>
      </c>
      <c r="AM137" s="50"/>
      <c r="AO137" s="2" t="s">
        <v>1139</v>
      </c>
      <c r="AR137" s="2"/>
      <c r="AS137" s="2"/>
      <c r="AT137" s="2"/>
      <c r="AU137" s="2"/>
      <c r="AV137" s="2"/>
      <c r="AW137" s="2"/>
      <c r="AX137" s="2"/>
      <c r="AY137" s="2"/>
      <c r="AZ137" s="2"/>
      <c r="BA137" s="2"/>
      <c r="BB137" s="2"/>
      <c r="BC137" s="2"/>
      <c r="BD137" s="2"/>
      <c r="BE137" s="2"/>
      <c r="BF137" s="2"/>
      <c r="BG137" s="2"/>
    </row>
    <row r="138" spans="1:59" x14ac:dyDescent="0.2">
      <c r="A138" s="2"/>
      <c r="B138" s="2" t="s">
        <v>661</v>
      </c>
      <c r="F138" s="2" t="s">
        <v>100</v>
      </c>
      <c r="AG138" s="36"/>
      <c r="AH138" s="50"/>
      <c r="AI138" s="50"/>
      <c r="AJ138" s="27">
        <v>107560.68330472019</v>
      </c>
      <c r="AK138" s="27">
        <v>217898.58345236827</v>
      </c>
      <c r="AL138" s="27">
        <v>220711.65416473837</v>
      </c>
      <c r="AM138" s="50"/>
      <c r="AO138" s="2" t="s">
        <v>1140</v>
      </c>
      <c r="AR138" s="2"/>
      <c r="AS138" s="2"/>
      <c r="AT138" s="2"/>
      <c r="AU138" s="2"/>
      <c r="AV138" s="2"/>
      <c r="AW138" s="2"/>
      <c r="AX138" s="2"/>
      <c r="AY138" s="2"/>
      <c r="AZ138" s="2"/>
      <c r="BA138" s="2"/>
      <c r="BB138" s="2"/>
      <c r="BC138" s="2"/>
      <c r="BD138" s="2"/>
      <c r="BE138" s="2"/>
      <c r="BF138" s="2"/>
      <c r="BG138" s="2"/>
    </row>
    <row r="139" spans="1:59" x14ac:dyDescent="0.2">
      <c r="A139" s="2"/>
      <c r="B139" s="2" t="s">
        <v>780</v>
      </c>
      <c r="F139" s="2" t="s">
        <v>100</v>
      </c>
      <c r="AG139" s="36"/>
      <c r="AH139" s="50"/>
      <c r="AI139" s="50"/>
      <c r="AJ139" s="50"/>
      <c r="AK139" s="27">
        <v>109177.89672618412</v>
      </c>
      <c r="AL139" s="27">
        <v>411298.44981353829</v>
      </c>
      <c r="AM139" s="50"/>
      <c r="AR139" s="2"/>
      <c r="AS139" s="2"/>
      <c r="AT139" s="2"/>
      <c r="AU139" s="2"/>
      <c r="AV139" s="2"/>
      <c r="AW139" s="2"/>
      <c r="AX139" s="2"/>
      <c r="AY139" s="2"/>
      <c r="AZ139" s="2"/>
      <c r="BA139" s="2"/>
      <c r="BB139" s="2"/>
      <c r="BC139" s="2"/>
      <c r="BD139" s="2"/>
      <c r="BE139" s="2"/>
      <c r="BF139" s="2"/>
      <c r="BG139" s="2"/>
    </row>
    <row r="140" spans="1:59" x14ac:dyDescent="0.2">
      <c r="A140" s="2"/>
    </row>
    <row r="141" spans="1:59" x14ac:dyDescent="0.2">
      <c r="A141" s="2"/>
      <c r="B141" s="21" t="s">
        <v>802</v>
      </c>
    </row>
    <row r="142" spans="1:59" x14ac:dyDescent="0.2">
      <c r="A142" s="2"/>
      <c r="B142" s="2" t="s">
        <v>666</v>
      </c>
      <c r="F142" s="2" t="s">
        <v>100</v>
      </c>
      <c r="AG142" s="36"/>
      <c r="AH142" s="27">
        <v>-3246596.989333082</v>
      </c>
      <c r="AI142" s="27">
        <v>-5091931.1231731642</v>
      </c>
      <c r="AJ142" s="27">
        <v>-7677943.0034006163</v>
      </c>
      <c r="AK142" s="27">
        <v>-8196024.80018955</v>
      </c>
      <c r="AL142" s="27">
        <v>-8141828.6849897876</v>
      </c>
      <c r="AM142" s="36"/>
      <c r="AO142" s="2" t="s">
        <v>799</v>
      </c>
    </row>
    <row r="143" spans="1:59" x14ac:dyDescent="0.2">
      <c r="A143" s="2"/>
      <c r="B143" s="2" t="s">
        <v>669</v>
      </c>
      <c r="F143" s="2" t="s">
        <v>100</v>
      </c>
      <c r="AG143" s="36"/>
      <c r="AH143" s="27">
        <v>2994171.5085677789</v>
      </c>
      <c r="AI143" s="27">
        <v>10709550.661824171</v>
      </c>
      <c r="AJ143" s="27">
        <v>23174086.500210978</v>
      </c>
      <c r="AK143" s="27">
        <v>26351830.358878668</v>
      </c>
      <c r="AL143" s="27">
        <v>26203078.977389239</v>
      </c>
      <c r="AM143" s="36"/>
      <c r="AO143" s="2" t="s">
        <v>800</v>
      </c>
    </row>
    <row r="144" spans="1:59" x14ac:dyDescent="0.2">
      <c r="A144" s="2"/>
      <c r="AR144" s="2"/>
    </row>
    <row r="145" spans="1:59" x14ac:dyDescent="0.2">
      <c r="A145" s="2"/>
      <c r="B145" s="21" t="s">
        <v>803</v>
      </c>
    </row>
    <row r="146" spans="1:59" x14ac:dyDescent="0.2">
      <c r="A146" s="2"/>
      <c r="B146" s="2" t="s">
        <v>670</v>
      </c>
      <c r="F146" s="2" t="s">
        <v>100</v>
      </c>
      <c r="AG146" s="36"/>
      <c r="AH146" s="27">
        <v>-15255773.952666286</v>
      </c>
      <c r="AI146" s="27">
        <v>-23751744.657311819</v>
      </c>
      <c r="AJ146" s="27">
        <v>-36172331.547226422</v>
      </c>
      <c r="AK146" s="27">
        <v>-38367537.628186189</v>
      </c>
      <c r="AL146" s="27">
        <v>-38179962.363220453</v>
      </c>
      <c r="AM146" s="36"/>
      <c r="AO146" s="2" t="s">
        <v>797</v>
      </c>
    </row>
    <row r="147" spans="1:59" x14ac:dyDescent="0.2">
      <c r="A147" s="2"/>
      <c r="B147" s="2" t="s">
        <v>672</v>
      </c>
      <c r="F147" s="2" t="s">
        <v>100</v>
      </c>
      <c r="AG147" s="36"/>
      <c r="AH147" s="27">
        <v>10106711.552618753</v>
      </c>
      <c r="AI147" s="27">
        <v>22130762.367486835</v>
      </c>
      <c r="AJ147" s="27">
        <v>42672480.426705092</v>
      </c>
      <c r="AK147" s="27">
        <v>48435910.325483851</v>
      </c>
      <c r="AL147" s="27">
        <v>48182331.14697139</v>
      </c>
      <c r="AM147" s="36"/>
      <c r="AO147" s="2" t="s">
        <v>798</v>
      </c>
    </row>
    <row r="148" spans="1:59" x14ac:dyDescent="0.2">
      <c r="A148" s="2"/>
      <c r="AR148" s="2"/>
      <c r="AS148" s="2"/>
      <c r="AT148" s="2"/>
      <c r="AU148" s="2"/>
      <c r="AV148" s="2"/>
      <c r="AW148" s="2"/>
      <c r="AX148" s="2"/>
      <c r="AY148" s="2"/>
      <c r="AZ148" s="2"/>
      <c r="BA148" s="2"/>
      <c r="BB148" s="2"/>
      <c r="BC148" s="2"/>
      <c r="BD148" s="2"/>
      <c r="BE148" s="2"/>
      <c r="BF148" s="2"/>
      <c r="BG148" s="2"/>
    </row>
    <row r="149" spans="1:59" x14ac:dyDescent="0.2">
      <c r="A149" s="2"/>
      <c r="B149" s="21" t="s">
        <v>804</v>
      </c>
    </row>
    <row r="150" spans="1:59" x14ac:dyDescent="0.2">
      <c r="A150" s="2"/>
      <c r="B150" s="2" t="s">
        <v>675</v>
      </c>
      <c r="F150" s="2" t="s">
        <v>100</v>
      </c>
      <c r="AG150" s="36"/>
      <c r="AH150" s="27">
        <v>220800.43000885472</v>
      </c>
      <c r="AI150" s="27">
        <v>1818983.0190578904</v>
      </c>
      <c r="AJ150" s="27">
        <v>4177680.1314340867</v>
      </c>
      <c r="AK150" s="27">
        <v>4132524.1587690115</v>
      </c>
      <c r="AL150" s="27">
        <v>4085915.8876663074</v>
      </c>
      <c r="AM150" s="36"/>
      <c r="AO150" s="2" t="s">
        <v>801</v>
      </c>
    </row>
    <row r="151" spans="1:59" x14ac:dyDescent="0.2">
      <c r="A151" s="2"/>
    </row>
    <row r="152" spans="1:59" x14ac:dyDescent="0.2">
      <c r="A152" s="2"/>
      <c r="B152" s="21" t="s">
        <v>455</v>
      </c>
    </row>
    <row r="153" spans="1:59" x14ac:dyDescent="0.2">
      <c r="A153" s="2"/>
      <c r="B153" s="2" t="s">
        <v>534</v>
      </c>
      <c r="F153" s="2" t="s">
        <v>100</v>
      </c>
      <c r="AG153" s="36"/>
      <c r="AH153" s="27">
        <v>26011952</v>
      </c>
      <c r="AI153" s="27">
        <v>18893772</v>
      </c>
      <c r="AJ153" s="27">
        <v>-17831717</v>
      </c>
      <c r="AK153" s="27">
        <v>-5413855</v>
      </c>
      <c r="AL153" s="36"/>
      <c r="AM153" s="36"/>
      <c r="AO153" s="2" t="s">
        <v>983</v>
      </c>
    </row>
    <row r="154" spans="1:59" x14ac:dyDescent="0.2">
      <c r="A154" s="2"/>
      <c r="B154" s="2" t="s">
        <v>535</v>
      </c>
      <c r="F154" s="2" t="s">
        <v>100</v>
      </c>
      <c r="AG154" s="36"/>
      <c r="AH154" s="27">
        <v>583601.48717948713</v>
      </c>
      <c r="AI154" s="27">
        <v>1009463.8295384614</v>
      </c>
      <c r="AJ154" s="27">
        <v>1018549.0040043074</v>
      </c>
      <c r="AK154" s="27">
        <v>1027715.945040346</v>
      </c>
      <c r="AL154" s="27">
        <v>1036965.388545709</v>
      </c>
      <c r="AM154" s="36"/>
      <c r="AO154" s="2" t="s">
        <v>984</v>
      </c>
    </row>
    <row r="155" spans="1:59" x14ac:dyDescent="0.2">
      <c r="A155" s="2"/>
      <c r="B155" s="2" t="s">
        <v>536</v>
      </c>
      <c r="F155" s="2" t="s">
        <v>100</v>
      </c>
      <c r="AG155" s="36"/>
      <c r="AH155" s="36"/>
      <c r="AI155" s="27">
        <v>440854.68</v>
      </c>
      <c r="AJ155" s="27">
        <v>762552.63791999989</v>
      </c>
      <c r="AK155" s="27">
        <v>769415.61166127981</v>
      </c>
      <c r="AL155" s="27">
        <v>776340.35216623126</v>
      </c>
      <c r="AM155" s="36"/>
      <c r="AO155" s="2" t="s">
        <v>985</v>
      </c>
    </row>
    <row r="156" spans="1:59" x14ac:dyDescent="0.2">
      <c r="A156" s="2"/>
      <c r="B156" s="2" t="s">
        <v>665</v>
      </c>
      <c r="F156" s="2" t="s">
        <v>100</v>
      </c>
      <c r="AG156" s="36"/>
      <c r="AH156" s="36"/>
      <c r="AI156" s="36"/>
      <c r="AJ156" s="27">
        <v>-433409.7881944445</v>
      </c>
      <c r="AK156" s="27">
        <v>-749675.10220833332</v>
      </c>
      <c r="AL156" s="27">
        <v>-756422.17812820827</v>
      </c>
      <c r="AM156" s="36"/>
      <c r="AO156" s="2" t="s">
        <v>986</v>
      </c>
    </row>
    <row r="157" spans="1:59" x14ac:dyDescent="0.2">
      <c r="A157" s="2"/>
      <c r="B157" s="2" t="s">
        <v>783</v>
      </c>
      <c r="F157" s="2" t="s">
        <v>100</v>
      </c>
      <c r="AG157" s="36"/>
      <c r="AH157" s="36"/>
      <c r="AI157" s="36"/>
      <c r="AJ157" s="36"/>
      <c r="AK157" s="27">
        <v>-137307.91666666666</v>
      </c>
      <c r="AL157" s="27">
        <v>-237503.46499999997</v>
      </c>
      <c r="AM157" s="36"/>
      <c r="AO157" s="2" t="s">
        <v>987</v>
      </c>
    </row>
    <row r="159" spans="1:59" x14ac:dyDescent="0.2">
      <c r="B159" s="21" t="s">
        <v>537</v>
      </c>
    </row>
    <row r="160" spans="1:59" x14ac:dyDescent="0.2">
      <c r="B160" s="2" t="s">
        <v>784</v>
      </c>
      <c r="F160" s="2" t="s">
        <v>100</v>
      </c>
      <c r="AG160" s="36"/>
      <c r="AH160" s="27">
        <v>1143025.1984615384</v>
      </c>
      <c r="AI160" s="27">
        <v>2398533.0110122049</v>
      </c>
      <c r="AJ160" s="27">
        <v>2004039.0721177561</v>
      </c>
      <c r="AK160" s="27">
        <v>1681429.4735753578</v>
      </c>
      <c r="AL160" s="27">
        <v>1668026.4826477752</v>
      </c>
      <c r="AM160" s="36"/>
      <c r="AO160" s="2" t="s">
        <v>805</v>
      </c>
    </row>
    <row r="161" spans="1:41" x14ac:dyDescent="0.2">
      <c r="B161" s="21"/>
    </row>
    <row r="162" spans="1:41" s="7" customFormat="1" x14ac:dyDescent="0.2">
      <c r="B162" s="7" t="s">
        <v>554</v>
      </c>
    </row>
    <row r="163" spans="1:41" x14ac:dyDescent="0.2">
      <c r="A163" s="2"/>
    </row>
    <row r="164" spans="1:41" x14ac:dyDescent="0.2">
      <c r="A164" s="2"/>
      <c r="B164" s="21" t="s">
        <v>306</v>
      </c>
    </row>
    <row r="165" spans="1:41" x14ac:dyDescent="0.2">
      <c r="A165" s="2"/>
      <c r="B165" s="2" t="s">
        <v>307</v>
      </c>
      <c r="F165" s="2" t="s">
        <v>100</v>
      </c>
      <c r="AG165" s="36"/>
      <c r="AH165" s="27">
        <v>130096424.85830367</v>
      </c>
      <c r="AI165" s="27">
        <v>127275794.97377396</v>
      </c>
      <c r="AJ165" s="27">
        <v>132394116.17682648</v>
      </c>
      <c r="AK165" s="27">
        <v>130344951.28677697</v>
      </c>
      <c r="AL165" s="27">
        <v>80916547.634960175</v>
      </c>
      <c r="AM165" s="50"/>
      <c r="AO165" s="2" t="s">
        <v>542</v>
      </c>
    </row>
    <row r="166" spans="1:41" x14ac:dyDescent="0.2">
      <c r="A166" s="2"/>
      <c r="B166" s="2" t="s">
        <v>309</v>
      </c>
      <c r="F166" s="2" t="s">
        <v>100</v>
      </c>
      <c r="AG166" s="36"/>
      <c r="AH166" s="27">
        <v>3747209.3067319402</v>
      </c>
      <c r="AI166" s="27">
        <v>3795585.7788818474</v>
      </c>
      <c r="AJ166" s="27">
        <v>3844586.7912872289</v>
      </c>
      <c r="AK166" s="27">
        <v>3894220.4067627741</v>
      </c>
      <c r="AL166" s="27">
        <v>3944494.792214077</v>
      </c>
      <c r="AM166" s="50"/>
      <c r="AO166" s="2" t="s">
        <v>543</v>
      </c>
    </row>
    <row r="167" spans="1:41" x14ac:dyDescent="0.2">
      <c r="A167" s="2"/>
    </row>
    <row r="168" spans="1:41" x14ac:dyDescent="0.2">
      <c r="A168" s="2"/>
      <c r="B168" s="2" t="s">
        <v>308</v>
      </c>
      <c r="F168" s="2" t="s">
        <v>100</v>
      </c>
      <c r="AG168" s="36"/>
      <c r="AH168" s="27">
        <v>14941354.730572596</v>
      </c>
      <c r="AI168" s="27">
        <v>14491229.909132661</v>
      </c>
      <c r="AJ168" s="27">
        <v>15878464.320671745</v>
      </c>
      <c r="AK168" s="27">
        <v>15610570.819187013</v>
      </c>
      <c r="AL168" s="27">
        <v>13597341.662307024</v>
      </c>
      <c r="AM168" s="50"/>
      <c r="AO168" s="2" t="s">
        <v>544</v>
      </c>
    </row>
    <row r="169" spans="1:41" x14ac:dyDescent="0.2">
      <c r="A169" s="2"/>
      <c r="B169" s="2" t="s">
        <v>314</v>
      </c>
      <c r="F169" s="2" t="s">
        <v>100</v>
      </c>
      <c r="AG169" s="36"/>
      <c r="AH169" s="27">
        <v>14599589.943444706</v>
      </c>
      <c r="AI169" s="27">
        <v>14275013.401053913</v>
      </c>
      <c r="AJ169" s="27">
        <v>15127323.646031445</v>
      </c>
      <c r="AK169" s="27">
        <v>14081070.880130926</v>
      </c>
      <c r="AL169" s="27">
        <v>14001460.633202594</v>
      </c>
      <c r="AM169" s="50"/>
      <c r="AO169" s="2" t="s">
        <v>545</v>
      </c>
    </row>
    <row r="170" spans="1:41" x14ac:dyDescent="0.2">
      <c r="A170" s="2"/>
      <c r="B170" s="2" t="s">
        <v>310</v>
      </c>
      <c r="F170" s="2" t="s">
        <v>100</v>
      </c>
      <c r="AG170" s="36"/>
      <c r="AH170" s="27">
        <v>722098.66839066311</v>
      </c>
      <c r="AI170" s="27">
        <v>731420.96219958866</v>
      </c>
      <c r="AJ170" s="27">
        <v>740863.60682158277</v>
      </c>
      <c r="AK170" s="27">
        <v>750428.15598565165</v>
      </c>
      <c r="AL170" s="27">
        <v>760116.18347942841</v>
      </c>
      <c r="AM170" s="50"/>
      <c r="AO170" s="2" t="s">
        <v>546</v>
      </c>
    </row>
    <row r="171" spans="1:41" x14ac:dyDescent="0.2">
      <c r="A171" s="2"/>
      <c r="B171" s="2" t="s">
        <v>443</v>
      </c>
      <c r="F171" s="2" t="s">
        <v>100</v>
      </c>
      <c r="AG171" s="36"/>
      <c r="AH171" s="27">
        <v>7623760.6926725404</v>
      </c>
      <c r="AI171" s="27">
        <v>7722183.4432149418</v>
      </c>
      <c r="AJ171" s="27">
        <v>7821876.831466848</v>
      </c>
      <c r="AK171" s="27">
        <v>7922857.2613610839</v>
      </c>
      <c r="AL171" s="27">
        <v>8025141.3486052575</v>
      </c>
      <c r="AM171" s="50"/>
      <c r="AO171" s="2" t="s">
        <v>547</v>
      </c>
    </row>
    <row r="172" spans="1:41" x14ac:dyDescent="0.2">
      <c r="A172" s="2"/>
    </row>
    <row r="173" spans="1:41" x14ac:dyDescent="0.2">
      <c r="A173" s="2"/>
      <c r="B173" s="21" t="s">
        <v>311</v>
      </c>
    </row>
    <row r="174" spans="1:41" x14ac:dyDescent="0.2">
      <c r="A174" s="2"/>
      <c r="B174" s="2" t="s">
        <v>312</v>
      </c>
      <c r="F174" s="2" t="s">
        <v>100</v>
      </c>
      <c r="AG174" s="36"/>
      <c r="AH174" s="27">
        <v>151853273.96324196</v>
      </c>
      <c r="AI174" s="27">
        <v>148335116.20805213</v>
      </c>
      <c r="AJ174" s="27">
        <v>150541550.67350081</v>
      </c>
      <c r="AK174" s="27">
        <v>132776178.61797217</v>
      </c>
      <c r="AL174" s="27">
        <v>124187907.68161741</v>
      </c>
      <c r="AM174" s="50"/>
      <c r="AO174" s="2" t="s">
        <v>548</v>
      </c>
    </row>
    <row r="175" spans="1:41" x14ac:dyDescent="0.2">
      <c r="A175" s="2"/>
      <c r="B175" s="2" t="s">
        <v>309</v>
      </c>
      <c r="F175" s="2" t="s">
        <v>100</v>
      </c>
      <c r="AG175" s="36"/>
      <c r="AH175" s="27">
        <v>3553684.1511291475</v>
      </c>
      <c r="AI175" s="27">
        <v>3599562.2135202391</v>
      </c>
      <c r="AJ175" s="27">
        <v>3521692.4390854407</v>
      </c>
      <c r="AK175" s="27">
        <v>3438682.4556371868</v>
      </c>
      <c r="AL175" s="27">
        <v>3483075.8461394878</v>
      </c>
      <c r="AM175" s="50"/>
      <c r="AO175" s="2" t="s">
        <v>549</v>
      </c>
    </row>
    <row r="176" spans="1:41" x14ac:dyDescent="0.2">
      <c r="A176" s="2"/>
    </row>
    <row r="177" spans="1:41" x14ac:dyDescent="0.2">
      <c r="A177" s="2"/>
      <c r="B177" s="2" t="s">
        <v>313</v>
      </c>
      <c r="F177" s="2" t="s">
        <v>100</v>
      </c>
      <c r="AG177" s="36"/>
      <c r="AH177" s="27">
        <v>16638342.748567261</v>
      </c>
      <c r="AI177" s="27">
        <v>15976504.403330002</v>
      </c>
      <c r="AJ177" s="27">
        <v>16461767.817324352</v>
      </c>
      <c r="AK177" s="27">
        <v>14837936.09731685</v>
      </c>
      <c r="AL177" s="27">
        <v>12817611.984455217</v>
      </c>
      <c r="AM177" s="50"/>
      <c r="AO177" s="2" t="s">
        <v>550</v>
      </c>
    </row>
    <row r="178" spans="1:41" x14ac:dyDescent="0.2">
      <c r="A178" s="2"/>
      <c r="B178" s="2" t="s">
        <v>310</v>
      </c>
      <c r="F178" s="2" t="s">
        <v>100</v>
      </c>
      <c r="AG178" s="36"/>
      <c r="AH178" s="27">
        <v>530428.99353333469</v>
      </c>
      <c r="AI178" s="27">
        <v>537276.83183985064</v>
      </c>
      <c r="AJ178" s="27">
        <v>537685.09081829363</v>
      </c>
      <c r="AK178" s="27">
        <v>537881.53336060641</v>
      </c>
      <c r="AL178" s="27">
        <v>544825.58395629306</v>
      </c>
      <c r="AM178" s="50"/>
      <c r="AO178" s="2" t="s">
        <v>551</v>
      </c>
    </row>
    <row r="179" spans="1:41" x14ac:dyDescent="0.2">
      <c r="A179" s="2"/>
      <c r="B179" s="21"/>
    </row>
    <row r="180" spans="1:41" x14ac:dyDescent="0.2">
      <c r="A180" s="2"/>
      <c r="B180" s="21" t="s">
        <v>327</v>
      </c>
    </row>
    <row r="181" spans="1:41" x14ac:dyDescent="0.2">
      <c r="A181" s="2"/>
      <c r="B181" s="2" t="s">
        <v>789</v>
      </c>
      <c r="F181" s="2" t="s">
        <v>100</v>
      </c>
      <c r="AG181" s="36"/>
      <c r="AH181" s="27">
        <v>129690245.3296269</v>
      </c>
      <c r="AI181" s="27">
        <v>126879490.10912852</v>
      </c>
      <c r="AJ181" s="27">
        <v>131954353.53005931</v>
      </c>
      <c r="AK181" s="27">
        <v>129906646.23087665</v>
      </c>
      <c r="AL181" s="27">
        <v>80479883.343995303</v>
      </c>
      <c r="AM181" s="50"/>
      <c r="AO181" s="2" t="s">
        <v>988</v>
      </c>
    </row>
    <row r="182" spans="1:41" x14ac:dyDescent="0.2">
      <c r="A182" s="2"/>
      <c r="B182" s="2" t="s">
        <v>790</v>
      </c>
      <c r="F182" s="2" t="s">
        <v>100</v>
      </c>
      <c r="AG182" s="36"/>
      <c r="AH182" s="27">
        <v>3699863.7755172513</v>
      </c>
      <c r="AI182" s="27">
        <v>3747629.0168591873</v>
      </c>
      <c r="AJ182" s="27">
        <v>3796010.9074668367</v>
      </c>
      <c r="AK182" s="27">
        <v>3845017.4082822604</v>
      </c>
      <c r="AL182" s="27">
        <v>3894656.5830232096</v>
      </c>
      <c r="AM182" s="50"/>
      <c r="AO182" s="2" t="s">
        <v>989</v>
      </c>
    </row>
    <row r="183" spans="1:41" x14ac:dyDescent="0.2">
      <c r="A183" s="2"/>
    </row>
    <row r="184" spans="1:41" x14ac:dyDescent="0.2">
      <c r="A184" s="2"/>
      <c r="B184" s="2" t="s">
        <v>791</v>
      </c>
      <c r="F184" s="2" t="s">
        <v>100</v>
      </c>
      <c r="AG184" s="36"/>
      <c r="AH184" s="27">
        <v>15103302.16178361</v>
      </c>
      <c r="AI184" s="27">
        <v>14648641.853760596</v>
      </c>
      <c r="AJ184" s="27">
        <v>16061003.572326841</v>
      </c>
      <c r="AK184" s="27">
        <v>15793507.516121436</v>
      </c>
      <c r="AL184" s="27">
        <v>13780668.17285642</v>
      </c>
      <c r="AM184" s="50"/>
      <c r="AO184" s="2" t="s">
        <v>990</v>
      </c>
    </row>
    <row r="185" spans="1:41" x14ac:dyDescent="0.2">
      <c r="A185" s="2"/>
      <c r="B185" s="2" t="s">
        <v>792</v>
      </c>
      <c r="F185" s="2" t="s">
        <v>100</v>
      </c>
      <c r="AG185" s="36"/>
      <c r="AH185" s="27">
        <v>14453057.158458117</v>
      </c>
      <c r="AI185" s="27">
        <v>14131385.238467269</v>
      </c>
      <c r="AJ185" s="27">
        <v>14990441.0744491</v>
      </c>
      <c r="AK185" s="27">
        <v>13987432.90011636</v>
      </c>
      <c r="AL185" s="27">
        <v>13908340.045152664</v>
      </c>
      <c r="AM185" s="50"/>
      <c r="AO185" s="2" t="s">
        <v>991</v>
      </c>
    </row>
    <row r="186" spans="1:41" x14ac:dyDescent="0.2">
      <c r="A186" s="2"/>
      <c r="B186" s="2" t="s">
        <v>793</v>
      </c>
      <c r="F186" s="2" t="s">
        <v>100</v>
      </c>
      <c r="AG186" s="36"/>
      <c r="AH186" s="27">
        <v>747105.95510706434</v>
      </c>
      <c r="AI186" s="27">
        <v>756751.09298749792</v>
      </c>
      <c r="AJ186" s="27">
        <v>766520.74959796353</v>
      </c>
      <c r="AK186" s="27">
        <v>776416.53247527615</v>
      </c>
      <c r="AL186" s="27">
        <v>786440.0699095329</v>
      </c>
      <c r="AM186" s="50"/>
      <c r="AO186" s="2" t="s">
        <v>688</v>
      </c>
    </row>
    <row r="187" spans="1:41" x14ac:dyDescent="0.2">
      <c r="A187" s="2"/>
      <c r="B187" s="2" t="s">
        <v>794</v>
      </c>
      <c r="F187" s="2" t="s">
        <v>100</v>
      </c>
      <c r="AG187" s="36"/>
      <c r="AH187" s="27">
        <v>7563385.1799570126</v>
      </c>
      <c r="AI187" s="27">
        <v>7661028.4826302566</v>
      </c>
      <c r="AJ187" s="27">
        <v>7759932.3603410143</v>
      </c>
      <c r="AK187" s="27">
        <v>7860113.0871130163</v>
      </c>
      <c r="AL187" s="27">
        <v>7961587.1470676465</v>
      </c>
      <c r="AM187" s="50"/>
      <c r="AO187" s="2" t="s">
        <v>712</v>
      </c>
    </row>
    <row r="188" spans="1:41" x14ac:dyDescent="0.2">
      <c r="A188" s="2"/>
    </row>
    <row r="189" spans="1:41" x14ac:dyDescent="0.2">
      <c r="A189" s="2"/>
      <c r="B189" s="21" t="s">
        <v>328</v>
      </c>
    </row>
    <row r="190" spans="1:41" x14ac:dyDescent="0.2">
      <c r="A190" s="2"/>
      <c r="B190" s="2" t="s">
        <v>795</v>
      </c>
      <c r="F190" s="2" t="s">
        <v>100</v>
      </c>
      <c r="AG190" s="36"/>
      <c r="AH190" s="27">
        <v>151754106.4622221</v>
      </c>
      <c r="AI190" s="27">
        <v>148238519.87218788</v>
      </c>
      <c r="AJ190" s="27">
        <v>150432254.64648551</v>
      </c>
      <c r="AK190" s="27">
        <v>132666976.30231483</v>
      </c>
      <c r="AL190" s="27">
        <v>124078809.61710066</v>
      </c>
      <c r="AM190" s="50"/>
      <c r="AO190" s="2" t="s">
        <v>713</v>
      </c>
    </row>
    <row r="191" spans="1:41" x14ac:dyDescent="0.2">
      <c r="A191" s="2"/>
      <c r="B191" s="2" t="s">
        <v>790</v>
      </c>
      <c r="F191" s="2" t="s">
        <v>100</v>
      </c>
      <c r="AG191" s="36"/>
      <c r="AH191" s="27">
        <v>3553684.1511291475</v>
      </c>
      <c r="AI191" s="27">
        <v>3599562.2135202438</v>
      </c>
      <c r="AJ191" s="27">
        <v>3521692.4390854407</v>
      </c>
      <c r="AK191" s="27">
        <v>3438682.4556371821</v>
      </c>
      <c r="AL191" s="27">
        <v>3483075.8461394878</v>
      </c>
      <c r="AM191" s="50"/>
      <c r="AO191" s="2" t="s">
        <v>992</v>
      </c>
    </row>
    <row r="192" spans="1:41" x14ac:dyDescent="0.2">
      <c r="A192" s="2"/>
    </row>
    <row r="193" spans="1:59" x14ac:dyDescent="0.2">
      <c r="A193" s="2"/>
      <c r="B193" s="2" t="s">
        <v>796</v>
      </c>
      <c r="F193" s="2" t="s">
        <v>100</v>
      </c>
      <c r="AG193" s="36"/>
      <c r="AH193" s="27">
        <v>16856800.863147549</v>
      </c>
      <c r="AI193" s="27">
        <v>16189987.801398404</v>
      </c>
      <c r="AJ193" s="27">
        <v>16694241.232195009</v>
      </c>
      <c r="AK193" s="27">
        <v>15069075.670199942</v>
      </c>
      <c r="AL193" s="27">
        <v>13047374.875848364</v>
      </c>
      <c r="AM193" s="50"/>
      <c r="AO193" s="2" t="s">
        <v>993</v>
      </c>
    </row>
    <row r="194" spans="1:59" x14ac:dyDescent="0.2">
      <c r="A194" s="2"/>
      <c r="B194" s="2" t="s">
        <v>793</v>
      </c>
      <c r="F194" s="2" t="s">
        <v>100</v>
      </c>
      <c r="AG194" s="36"/>
      <c r="AH194" s="27">
        <v>530428.99353333469</v>
      </c>
      <c r="AI194" s="27">
        <v>537276.83183985006</v>
      </c>
      <c r="AJ194" s="27">
        <v>537685.09081829421</v>
      </c>
      <c r="AK194" s="27">
        <v>1317135.6082668228</v>
      </c>
      <c r="AL194" s="27">
        <v>1334139.8289695482</v>
      </c>
      <c r="AM194" s="50"/>
      <c r="AO194" s="2" t="s">
        <v>994</v>
      </c>
    </row>
    <row r="195" spans="1:59" x14ac:dyDescent="0.2">
      <c r="A195" s="2"/>
    </row>
    <row r="196" spans="1:59" x14ac:dyDescent="0.2">
      <c r="A196" s="2"/>
      <c r="B196" s="21" t="s">
        <v>555</v>
      </c>
    </row>
    <row r="197" spans="1:59" x14ac:dyDescent="0.2">
      <c r="A197" s="2"/>
      <c r="B197" s="2" t="s">
        <v>806</v>
      </c>
      <c r="F197" s="2" t="s">
        <v>100</v>
      </c>
      <c r="AG197" s="36"/>
      <c r="AH197" s="27">
        <v>-509211.95628190041</v>
      </c>
      <c r="AI197" s="27">
        <v>-501427.80824404955</v>
      </c>
      <c r="AJ197" s="27">
        <v>-516299.61912545562</v>
      </c>
      <c r="AK197" s="27">
        <v>-472094.43417552114</v>
      </c>
      <c r="AL197" s="36"/>
      <c r="AM197" s="36"/>
      <c r="AO197" s="2" t="s">
        <v>810</v>
      </c>
    </row>
    <row r="198" spans="1:59" x14ac:dyDescent="0.2">
      <c r="A198" s="2"/>
      <c r="B198" s="2" t="s">
        <v>808</v>
      </c>
      <c r="F198" s="2" t="s">
        <v>100</v>
      </c>
      <c r="AG198" s="36"/>
      <c r="AH198" s="27">
        <v>35733.316615746007</v>
      </c>
      <c r="AI198" s="27">
        <v>35125.133820467861</v>
      </c>
      <c r="AJ198" s="27">
        <v>37330.440261192154</v>
      </c>
      <c r="AK198" s="27">
        <v>37129.298956100014</v>
      </c>
      <c r="AL198" s="27">
        <v>-433526.8927637788</v>
      </c>
      <c r="AM198" s="36"/>
      <c r="AO198" s="2" t="s">
        <v>812</v>
      </c>
    </row>
    <row r="199" spans="1:59" x14ac:dyDescent="0.2">
      <c r="A199" s="2"/>
      <c r="B199" s="2" t="s">
        <v>807</v>
      </c>
      <c r="F199" s="2" t="s">
        <v>100</v>
      </c>
      <c r="AG199" s="36"/>
      <c r="AH199" s="27">
        <v>119290.61356043816</v>
      </c>
      <c r="AI199" s="27">
        <v>116887.06220418215</v>
      </c>
      <c r="AJ199" s="27">
        <v>123177.38785538077</v>
      </c>
      <c r="AK199" s="27">
        <v>121937.25722572207</v>
      </c>
      <c r="AL199" s="36"/>
      <c r="AM199" s="36"/>
      <c r="AO199" s="2" t="s">
        <v>811</v>
      </c>
      <c r="AR199" s="2"/>
      <c r="AS199" s="2"/>
      <c r="AT199" s="2"/>
      <c r="AU199" s="2"/>
      <c r="AV199" s="2"/>
      <c r="AW199" s="2"/>
      <c r="AX199" s="2"/>
      <c r="AY199" s="2"/>
      <c r="AZ199" s="2"/>
      <c r="BA199" s="2"/>
      <c r="BB199" s="2"/>
      <c r="BC199" s="2"/>
      <c r="BD199" s="2"/>
      <c r="BE199" s="2"/>
      <c r="BF199" s="2"/>
      <c r="BG199" s="2"/>
    </row>
    <row r="200" spans="1:59" x14ac:dyDescent="0.2">
      <c r="A200" s="2"/>
      <c r="B200" s="2" t="s">
        <v>809</v>
      </c>
      <c r="F200" s="2" t="s">
        <v>100</v>
      </c>
      <c r="AG200" s="36"/>
      <c r="AH200" s="27">
        <v>-1.4901161193847656E-8</v>
      </c>
      <c r="AI200" s="27">
        <v>-2.1420419216156006E-8</v>
      </c>
      <c r="AJ200" s="27">
        <v>-2.2351741790771484E-8</v>
      </c>
      <c r="AK200" s="27">
        <v>3.2596290111541748E-8</v>
      </c>
      <c r="AL200" s="27">
        <v>120664.82687639445</v>
      </c>
      <c r="AM200" s="36"/>
      <c r="AO200" s="2" t="s">
        <v>813</v>
      </c>
      <c r="AR200" s="2"/>
      <c r="AS200" s="2"/>
      <c r="AT200" s="2"/>
      <c r="AU200" s="2"/>
      <c r="AV200" s="2"/>
      <c r="AW200" s="2"/>
      <c r="AX200" s="2"/>
      <c r="AY200" s="2"/>
      <c r="AZ200" s="2"/>
      <c r="BA200" s="2"/>
      <c r="BB200" s="2"/>
      <c r="BC200" s="2"/>
      <c r="BD200" s="2"/>
      <c r="BE200" s="2"/>
      <c r="BF200" s="2"/>
      <c r="BG200" s="2"/>
    </row>
    <row r="201" spans="1:59" x14ac:dyDescent="0.2">
      <c r="A201" s="2"/>
    </row>
    <row r="202" spans="1:59" s="7" customFormat="1" x14ac:dyDescent="0.2">
      <c r="B202" s="7" t="s">
        <v>556</v>
      </c>
    </row>
    <row r="203" spans="1:59" x14ac:dyDescent="0.2">
      <c r="A203" s="2"/>
    </row>
    <row r="204" spans="1:59" x14ac:dyDescent="0.2">
      <c r="A204" s="2"/>
      <c r="B204" s="21" t="s">
        <v>624</v>
      </c>
    </row>
    <row r="205" spans="1:59" x14ac:dyDescent="0.2">
      <c r="A205" s="2"/>
      <c r="B205" s="2" t="s">
        <v>395</v>
      </c>
      <c r="F205" s="2" t="s">
        <v>100</v>
      </c>
      <c r="AG205" s="36"/>
      <c r="AH205" s="36"/>
      <c r="AI205" s="36"/>
      <c r="AJ205" s="36"/>
      <c r="AK205" s="27">
        <v>1348809648.6909215</v>
      </c>
      <c r="AL205" s="36"/>
      <c r="AM205" s="36"/>
      <c r="AO205" s="2" t="s">
        <v>995</v>
      </c>
    </row>
    <row r="206" spans="1:59" x14ac:dyDescent="0.2">
      <c r="A206" s="2"/>
      <c r="B206" s="2" t="s">
        <v>396</v>
      </c>
      <c r="F206" s="2" t="s">
        <v>100</v>
      </c>
      <c r="AG206" s="36"/>
      <c r="AH206" s="36"/>
      <c r="AI206" s="36"/>
      <c r="AJ206" s="36"/>
      <c r="AK206" s="27">
        <v>308673487.88696575</v>
      </c>
      <c r="AL206" s="36"/>
      <c r="AM206" s="36"/>
      <c r="AO206" s="2" t="s">
        <v>996</v>
      </c>
    </row>
    <row r="207" spans="1:59" x14ac:dyDescent="0.2">
      <c r="A207" s="2"/>
      <c r="B207" s="2" t="s">
        <v>397</v>
      </c>
      <c r="F207" s="2" t="s">
        <v>100</v>
      </c>
      <c r="AG207" s="36"/>
      <c r="AH207" s="36"/>
      <c r="AI207" s="36"/>
      <c r="AJ207" s="36"/>
      <c r="AK207" s="27">
        <v>215361234.10510498</v>
      </c>
      <c r="AL207" s="36"/>
      <c r="AM207" s="36"/>
      <c r="AO207" s="2" t="s">
        <v>1026</v>
      </c>
    </row>
    <row r="208" spans="1:59" x14ac:dyDescent="0.2">
      <c r="A208" s="2"/>
      <c r="B208" s="2" t="s">
        <v>398</v>
      </c>
      <c r="F208" s="2" t="s">
        <v>100</v>
      </c>
      <c r="AG208" s="36"/>
      <c r="AH208" s="36"/>
      <c r="AI208" s="36"/>
      <c r="AJ208" s="36"/>
      <c r="AK208" s="27">
        <v>25068271.807678536</v>
      </c>
      <c r="AL208" s="36"/>
      <c r="AM208" s="36"/>
      <c r="AO208" s="2" t="s">
        <v>1027</v>
      </c>
    </row>
    <row r="209" spans="1:41" x14ac:dyDescent="0.2">
      <c r="A209" s="2"/>
      <c r="B209" s="2" t="s">
        <v>399</v>
      </c>
      <c r="F209" s="2" t="s">
        <v>100</v>
      </c>
      <c r="AG209" s="36"/>
      <c r="AH209" s="36"/>
      <c r="AI209" s="36"/>
      <c r="AJ209" s="36"/>
      <c r="AK209" s="27">
        <v>6450902.9090601606</v>
      </c>
      <c r="AL209" s="36"/>
      <c r="AM209" s="36"/>
      <c r="AO209" s="2" t="s">
        <v>1028</v>
      </c>
    </row>
    <row r="210" spans="1:41" customFormat="1" x14ac:dyDescent="0.2">
      <c r="A210" s="2"/>
      <c r="B210" s="2" t="s">
        <v>400</v>
      </c>
      <c r="C210" s="2"/>
      <c r="D210" s="2"/>
      <c r="E210" s="2"/>
      <c r="F210" s="2" t="s">
        <v>100</v>
      </c>
      <c r="AG210" s="36"/>
      <c r="AH210" s="36"/>
      <c r="AI210" s="36"/>
      <c r="AJ210" s="36"/>
      <c r="AK210" s="27">
        <v>740873682.23114622</v>
      </c>
      <c r="AL210" s="36"/>
      <c r="AM210" s="36"/>
      <c r="AO210" s="2" t="s">
        <v>1029</v>
      </c>
    </row>
    <row r="211" spans="1:41" x14ac:dyDescent="0.2">
      <c r="A211" s="2"/>
      <c r="B211"/>
      <c r="C211"/>
      <c r="D211"/>
      <c r="E211"/>
      <c r="F211"/>
      <c r="AG211"/>
      <c r="AH211"/>
      <c r="AI211"/>
      <c r="AJ211"/>
      <c r="AK211"/>
      <c r="AL211"/>
      <c r="AM211"/>
    </row>
    <row r="212" spans="1:41" x14ac:dyDescent="0.2">
      <c r="A212" s="2"/>
      <c r="B212" s="21" t="s">
        <v>625</v>
      </c>
    </row>
    <row r="213" spans="1:41" x14ac:dyDescent="0.2">
      <c r="A213" s="2"/>
      <c r="B213" s="2" t="s">
        <v>401</v>
      </c>
      <c r="F213" s="2" t="s">
        <v>100</v>
      </c>
      <c r="AG213" s="36"/>
      <c r="AH213" s="36"/>
      <c r="AI213" s="36"/>
      <c r="AJ213" s="36"/>
      <c r="AK213" s="27">
        <v>1567503589.4551563</v>
      </c>
      <c r="AL213" s="36"/>
      <c r="AM213" s="36"/>
      <c r="AO213" s="2" t="s">
        <v>1030</v>
      </c>
    </row>
    <row r="214" spans="1:41" x14ac:dyDescent="0.2">
      <c r="A214" s="2"/>
      <c r="B214" s="2" t="s">
        <v>402</v>
      </c>
      <c r="F214" s="2" t="s">
        <v>100</v>
      </c>
      <c r="AG214" s="36"/>
      <c r="AH214" s="36"/>
      <c r="AI214" s="36"/>
      <c r="AJ214" s="36"/>
      <c r="AK214" s="27">
        <v>203065815.31033787</v>
      </c>
      <c r="AL214" s="36"/>
      <c r="AM214" s="36"/>
      <c r="AO214" s="2" t="s">
        <v>1031</v>
      </c>
    </row>
    <row r="215" spans="1:41" x14ac:dyDescent="0.2">
      <c r="A215" s="2"/>
      <c r="B215" s="2" t="s">
        <v>403</v>
      </c>
      <c r="F215" s="2" t="s">
        <v>100</v>
      </c>
      <c r="AG215" s="36"/>
      <c r="AH215" s="36"/>
      <c r="AI215" s="36"/>
      <c r="AJ215" s="36"/>
      <c r="AK215" s="27">
        <v>22770440.355718747</v>
      </c>
      <c r="AL215" s="36"/>
      <c r="AM215" s="36"/>
      <c r="AO215" s="2" t="s">
        <v>1032</v>
      </c>
    </row>
    <row r="216" spans="1:41" x14ac:dyDescent="0.2">
      <c r="A216" s="2"/>
      <c r="B216" s="2" t="s">
        <v>404</v>
      </c>
      <c r="F216" s="2" t="s">
        <v>100</v>
      </c>
      <c r="AG216" s="36"/>
      <c r="AH216" s="36"/>
      <c r="AI216" s="36"/>
      <c r="AJ216" s="36"/>
      <c r="AK216" s="27">
        <v>1477705820.4596114</v>
      </c>
      <c r="AL216" s="36"/>
      <c r="AM216" s="36"/>
      <c r="AO216" s="2" t="s">
        <v>1033</v>
      </c>
    </row>
    <row r="217" spans="1:41" x14ac:dyDescent="0.2">
      <c r="A217" s="2"/>
    </row>
    <row r="218" spans="1:41" x14ac:dyDescent="0.2">
      <c r="A218" s="2"/>
      <c r="B218" s="21" t="s">
        <v>626</v>
      </c>
    </row>
    <row r="219" spans="1:41" x14ac:dyDescent="0.2">
      <c r="A219" s="2"/>
      <c r="B219" s="2" t="s">
        <v>405</v>
      </c>
      <c r="F219" s="2" t="s">
        <v>100</v>
      </c>
      <c r="AG219" s="36"/>
      <c r="AH219" s="36"/>
      <c r="AI219" s="36"/>
      <c r="AJ219" s="36"/>
      <c r="AK219" s="27">
        <v>24125473.164408103</v>
      </c>
      <c r="AL219" s="36"/>
      <c r="AM219" s="36"/>
      <c r="AO219" s="2" t="s">
        <v>1034</v>
      </c>
    </row>
    <row r="220" spans="1:41" x14ac:dyDescent="0.2">
      <c r="A220" s="2"/>
      <c r="B220" s="2" t="s">
        <v>406</v>
      </c>
      <c r="F220" s="2" t="s">
        <v>100</v>
      </c>
      <c r="AG220" s="36"/>
      <c r="AH220" s="36"/>
      <c r="AI220" s="36"/>
      <c r="AJ220" s="36"/>
      <c r="AK220" s="27">
        <v>112640516.21762949</v>
      </c>
      <c r="AL220" s="36"/>
      <c r="AM220" s="36"/>
      <c r="AO220" s="2" t="s">
        <v>1035</v>
      </c>
    </row>
    <row r="221" spans="1:41" x14ac:dyDescent="0.2">
      <c r="A221" s="2"/>
    </row>
    <row r="222" spans="1:41" s="7" customFormat="1" x14ac:dyDescent="0.2">
      <c r="B222" s="7" t="s">
        <v>1101</v>
      </c>
    </row>
    <row r="223" spans="1:41" x14ac:dyDescent="0.2">
      <c r="A223" s="2"/>
    </row>
    <row r="224" spans="1:41" x14ac:dyDescent="0.2">
      <c r="A224" s="2"/>
      <c r="B224" s="2" t="s">
        <v>1103</v>
      </c>
      <c r="F224" s="2" t="s">
        <v>112</v>
      </c>
      <c r="H224" s="72">
        <v>0.43218295276137114</v>
      </c>
      <c r="AO224" s="2" t="s">
        <v>1110</v>
      </c>
    </row>
    <row r="225" spans="1:41" x14ac:dyDescent="0.2">
      <c r="A225" s="2"/>
      <c r="B225" s="2" t="s">
        <v>1104</v>
      </c>
      <c r="F225" s="2" t="s">
        <v>112</v>
      </c>
      <c r="H225" s="72">
        <v>0.5678170472386288</v>
      </c>
      <c r="AO225" s="2" t="s">
        <v>1111</v>
      </c>
    </row>
  </sheetData>
  <mergeCells count="1">
    <mergeCell ref="B5:E5"/>
  </mergeCells>
  <phoneticPr fontId="30" type="noConversion"/>
  <pageMargins left="0.7" right="0.7" top="0.75" bottom="0.75" header="0.3" footer="0.3"/>
  <pageSetup paperSize="9" orientation="portrait" r:id="rId1"/>
  <ignoredErrors>
    <ignoredError sqref="AI7"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B6133-A9F2-4805-AAAC-90C602375DCA}">
  <sheetPr>
    <tabColor rgb="FFE1FFE1"/>
  </sheetPr>
  <dimension ref="B2:T24"/>
  <sheetViews>
    <sheetView showGridLines="0" zoomScale="85" zoomScaleNormal="85" workbookViewId="0">
      <pane xSplit="6" ySplit="8" topLeftCell="G9" activePane="bottomRight" state="frozen"/>
      <selection activeCell="P579" sqref="P579"/>
      <selection pane="topRight" activeCell="P579" sqref="P579"/>
      <selection pane="bottomLeft" activeCell="P579" sqref="P579"/>
      <selection pane="bottomRight"/>
    </sheetView>
  </sheetViews>
  <sheetFormatPr defaultColWidth="9.140625" defaultRowHeight="12.75" x14ac:dyDescent="0.2"/>
  <cols>
    <col min="1" max="1" width="5.7109375" style="2" customWidth="1"/>
    <col min="2" max="2" width="74.7109375" style="2" customWidth="1"/>
    <col min="3" max="5" width="5.7109375" style="2" customWidth="1"/>
    <col min="6" max="6" width="13.7109375" style="2" customWidth="1"/>
    <col min="7" max="7" width="2.7109375" style="2" customWidth="1"/>
    <col min="8" max="8" width="13.7109375" style="2" customWidth="1"/>
    <col min="9" max="9" width="2.7109375" style="2" customWidth="1"/>
    <col min="10" max="10" width="13.7109375" style="2" customWidth="1"/>
    <col min="11" max="11" width="2.7109375" style="2" customWidth="1"/>
    <col min="12" max="16" width="18.7109375" style="2" customWidth="1"/>
    <col min="17" max="17" width="2.7109375" style="2" customWidth="1"/>
    <col min="18" max="18" width="50.42578125" style="2" customWidth="1"/>
    <col min="19" max="19" width="2.7109375" style="2" customWidth="1"/>
    <col min="20" max="20" width="30.85546875" style="2" customWidth="1"/>
    <col min="21" max="34" width="13.7109375" style="2" customWidth="1"/>
    <col min="35" max="16384" width="9.140625" style="2"/>
  </cols>
  <sheetData>
    <row r="2" spans="2:20" s="13" customFormat="1" ht="18" x14ac:dyDescent="0.2">
      <c r="B2" s="13" t="s">
        <v>1050</v>
      </c>
    </row>
    <row r="4" spans="2:20" x14ac:dyDescent="0.2">
      <c r="B4" s="21" t="s">
        <v>26</v>
      </c>
      <c r="C4" s="1"/>
      <c r="D4" s="1"/>
    </row>
    <row r="5" spans="2:20" ht="52.5" customHeight="1" x14ac:dyDescent="0.2">
      <c r="B5" s="166" t="s">
        <v>967</v>
      </c>
      <c r="C5" s="166"/>
      <c r="D5" s="166"/>
      <c r="E5" s="166"/>
    </row>
    <row r="7" spans="2:20" s="7" customFormat="1" ht="42.75" customHeight="1" x14ac:dyDescent="0.2">
      <c r="B7" s="7" t="s">
        <v>42</v>
      </c>
      <c r="F7" s="7" t="s">
        <v>24</v>
      </c>
      <c r="H7" s="7" t="s">
        <v>25</v>
      </c>
      <c r="J7" s="7" t="s">
        <v>46</v>
      </c>
      <c r="L7" s="51" t="s">
        <v>95</v>
      </c>
      <c r="M7" s="51" t="s">
        <v>96</v>
      </c>
      <c r="N7" s="51" t="s">
        <v>726</v>
      </c>
      <c r="O7" s="51" t="s">
        <v>97</v>
      </c>
      <c r="P7" s="51" t="s">
        <v>727</v>
      </c>
      <c r="R7" s="7" t="s">
        <v>43</v>
      </c>
      <c r="T7" s="7" t="s">
        <v>44</v>
      </c>
    </row>
    <row r="10" spans="2:20" s="7" customFormat="1" x14ac:dyDescent="0.2">
      <c r="B10" s="7" t="s">
        <v>319</v>
      </c>
    </row>
    <row r="12" spans="2:20" x14ac:dyDescent="0.2">
      <c r="B12" s="21" t="s">
        <v>85</v>
      </c>
    </row>
    <row r="13" spans="2:20" x14ac:dyDescent="0.2">
      <c r="B13" s="2" t="s">
        <v>814</v>
      </c>
      <c r="F13" s="2" t="s">
        <v>819</v>
      </c>
      <c r="L13" s="57">
        <v>12478.96</v>
      </c>
      <c r="M13" s="57">
        <v>54.99</v>
      </c>
      <c r="N13" s="57">
        <v>7.14</v>
      </c>
      <c r="O13" s="57">
        <v>27.5</v>
      </c>
      <c r="P13" s="57">
        <v>2.4700000000000002</v>
      </c>
      <c r="R13" s="2" t="s">
        <v>820</v>
      </c>
    </row>
    <row r="14" spans="2:20" x14ac:dyDescent="0.2">
      <c r="B14" s="2" t="s">
        <v>679</v>
      </c>
      <c r="F14" s="2" t="s">
        <v>98</v>
      </c>
      <c r="L14" s="57">
        <v>22.083333333333332</v>
      </c>
      <c r="M14" s="27">
        <v>626014</v>
      </c>
      <c r="N14" s="27">
        <v>4953231</v>
      </c>
      <c r="O14" s="27">
        <v>45829</v>
      </c>
      <c r="P14" s="27">
        <v>675650.70000000007</v>
      </c>
      <c r="R14" s="2" t="s">
        <v>821</v>
      </c>
    </row>
    <row r="16" spans="2:20" x14ac:dyDescent="0.2">
      <c r="B16" s="2" t="s">
        <v>815</v>
      </c>
      <c r="F16" s="2" t="s">
        <v>819</v>
      </c>
      <c r="H16" s="27">
        <v>274537.12</v>
      </c>
      <c r="R16" s="2" t="s">
        <v>824</v>
      </c>
    </row>
    <row r="17" spans="2:20" x14ac:dyDescent="0.2">
      <c r="B17" s="2" t="s">
        <v>816</v>
      </c>
      <c r="F17" s="2" t="s">
        <v>819</v>
      </c>
      <c r="H17" s="27">
        <v>160548623.28043568</v>
      </c>
      <c r="R17" s="2" t="s">
        <v>825</v>
      </c>
      <c r="T17" s="2" t="s">
        <v>139</v>
      </c>
    </row>
    <row r="19" spans="2:20" x14ac:dyDescent="0.2">
      <c r="B19" s="21" t="s">
        <v>86</v>
      </c>
    </row>
    <row r="20" spans="2:20" x14ac:dyDescent="0.2">
      <c r="B20" s="2" t="s">
        <v>814</v>
      </c>
      <c r="F20" s="2" t="s">
        <v>819</v>
      </c>
      <c r="L20" s="57">
        <v>2760</v>
      </c>
      <c r="M20" s="57">
        <v>73.459999999999994</v>
      </c>
      <c r="N20" s="141">
        <v>8.5</v>
      </c>
      <c r="O20" s="57">
        <v>36.729999999999997</v>
      </c>
      <c r="P20" s="141">
        <v>2.94</v>
      </c>
      <c r="R20" s="2" t="s">
        <v>822</v>
      </c>
    </row>
    <row r="21" spans="2:20" x14ac:dyDescent="0.2">
      <c r="B21" s="2" t="s">
        <v>679</v>
      </c>
      <c r="F21" s="2" t="s">
        <v>98</v>
      </c>
      <c r="L21" s="57">
        <v>95.916666666666671</v>
      </c>
      <c r="M21" s="27">
        <v>17464394.324999999</v>
      </c>
      <c r="N21" s="27">
        <v>148609600.20000002</v>
      </c>
      <c r="O21" s="27">
        <v>463271</v>
      </c>
      <c r="P21" s="27">
        <v>2685402.9</v>
      </c>
      <c r="R21" s="2" t="s">
        <v>823</v>
      </c>
    </row>
    <row r="23" spans="2:20" x14ac:dyDescent="0.2">
      <c r="B23" s="2" t="s">
        <v>817</v>
      </c>
      <c r="F23" s="2" t="s">
        <v>819</v>
      </c>
      <c r="H23" s="27">
        <v>269100</v>
      </c>
      <c r="R23" s="2" t="s">
        <v>826</v>
      </c>
    </row>
    <row r="24" spans="2:20" x14ac:dyDescent="0.2">
      <c r="B24" s="2" t="s">
        <v>818</v>
      </c>
      <c r="F24" s="2" t="s">
        <v>819</v>
      </c>
      <c r="H24" s="27">
        <v>2392331463.7119827</v>
      </c>
      <c r="R24" s="2" t="s">
        <v>827</v>
      </c>
    </row>
  </sheetData>
  <mergeCells count="1">
    <mergeCell ref="B5:E5"/>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60B98-D908-4EB1-9C2D-67317F61921C}">
  <sheetPr>
    <tabColor rgb="FFE1FFE1"/>
    <pageSetUpPr fitToPage="1"/>
  </sheetPr>
  <dimension ref="B2:U2019"/>
  <sheetViews>
    <sheetView showGridLines="0" zoomScale="85" zoomScaleNormal="85" workbookViewId="0">
      <pane ySplit="10" topLeftCell="A79" activePane="bottomLeft" state="frozen"/>
      <selection activeCell="P579" sqref="P579"/>
      <selection pane="bottomLeft"/>
    </sheetView>
  </sheetViews>
  <sheetFormatPr defaultColWidth="9.140625" defaultRowHeight="12.75" x14ac:dyDescent="0.2"/>
  <cols>
    <col min="1" max="1" width="4.7109375" style="2" customWidth="1"/>
    <col min="2" max="2" width="15.28515625" style="2" customWidth="1"/>
    <col min="3" max="3" width="16.85546875" style="2" customWidth="1"/>
    <col min="4" max="4" width="16.5703125" style="2" customWidth="1"/>
    <col min="5" max="5" width="17.42578125" style="2" customWidth="1"/>
    <col min="6" max="6" width="18.28515625" style="2" customWidth="1"/>
    <col min="7" max="7" width="21.7109375" style="2" bestFit="1" customWidth="1"/>
    <col min="8" max="8" width="20.140625" style="2" customWidth="1"/>
    <col min="9" max="9" width="20.7109375" style="2" customWidth="1"/>
    <col min="10" max="10" width="32.7109375" style="2" customWidth="1"/>
    <col min="11" max="11" width="22.85546875" style="2" customWidth="1"/>
    <col min="12" max="12" width="2.7109375" style="81" customWidth="1"/>
    <col min="13" max="13" width="15.28515625" style="81" customWidth="1"/>
    <col min="14" max="14" width="18.140625" style="81" customWidth="1"/>
    <col min="15" max="15" width="15.7109375" style="81" customWidth="1"/>
    <col min="16" max="16" width="26.7109375" style="2" customWidth="1"/>
    <col min="17" max="17" width="27.7109375" style="2" customWidth="1"/>
    <col min="18" max="18" width="25.5703125" style="2" customWidth="1"/>
    <col min="19" max="19" width="15.28515625" style="2" customWidth="1"/>
    <col min="20" max="20" width="35" style="2" customWidth="1"/>
    <col min="21" max="21" width="13.7109375" style="2" customWidth="1"/>
    <col min="22" max="16384" width="9.140625" style="2"/>
  </cols>
  <sheetData>
    <row r="2" spans="2:15" s="13" customFormat="1" ht="18" x14ac:dyDescent="0.2">
      <c r="B2" s="13" t="s">
        <v>1051</v>
      </c>
      <c r="L2" s="109"/>
      <c r="M2" s="109"/>
      <c r="N2" s="109"/>
      <c r="O2" s="109"/>
    </row>
    <row r="4" spans="2:15" x14ac:dyDescent="0.2">
      <c r="B4" s="21" t="s">
        <v>26</v>
      </c>
      <c r="C4" s="21"/>
      <c r="D4" s="21"/>
      <c r="E4" s="21"/>
      <c r="F4" s="21"/>
      <c r="G4" s="21"/>
      <c r="H4" s="21"/>
      <c r="I4" s="1"/>
    </row>
    <row r="5" spans="2:15" ht="36" customHeight="1" x14ac:dyDescent="0.2">
      <c r="B5" s="163" t="s">
        <v>1046</v>
      </c>
      <c r="C5" s="163"/>
      <c r="D5" s="163"/>
      <c r="E5" s="163"/>
      <c r="F5" s="163"/>
      <c r="G5" s="163"/>
      <c r="H5" s="163"/>
      <c r="I5" s="163"/>
    </row>
    <row r="7" spans="2:15" x14ac:dyDescent="0.2">
      <c r="B7" s="22" t="s">
        <v>27</v>
      </c>
      <c r="C7" s="22"/>
      <c r="D7" s="22"/>
      <c r="E7" s="22"/>
      <c r="F7" s="22"/>
      <c r="G7" s="22"/>
      <c r="H7" s="22"/>
    </row>
    <row r="8" spans="2:15" ht="51.75" customHeight="1" x14ac:dyDescent="0.2">
      <c r="B8" s="167" t="s">
        <v>1047</v>
      </c>
      <c r="C8" s="168"/>
      <c r="D8" s="168"/>
      <c r="E8" s="168"/>
      <c r="F8" s="168"/>
      <c r="G8" s="168"/>
      <c r="H8" s="168"/>
      <c r="I8" s="168"/>
      <c r="J8" s="168"/>
    </row>
    <row r="9" spans="2:15" x14ac:dyDescent="0.2">
      <c r="L9" s="2"/>
      <c r="M9" s="2"/>
    </row>
    <row r="10" spans="2:15" s="51" customFormat="1" ht="38.25" x14ac:dyDescent="0.2">
      <c r="B10" s="51" t="s">
        <v>715</v>
      </c>
      <c r="C10" s="51" t="s">
        <v>450</v>
      </c>
      <c r="D10" s="51" t="s">
        <v>716</v>
      </c>
      <c r="E10" s="51" t="s">
        <v>262</v>
      </c>
      <c r="F10" s="51" t="s">
        <v>290</v>
      </c>
      <c r="G10" s="51" t="s">
        <v>263</v>
      </c>
      <c r="H10" s="51" t="s">
        <v>697</v>
      </c>
      <c r="I10" s="107" t="s">
        <v>698</v>
      </c>
      <c r="J10" s="107" t="s">
        <v>699</v>
      </c>
      <c r="K10" s="51" t="s">
        <v>736</v>
      </c>
      <c r="M10" s="51" t="s">
        <v>43</v>
      </c>
    </row>
    <row r="11" spans="2:15" x14ac:dyDescent="0.2">
      <c r="B11" s="2">
        <v>1</v>
      </c>
      <c r="C11" s="147">
        <v>2021</v>
      </c>
      <c r="D11" s="147">
        <v>2504</v>
      </c>
      <c r="E11" s="27" t="s">
        <v>267</v>
      </c>
      <c r="F11" s="27" t="s">
        <v>85</v>
      </c>
      <c r="G11" s="27" t="s">
        <v>253</v>
      </c>
      <c r="H11" s="27">
        <v>5</v>
      </c>
      <c r="I11" s="147">
        <v>2021</v>
      </c>
      <c r="J11" s="27">
        <v>5</v>
      </c>
      <c r="K11" s="27">
        <v>233283</v>
      </c>
      <c r="L11" s="2"/>
      <c r="M11" s="2" t="s">
        <v>949</v>
      </c>
      <c r="N11" s="2"/>
      <c r="O11" s="2"/>
    </row>
    <row r="12" spans="2:15" x14ac:dyDescent="0.2">
      <c r="B12" s="2">
        <v>2</v>
      </c>
      <c r="C12" s="147">
        <v>2021</v>
      </c>
      <c r="D12" s="147">
        <v>2506</v>
      </c>
      <c r="E12" s="27" t="s">
        <v>267</v>
      </c>
      <c r="F12" s="27" t="s">
        <v>85</v>
      </c>
      <c r="G12" s="27" t="s">
        <v>253</v>
      </c>
      <c r="H12" s="27">
        <v>5</v>
      </c>
      <c r="I12" s="147">
        <v>2021</v>
      </c>
      <c r="J12" s="27">
        <v>7</v>
      </c>
      <c r="K12" s="27">
        <v>315137.94199999998</v>
      </c>
      <c r="L12" s="2"/>
      <c r="M12" s="2" t="s">
        <v>949</v>
      </c>
      <c r="N12" s="2"/>
      <c r="O12" s="2"/>
    </row>
    <row r="13" spans="2:15" x14ac:dyDescent="0.2">
      <c r="B13" s="2">
        <v>3</v>
      </c>
      <c r="C13" s="147">
        <v>2021</v>
      </c>
      <c r="D13" s="147">
        <v>2507</v>
      </c>
      <c r="E13" s="27" t="s">
        <v>267</v>
      </c>
      <c r="F13" s="27" t="s">
        <v>85</v>
      </c>
      <c r="G13" s="27" t="s">
        <v>253</v>
      </c>
      <c r="H13" s="27">
        <v>5</v>
      </c>
      <c r="I13" s="147">
        <v>2021</v>
      </c>
      <c r="J13" s="27">
        <v>7</v>
      </c>
      <c r="K13" s="27">
        <v>1933355</v>
      </c>
      <c r="L13" s="2"/>
      <c r="M13" s="2" t="s">
        <v>949</v>
      </c>
      <c r="N13" s="2"/>
      <c r="O13" s="2"/>
    </row>
    <row r="14" spans="2:15" x14ac:dyDescent="0.2">
      <c r="B14" s="2">
        <v>4</v>
      </c>
      <c r="C14" s="147">
        <v>2021</v>
      </c>
      <c r="D14" s="147">
        <v>2509</v>
      </c>
      <c r="E14" s="27" t="s">
        <v>267</v>
      </c>
      <c r="F14" s="27" t="s">
        <v>85</v>
      </c>
      <c r="G14" s="27" t="s">
        <v>253</v>
      </c>
      <c r="H14" s="27">
        <v>5</v>
      </c>
      <c r="I14" s="147">
        <v>2021</v>
      </c>
      <c r="J14" s="27">
        <v>9</v>
      </c>
      <c r="K14" s="27">
        <v>3189891</v>
      </c>
      <c r="L14" s="2"/>
      <c r="M14" s="2" t="s">
        <v>949</v>
      </c>
      <c r="N14" s="2"/>
      <c r="O14" s="2"/>
    </row>
    <row r="15" spans="2:15" x14ac:dyDescent="0.2">
      <c r="B15" s="2">
        <v>5</v>
      </c>
      <c r="C15" s="147">
        <v>2021</v>
      </c>
      <c r="D15" s="147">
        <v>2511</v>
      </c>
      <c r="E15" s="27" t="s">
        <v>267</v>
      </c>
      <c r="F15" s="27" t="s">
        <v>85</v>
      </c>
      <c r="G15" s="27" t="s">
        <v>253</v>
      </c>
      <c r="H15" s="27">
        <v>5</v>
      </c>
      <c r="I15" s="147">
        <v>2021</v>
      </c>
      <c r="J15" s="27">
        <v>11</v>
      </c>
      <c r="K15" s="27">
        <v>1170875</v>
      </c>
      <c r="L15" s="2"/>
      <c r="M15" s="2" t="s">
        <v>949</v>
      </c>
      <c r="N15" s="2"/>
      <c r="O15" s="2"/>
    </row>
    <row r="16" spans="2:15" x14ac:dyDescent="0.2">
      <c r="B16" s="2">
        <v>6</v>
      </c>
      <c r="C16" s="147">
        <v>2021</v>
      </c>
      <c r="D16" s="147">
        <v>2513</v>
      </c>
      <c r="E16" s="27" t="s">
        <v>267</v>
      </c>
      <c r="F16" s="27" t="s">
        <v>85</v>
      </c>
      <c r="G16" s="27" t="s">
        <v>253</v>
      </c>
      <c r="H16" s="27">
        <v>5</v>
      </c>
      <c r="I16" s="147">
        <v>2021</v>
      </c>
      <c r="J16" s="27">
        <v>12</v>
      </c>
      <c r="K16" s="27">
        <v>794948</v>
      </c>
      <c r="L16" s="2"/>
      <c r="M16" s="2" t="s">
        <v>949</v>
      </c>
      <c r="N16" s="2"/>
      <c r="O16" s="2"/>
    </row>
    <row r="17" spans="2:21" x14ac:dyDescent="0.2">
      <c r="B17" s="2">
        <v>7</v>
      </c>
      <c r="C17" s="147">
        <v>2021</v>
      </c>
      <c r="D17" s="147">
        <v>2514</v>
      </c>
      <c r="E17" s="27" t="s">
        <v>267</v>
      </c>
      <c r="F17" s="27" t="s">
        <v>85</v>
      </c>
      <c r="G17" s="27" t="s">
        <v>253</v>
      </c>
      <c r="H17" s="27">
        <v>5</v>
      </c>
      <c r="I17" s="147">
        <v>2021</v>
      </c>
      <c r="J17" s="27">
        <v>13</v>
      </c>
      <c r="K17" s="27">
        <v>160262.96440000003</v>
      </c>
      <c r="L17" s="2"/>
      <c r="M17" s="2" t="s">
        <v>949</v>
      </c>
      <c r="N17" s="2"/>
      <c r="O17" s="2"/>
    </row>
    <row r="18" spans="2:21" x14ac:dyDescent="0.2">
      <c r="B18" s="2">
        <v>8</v>
      </c>
      <c r="C18" s="147">
        <v>2021</v>
      </c>
      <c r="D18" s="147">
        <v>2515</v>
      </c>
      <c r="E18" s="27" t="s">
        <v>267</v>
      </c>
      <c r="F18" s="27" t="s">
        <v>85</v>
      </c>
      <c r="G18" s="27" t="s">
        <v>253</v>
      </c>
      <c r="H18" s="27">
        <v>5</v>
      </c>
      <c r="I18" s="147">
        <v>2021</v>
      </c>
      <c r="J18" s="27">
        <v>13</v>
      </c>
      <c r="K18" s="27">
        <v>1199333</v>
      </c>
      <c r="L18" s="2"/>
      <c r="M18" s="2" t="s">
        <v>949</v>
      </c>
      <c r="N18" s="2"/>
      <c r="O18" s="2"/>
    </row>
    <row r="19" spans="2:21" x14ac:dyDescent="0.2">
      <c r="B19" s="2">
        <v>9</v>
      </c>
      <c r="C19" s="147">
        <v>2021</v>
      </c>
      <c r="D19" s="147">
        <v>2534</v>
      </c>
      <c r="E19" s="27" t="s">
        <v>268</v>
      </c>
      <c r="F19" s="27" t="s">
        <v>85</v>
      </c>
      <c r="G19" s="27" t="s">
        <v>253</v>
      </c>
      <c r="H19" s="27">
        <v>5</v>
      </c>
      <c r="I19" s="147">
        <v>2021</v>
      </c>
      <c r="J19" s="27">
        <v>7</v>
      </c>
      <c r="K19" s="27">
        <v>426363.098</v>
      </c>
      <c r="L19" s="2"/>
      <c r="M19" s="2" t="s">
        <v>949</v>
      </c>
      <c r="N19" s="2"/>
      <c r="O19" s="2"/>
    </row>
    <row r="20" spans="2:21" x14ac:dyDescent="0.2">
      <c r="B20" s="2">
        <v>10</v>
      </c>
      <c r="C20" s="147">
        <v>2021</v>
      </c>
      <c r="D20" s="147">
        <v>2538</v>
      </c>
      <c r="E20" s="27" t="s">
        <v>268</v>
      </c>
      <c r="F20" s="27" t="s">
        <v>85</v>
      </c>
      <c r="G20" s="27" t="s">
        <v>253</v>
      </c>
      <c r="H20" s="27">
        <v>5</v>
      </c>
      <c r="I20" s="147">
        <v>2021</v>
      </c>
      <c r="J20" s="27">
        <v>13</v>
      </c>
      <c r="K20" s="27">
        <v>216826.36360000001</v>
      </c>
      <c r="L20" s="2"/>
      <c r="M20" s="2" t="s">
        <v>949</v>
      </c>
      <c r="N20" s="2"/>
      <c r="O20" s="2"/>
    </row>
    <row r="21" spans="2:21" x14ac:dyDescent="0.2">
      <c r="B21" s="2">
        <v>11</v>
      </c>
      <c r="C21" s="147">
        <v>2021</v>
      </c>
      <c r="D21" s="147">
        <v>2618</v>
      </c>
      <c r="E21" s="27" t="s">
        <v>268</v>
      </c>
      <c r="F21" s="27" t="s">
        <v>86</v>
      </c>
      <c r="G21" s="27" t="s">
        <v>253</v>
      </c>
      <c r="H21" s="27">
        <v>5</v>
      </c>
      <c r="I21" s="147">
        <v>2021</v>
      </c>
      <c r="J21" s="27">
        <v>7</v>
      </c>
      <c r="K21" s="27">
        <v>1347942.9620000001</v>
      </c>
      <c r="L21" s="1"/>
      <c r="M21" s="2" t="s">
        <v>949</v>
      </c>
      <c r="N21" s="2"/>
      <c r="O21" s="2"/>
    </row>
    <row r="22" spans="2:21" x14ac:dyDescent="0.2">
      <c r="B22" s="2">
        <v>12</v>
      </c>
      <c r="C22" s="147">
        <v>2021</v>
      </c>
      <c r="D22" s="147">
        <v>2622</v>
      </c>
      <c r="E22" s="27" t="s">
        <v>268</v>
      </c>
      <c r="F22" s="27" t="s">
        <v>86</v>
      </c>
      <c r="G22" s="27" t="s">
        <v>253</v>
      </c>
      <c r="H22" s="27">
        <v>5</v>
      </c>
      <c r="I22" s="147">
        <v>2021</v>
      </c>
      <c r="J22" s="27">
        <v>13</v>
      </c>
      <c r="K22" s="27">
        <v>685494.52840000007</v>
      </c>
      <c r="L22" s="2"/>
      <c r="M22" s="2" t="s">
        <v>949</v>
      </c>
      <c r="N22" s="2"/>
      <c r="O22" s="2"/>
    </row>
    <row r="23" spans="2:21" x14ac:dyDescent="0.2">
      <c r="B23" s="2">
        <v>13</v>
      </c>
      <c r="C23" s="147">
        <v>2022</v>
      </c>
      <c r="D23" s="147">
        <v>2835</v>
      </c>
      <c r="E23" s="27" t="s">
        <v>267</v>
      </c>
      <c r="F23" s="27" t="s">
        <v>85</v>
      </c>
      <c r="G23" s="27" t="s">
        <v>253</v>
      </c>
      <c r="H23" s="27">
        <v>5</v>
      </c>
      <c r="I23" s="147">
        <v>2022</v>
      </c>
      <c r="J23" s="27">
        <v>1</v>
      </c>
      <c r="K23" s="27">
        <v>2987481</v>
      </c>
      <c r="L23" s="2"/>
      <c r="M23" s="2" t="s">
        <v>949</v>
      </c>
      <c r="N23" s="2"/>
      <c r="O23" s="2"/>
    </row>
    <row r="24" spans="2:21" x14ac:dyDescent="0.2">
      <c r="B24" s="2">
        <v>14</v>
      </c>
      <c r="C24" s="147">
        <v>2022</v>
      </c>
      <c r="D24" s="147">
        <v>2836</v>
      </c>
      <c r="E24" s="27" t="s">
        <v>267</v>
      </c>
      <c r="F24" s="27" t="s">
        <v>85</v>
      </c>
      <c r="G24" s="27" t="s">
        <v>253</v>
      </c>
      <c r="H24" s="27">
        <v>5</v>
      </c>
      <c r="I24" s="147">
        <v>2022</v>
      </c>
      <c r="J24" s="27">
        <v>2</v>
      </c>
      <c r="K24" s="27">
        <v>541346</v>
      </c>
      <c r="L24" s="2"/>
      <c r="M24" s="2" t="s">
        <v>949</v>
      </c>
      <c r="N24" s="2"/>
      <c r="O24" s="2"/>
    </row>
    <row r="25" spans="2:21" x14ac:dyDescent="0.2">
      <c r="B25" s="2">
        <v>15</v>
      </c>
      <c r="C25" s="147">
        <v>2022</v>
      </c>
      <c r="D25" s="147">
        <v>2840</v>
      </c>
      <c r="E25" s="27" t="s">
        <v>267</v>
      </c>
      <c r="F25" s="27" t="s">
        <v>85</v>
      </c>
      <c r="G25" s="27" t="s">
        <v>253</v>
      </c>
      <c r="H25" s="27">
        <v>5</v>
      </c>
      <c r="I25" s="147">
        <v>2022</v>
      </c>
      <c r="J25" s="27">
        <v>6</v>
      </c>
      <c r="K25" s="27">
        <v>2580118</v>
      </c>
      <c r="L25" s="2"/>
      <c r="M25" s="2" t="s">
        <v>949</v>
      </c>
      <c r="N25" s="2"/>
      <c r="O25" s="2"/>
    </row>
    <row r="26" spans="2:21" x14ac:dyDescent="0.2">
      <c r="B26" s="2">
        <v>16</v>
      </c>
      <c r="C26" s="147">
        <v>2022</v>
      </c>
      <c r="D26" s="147">
        <v>2841</v>
      </c>
      <c r="E26" s="27" t="s">
        <v>267</v>
      </c>
      <c r="F26" s="27" t="s">
        <v>85</v>
      </c>
      <c r="G26" s="27" t="s">
        <v>253</v>
      </c>
      <c r="H26" s="27">
        <v>5</v>
      </c>
      <c r="I26" s="147">
        <v>2022</v>
      </c>
      <c r="J26" s="27">
        <v>7</v>
      </c>
      <c r="K26" s="27">
        <v>12016565</v>
      </c>
      <c r="L26" s="2"/>
      <c r="M26" s="2" t="s">
        <v>949</v>
      </c>
      <c r="N26" s="2"/>
      <c r="O26" s="2"/>
    </row>
    <row r="27" spans="2:21" x14ac:dyDescent="0.2">
      <c r="B27" s="2">
        <v>17</v>
      </c>
      <c r="C27" s="147">
        <v>2022</v>
      </c>
      <c r="D27" s="147">
        <v>2845</v>
      </c>
      <c r="E27" s="27" t="s">
        <v>267</v>
      </c>
      <c r="F27" s="27" t="s">
        <v>85</v>
      </c>
      <c r="G27" s="27" t="s">
        <v>253</v>
      </c>
      <c r="H27" s="27">
        <v>5</v>
      </c>
      <c r="I27" s="147">
        <v>2022</v>
      </c>
      <c r="J27" s="27">
        <v>11</v>
      </c>
      <c r="K27" s="27">
        <v>399182</v>
      </c>
      <c r="L27" s="2"/>
      <c r="M27" s="2" t="s">
        <v>949</v>
      </c>
      <c r="N27" s="2"/>
      <c r="O27" s="2"/>
    </row>
    <row r="28" spans="2:21" x14ac:dyDescent="0.2">
      <c r="B28" s="2">
        <v>18</v>
      </c>
      <c r="C28" s="147">
        <v>2022</v>
      </c>
      <c r="D28" s="147">
        <v>2846</v>
      </c>
      <c r="E28" s="27" t="s">
        <v>267</v>
      </c>
      <c r="F28" s="27" t="s">
        <v>85</v>
      </c>
      <c r="G28" s="27" t="s">
        <v>253</v>
      </c>
      <c r="H28" s="27">
        <v>5</v>
      </c>
      <c r="I28" s="147">
        <v>2022</v>
      </c>
      <c r="J28" s="27">
        <v>12</v>
      </c>
      <c r="K28" s="27">
        <v>962773.33668883843</v>
      </c>
      <c r="L28" s="2"/>
      <c r="M28" s="2" t="s">
        <v>949</v>
      </c>
      <c r="N28" s="2"/>
      <c r="O28" s="2"/>
    </row>
    <row r="29" spans="2:21" x14ac:dyDescent="0.2">
      <c r="B29" s="2">
        <v>19</v>
      </c>
      <c r="C29" s="147">
        <v>2022</v>
      </c>
      <c r="D29" s="147">
        <v>2847</v>
      </c>
      <c r="E29" s="27" t="s">
        <v>267</v>
      </c>
      <c r="F29" s="27" t="s">
        <v>85</v>
      </c>
      <c r="G29" s="27" t="s">
        <v>253</v>
      </c>
      <c r="H29" s="27">
        <v>5</v>
      </c>
      <c r="I29" s="147">
        <v>2022</v>
      </c>
      <c r="J29" s="27">
        <v>12</v>
      </c>
      <c r="K29" s="27">
        <v>3129087</v>
      </c>
      <c r="L29" s="2"/>
      <c r="M29" s="2" t="s">
        <v>949</v>
      </c>
      <c r="N29" s="2"/>
      <c r="O29" s="2"/>
      <c r="U29" s="110"/>
    </row>
    <row r="30" spans="2:21" x14ac:dyDescent="0.2">
      <c r="B30" s="2">
        <v>20</v>
      </c>
      <c r="C30" s="147">
        <v>2022</v>
      </c>
      <c r="D30" s="147">
        <v>2850</v>
      </c>
      <c r="E30" s="27" t="s">
        <v>267</v>
      </c>
      <c r="F30" s="27" t="s">
        <v>85</v>
      </c>
      <c r="G30" s="27" t="s">
        <v>260</v>
      </c>
      <c r="H30" s="27">
        <v>5</v>
      </c>
      <c r="I30" s="147">
        <v>2022</v>
      </c>
      <c r="J30" s="27">
        <v>12</v>
      </c>
      <c r="K30" s="27">
        <v>210297.11848939362</v>
      </c>
      <c r="L30" s="2"/>
      <c r="M30" s="2" t="s">
        <v>949</v>
      </c>
      <c r="N30" s="2"/>
      <c r="O30" s="2"/>
      <c r="U30" s="110"/>
    </row>
    <row r="31" spans="2:21" x14ac:dyDescent="0.2">
      <c r="B31" s="2">
        <v>21</v>
      </c>
      <c r="C31" s="147">
        <v>2022</v>
      </c>
      <c r="D31" s="147">
        <v>2895</v>
      </c>
      <c r="E31" s="27" t="s">
        <v>268</v>
      </c>
      <c r="F31" s="27" t="s">
        <v>85</v>
      </c>
      <c r="G31" s="27" t="s">
        <v>253</v>
      </c>
      <c r="H31" s="27">
        <v>5</v>
      </c>
      <c r="I31" s="147">
        <v>2022</v>
      </c>
      <c r="J31" s="27">
        <v>12</v>
      </c>
      <c r="K31" s="27">
        <v>1302575.6908143107</v>
      </c>
      <c r="L31" s="2"/>
      <c r="M31" s="2" t="s">
        <v>949</v>
      </c>
      <c r="N31" s="2"/>
      <c r="O31" s="2"/>
      <c r="U31" s="110"/>
    </row>
    <row r="32" spans="2:21" x14ac:dyDescent="0.2">
      <c r="B32" s="2">
        <v>22</v>
      </c>
      <c r="C32" s="147">
        <v>2022</v>
      </c>
      <c r="D32" s="147">
        <v>2898</v>
      </c>
      <c r="E32" s="27" t="s">
        <v>268</v>
      </c>
      <c r="F32" s="27" t="s">
        <v>85</v>
      </c>
      <c r="G32" s="27" t="s">
        <v>260</v>
      </c>
      <c r="H32" s="27">
        <v>5</v>
      </c>
      <c r="I32" s="147">
        <v>2022</v>
      </c>
      <c r="J32" s="27">
        <v>12</v>
      </c>
      <c r="K32" s="27">
        <v>363426.14578865486</v>
      </c>
      <c r="L32" s="2"/>
      <c r="M32" s="2" t="s">
        <v>949</v>
      </c>
      <c r="N32" s="2"/>
      <c r="O32" s="2"/>
      <c r="U32" s="110"/>
    </row>
    <row r="33" spans="2:21" x14ac:dyDescent="0.2">
      <c r="B33" s="2">
        <v>23</v>
      </c>
      <c r="C33" s="147">
        <v>2022</v>
      </c>
      <c r="D33" s="147">
        <v>3033</v>
      </c>
      <c r="E33" s="27" t="s">
        <v>268</v>
      </c>
      <c r="F33" s="27" t="s">
        <v>86</v>
      </c>
      <c r="G33" s="27" t="s">
        <v>253</v>
      </c>
      <c r="H33" s="27">
        <v>5</v>
      </c>
      <c r="I33" s="147">
        <v>2022</v>
      </c>
      <c r="J33" s="27">
        <v>12</v>
      </c>
      <c r="K33" s="27">
        <v>4118080.9107110817</v>
      </c>
      <c r="L33" s="2"/>
      <c r="M33" s="2" t="s">
        <v>949</v>
      </c>
      <c r="N33" s="2"/>
      <c r="O33" s="2"/>
      <c r="U33" s="110"/>
    </row>
    <row r="34" spans="2:21" x14ac:dyDescent="0.2">
      <c r="B34" s="2">
        <v>24</v>
      </c>
      <c r="C34" s="147">
        <v>2022</v>
      </c>
      <c r="D34" s="147">
        <v>3036</v>
      </c>
      <c r="E34" s="27" t="s">
        <v>268</v>
      </c>
      <c r="F34" s="27" t="s">
        <v>86</v>
      </c>
      <c r="G34" s="27" t="s">
        <v>260</v>
      </c>
      <c r="H34" s="27">
        <v>5</v>
      </c>
      <c r="I34" s="147">
        <v>2022</v>
      </c>
      <c r="J34" s="27">
        <v>12</v>
      </c>
      <c r="K34" s="27">
        <v>1090278.4373659645</v>
      </c>
      <c r="L34" s="2"/>
      <c r="M34" s="2" t="s">
        <v>949</v>
      </c>
      <c r="N34" s="2"/>
      <c r="O34" s="2"/>
      <c r="U34" s="110"/>
    </row>
    <row r="35" spans="2:21" x14ac:dyDescent="0.2">
      <c r="B35" s="2">
        <v>25</v>
      </c>
      <c r="C35" s="147">
        <v>2023</v>
      </c>
      <c r="D35" s="147">
        <v>3127</v>
      </c>
      <c r="E35" s="27" t="s">
        <v>267</v>
      </c>
      <c r="F35" s="27" t="s">
        <v>85</v>
      </c>
      <c r="G35" s="27" t="s">
        <v>253</v>
      </c>
      <c r="H35" s="27">
        <v>5</v>
      </c>
      <c r="I35" s="147">
        <v>2023</v>
      </c>
      <c r="J35" s="27">
        <v>2</v>
      </c>
      <c r="K35" s="27">
        <v>611298</v>
      </c>
      <c r="L35" s="2"/>
      <c r="M35" s="2" t="s">
        <v>949</v>
      </c>
      <c r="N35" s="2"/>
      <c r="O35" s="2"/>
      <c r="U35" s="110"/>
    </row>
    <row r="36" spans="2:21" x14ac:dyDescent="0.2">
      <c r="B36" s="2">
        <v>26</v>
      </c>
      <c r="C36" s="147">
        <v>2023</v>
      </c>
      <c r="D36" s="147">
        <v>3128</v>
      </c>
      <c r="E36" s="27" t="s">
        <v>267</v>
      </c>
      <c r="F36" s="27" t="s">
        <v>85</v>
      </c>
      <c r="G36" s="27" t="s">
        <v>253</v>
      </c>
      <c r="H36" s="27">
        <v>5</v>
      </c>
      <c r="I36" s="147">
        <v>2023</v>
      </c>
      <c r="J36" s="27">
        <v>5</v>
      </c>
      <c r="K36" s="27">
        <v>2405449.83</v>
      </c>
      <c r="L36" s="2"/>
      <c r="M36" s="2" t="s">
        <v>949</v>
      </c>
      <c r="N36" s="2"/>
      <c r="O36" s="2"/>
    </row>
    <row r="37" spans="2:21" x14ac:dyDescent="0.2">
      <c r="B37" s="2">
        <v>27</v>
      </c>
      <c r="C37" s="147">
        <v>2023</v>
      </c>
      <c r="D37" s="147">
        <v>3128</v>
      </c>
      <c r="E37" s="27" t="s">
        <v>267</v>
      </c>
      <c r="F37" s="27" t="s">
        <v>85</v>
      </c>
      <c r="G37" s="27" t="s">
        <v>253</v>
      </c>
      <c r="H37" s="27">
        <v>5</v>
      </c>
      <c r="I37" s="147">
        <v>2023</v>
      </c>
      <c r="J37" s="27">
        <v>12</v>
      </c>
      <c r="K37" s="27">
        <v>1469705.23</v>
      </c>
      <c r="L37" s="2"/>
      <c r="M37" s="2" t="s">
        <v>949</v>
      </c>
      <c r="N37" s="2"/>
      <c r="O37" s="2"/>
    </row>
    <row r="38" spans="2:21" x14ac:dyDescent="0.2">
      <c r="B38" s="2">
        <v>28</v>
      </c>
      <c r="C38" s="147">
        <v>2023</v>
      </c>
      <c r="D38" s="147">
        <v>3130</v>
      </c>
      <c r="E38" s="27" t="s">
        <v>267</v>
      </c>
      <c r="F38" s="27" t="s">
        <v>85</v>
      </c>
      <c r="G38" s="27" t="s">
        <v>253</v>
      </c>
      <c r="H38" s="27">
        <v>5</v>
      </c>
      <c r="I38" s="147">
        <v>2023</v>
      </c>
      <c r="J38" s="27">
        <v>11</v>
      </c>
      <c r="K38" s="27">
        <v>119220.6806099</v>
      </c>
      <c r="L38" s="2"/>
      <c r="M38" s="2" t="s">
        <v>949</v>
      </c>
      <c r="N38" s="2"/>
      <c r="O38" s="2"/>
    </row>
    <row r="39" spans="2:21" x14ac:dyDescent="0.2">
      <c r="B39" s="2">
        <v>29</v>
      </c>
      <c r="C39" s="147">
        <v>2023</v>
      </c>
      <c r="D39" s="147">
        <v>3131</v>
      </c>
      <c r="E39" s="27" t="s">
        <v>267</v>
      </c>
      <c r="F39" s="27" t="s">
        <v>85</v>
      </c>
      <c r="G39" s="27" t="s">
        <v>253</v>
      </c>
      <c r="H39" s="27">
        <v>5</v>
      </c>
      <c r="I39" s="147">
        <v>2023</v>
      </c>
      <c r="J39" s="27">
        <v>12</v>
      </c>
      <c r="K39" s="27">
        <v>1495782.0008922433</v>
      </c>
      <c r="L39" s="2"/>
      <c r="M39" s="2" t="s">
        <v>949</v>
      </c>
      <c r="N39" s="2"/>
      <c r="O39" s="2"/>
    </row>
    <row r="40" spans="2:21" x14ac:dyDescent="0.2">
      <c r="B40" s="2">
        <v>30</v>
      </c>
      <c r="C40" s="147">
        <v>2023</v>
      </c>
      <c r="D40" s="147">
        <v>3133</v>
      </c>
      <c r="E40" s="27" t="s">
        <v>267</v>
      </c>
      <c r="F40" s="27" t="s">
        <v>85</v>
      </c>
      <c r="G40" s="27" t="s">
        <v>253</v>
      </c>
      <c r="H40" s="27">
        <v>5</v>
      </c>
      <c r="I40" s="147">
        <v>2023</v>
      </c>
      <c r="J40" s="27">
        <v>13</v>
      </c>
      <c r="K40" s="27">
        <v>1483999.9897533602</v>
      </c>
      <c r="L40" s="2"/>
      <c r="M40" s="2" t="s">
        <v>949</v>
      </c>
      <c r="N40" s="2"/>
      <c r="O40" s="2"/>
    </row>
    <row r="41" spans="2:21" x14ac:dyDescent="0.2">
      <c r="B41" s="2">
        <v>31</v>
      </c>
      <c r="C41" s="147">
        <v>2023</v>
      </c>
      <c r="D41" s="147">
        <v>3135</v>
      </c>
      <c r="E41" s="27" t="s">
        <v>267</v>
      </c>
      <c r="F41" s="27" t="s">
        <v>85</v>
      </c>
      <c r="G41" s="27" t="s">
        <v>260</v>
      </c>
      <c r="H41" s="27">
        <v>5</v>
      </c>
      <c r="I41" s="147">
        <v>2023</v>
      </c>
      <c r="J41" s="27">
        <v>11</v>
      </c>
      <c r="K41" s="27">
        <v>924377.02612806007</v>
      </c>
      <c r="L41" s="2"/>
      <c r="M41" s="2" t="s">
        <v>949</v>
      </c>
      <c r="N41" s="2"/>
      <c r="O41" s="2"/>
    </row>
    <row r="42" spans="2:21" x14ac:dyDescent="0.2">
      <c r="B42" s="2">
        <v>32</v>
      </c>
      <c r="C42" s="147">
        <v>2023</v>
      </c>
      <c r="D42" s="147">
        <v>3136</v>
      </c>
      <c r="E42" s="27" t="s">
        <v>267</v>
      </c>
      <c r="F42" s="27" t="s">
        <v>85</v>
      </c>
      <c r="G42" s="27" t="s">
        <v>260</v>
      </c>
      <c r="H42" s="27">
        <v>5</v>
      </c>
      <c r="I42" s="147">
        <v>2023</v>
      </c>
      <c r="J42" s="27">
        <v>12</v>
      </c>
      <c r="K42" s="27">
        <v>595861.60221771244</v>
      </c>
      <c r="L42" s="2"/>
      <c r="M42" s="2" t="s">
        <v>949</v>
      </c>
      <c r="N42" s="2"/>
      <c r="O42" s="2"/>
    </row>
    <row r="43" spans="2:21" x14ac:dyDescent="0.2">
      <c r="B43" s="2">
        <v>33</v>
      </c>
      <c r="C43" s="147">
        <v>2023</v>
      </c>
      <c r="D43" s="147">
        <v>3137</v>
      </c>
      <c r="E43" s="27" t="s">
        <v>267</v>
      </c>
      <c r="F43" s="27" t="s">
        <v>85</v>
      </c>
      <c r="G43" s="27" t="s">
        <v>260</v>
      </c>
      <c r="H43" s="27">
        <v>5</v>
      </c>
      <c r="I43" s="147">
        <v>2023</v>
      </c>
      <c r="J43" s="27">
        <v>12</v>
      </c>
      <c r="K43" s="27">
        <v>1015891.33</v>
      </c>
      <c r="L43" s="2"/>
      <c r="M43" s="2" t="s">
        <v>949</v>
      </c>
      <c r="N43" s="2"/>
      <c r="O43" s="2"/>
    </row>
    <row r="44" spans="2:21" x14ac:dyDescent="0.2">
      <c r="B44" s="2">
        <v>34</v>
      </c>
      <c r="C44" s="147">
        <v>2023</v>
      </c>
      <c r="D44" s="147">
        <v>3143</v>
      </c>
      <c r="E44" s="27" t="s">
        <v>267</v>
      </c>
      <c r="F44" s="27" t="s">
        <v>85</v>
      </c>
      <c r="G44" s="27" t="s">
        <v>249</v>
      </c>
      <c r="H44" s="27">
        <v>10</v>
      </c>
      <c r="I44" s="147">
        <v>2023</v>
      </c>
      <c r="J44" s="27">
        <v>12</v>
      </c>
      <c r="K44" s="27">
        <v>102950.75000000001</v>
      </c>
      <c r="L44" s="2"/>
      <c r="M44" s="2" t="s">
        <v>949</v>
      </c>
      <c r="N44" s="2"/>
      <c r="O44" s="2"/>
    </row>
    <row r="45" spans="2:21" x14ac:dyDescent="0.2">
      <c r="B45" s="2">
        <v>35</v>
      </c>
      <c r="C45" s="147">
        <v>2023</v>
      </c>
      <c r="D45" s="147">
        <v>3207</v>
      </c>
      <c r="E45" s="27" t="s">
        <v>268</v>
      </c>
      <c r="F45" s="27" t="s">
        <v>85</v>
      </c>
      <c r="G45" s="27" t="s">
        <v>253</v>
      </c>
      <c r="H45" s="27">
        <v>5</v>
      </c>
      <c r="I45" s="147">
        <v>2023</v>
      </c>
      <c r="J45" s="27">
        <v>11</v>
      </c>
      <c r="K45" s="27">
        <v>182322.78913615001</v>
      </c>
      <c r="L45" s="2"/>
      <c r="M45" s="2" t="s">
        <v>949</v>
      </c>
      <c r="N45" s="2"/>
      <c r="O45" s="2"/>
    </row>
    <row r="46" spans="2:21" x14ac:dyDescent="0.2">
      <c r="B46" s="2">
        <v>36</v>
      </c>
      <c r="C46" s="147">
        <v>2023</v>
      </c>
      <c r="D46" s="147">
        <v>3208</v>
      </c>
      <c r="E46" s="27" t="s">
        <v>268</v>
      </c>
      <c r="F46" s="27" t="s">
        <v>85</v>
      </c>
      <c r="G46" s="27" t="s">
        <v>253</v>
      </c>
      <c r="H46" s="27">
        <v>5</v>
      </c>
      <c r="I46" s="147">
        <v>2023</v>
      </c>
      <c r="J46" s="27">
        <v>12</v>
      </c>
      <c r="K46" s="27">
        <v>2287481.8766848533</v>
      </c>
      <c r="L46" s="2"/>
      <c r="M46" s="2" t="s">
        <v>949</v>
      </c>
      <c r="N46" s="2"/>
      <c r="O46" s="2"/>
    </row>
    <row r="47" spans="2:21" x14ac:dyDescent="0.2">
      <c r="B47" s="2">
        <v>37</v>
      </c>
      <c r="C47" s="147">
        <v>2023</v>
      </c>
      <c r="D47" s="147">
        <v>3209</v>
      </c>
      <c r="E47" s="27" t="s">
        <v>268</v>
      </c>
      <c r="F47" s="27" t="s">
        <v>85</v>
      </c>
      <c r="G47" s="27" t="s">
        <v>253</v>
      </c>
      <c r="H47" s="27">
        <v>5</v>
      </c>
      <c r="I47" s="147">
        <v>2023</v>
      </c>
      <c r="J47" s="27">
        <v>13</v>
      </c>
      <c r="K47" s="27">
        <v>2269463.7861963604</v>
      </c>
      <c r="L47" s="2"/>
      <c r="M47" s="2" t="s">
        <v>949</v>
      </c>
      <c r="N47" s="2"/>
      <c r="O47" s="2"/>
    </row>
    <row r="48" spans="2:21" x14ac:dyDescent="0.2">
      <c r="B48" s="2">
        <v>38</v>
      </c>
      <c r="C48" s="147">
        <v>2023</v>
      </c>
      <c r="D48" s="147">
        <v>3211</v>
      </c>
      <c r="E48" s="27" t="s">
        <v>268</v>
      </c>
      <c r="F48" s="27" t="s">
        <v>85</v>
      </c>
      <c r="G48" s="27" t="s">
        <v>260</v>
      </c>
      <c r="H48" s="27">
        <v>5</v>
      </c>
      <c r="I48" s="147">
        <v>2023</v>
      </c>
      <c r="J48" s="27">
        <v>11</v>
      </c>
      <c r="K48" s="27">
        <v>1413638.9488373101</v>
      </c>
      <c r="L48" s="2"/>
      <c r="M48" s="2" t="s">
        <v>949</v>
      </c>
      <c r="N48" s="2"/>
      <c r="O48" s="2"/>
    </row>
    <row r="49" spans="2:15" x14ac:dyDescent="0.2">
      <c r="B49" s="2">
        <v>39</v>
      </c>
      <c r="C49" s="147">
        <v>2023</v>
      </c>
      <c r="D49" s="147">
        <v>3212</v>
      </c>
      <c r="E49" s="27" t="s">
        <v>268</v>
      </c>
      <c r="F49" s="27" t="s">
        <v>85</v>
      </c>
      <c r="G49" s="27" t="s">
        <v>260</v>
      </c>
      <c r="H49" s="27">
        <v>5</v>
      </c>
      <c r="I49" s="147">
        <v>2023</v>
      </c>
      <c r="J49" s="27">
        <v>12</v>
      </c>
      <c r="K49" s="27">
        <v>911244.16250352433</v>
      </c>
      <c r="L49" s="2"/>
      <c r="M49" s="2" t="s">
        <v>949</v>
      </c>
      <c r="N49" s="2"/>
      <c r="O49" s="2"/>
    </row>
    <row r="50" spans="2:15" x14ac:dyDescent="0.2">
      <c r="B50" s="2">
        <v>40</v>
      </c>
      <c r="C50" s="147">
        <v>2023</v>
      </c>
      <c r="D50" s="147">
        <v>3246</v>
      </c>
      <c r="E50" s="27" t="s">
        <v>268</v>
      </c>
      <c r="F50" s="27" t="s">
        <v>85</v>
      </c>
      <c r="G50" s="27" t="s">
        <v>249</v>
      </c>
      <c r="H50" s="27">
        <v>10</v>
      </c>
      <c r="I50" s="147">
        <v>2023</v>
      </c>
      <c r="J50" s="27">
        <v>12</v>
      </c>
      <c r="K50" s="27">
        <v>157441.375</v>
      </c>
      <c r="L50" s="2"/>
      <c r="M50" s="2" t="s">
        <v>949</v>
      </c>
      <c r="N50" s="2"/>
      <c r="O50" s="2"/>
    </row>
    <row r="51" spans="2:15" x14ac:dyDescent="0.2">
      <c r="B51" s="2">
        <v>41</v>
      </c>
      <c r="C51" s="147">
        <v>2023</v>
      </c>
      <c r="D51" s="147">
        <v>3340</v>
      </c>
      <c r="E51" s="27" t="s">
        <v>268</v>
      </c>
      <c r="F51" s="27" t="s">
        <v>86</v>
      </c>
      <c r="G51" s="27" t="s">
        <v>253</v>
      </c>
      <c r="H51" s="27">
        <v>5</v>
      </c>
      <c r="I51" s="147">
        <v>2023</v>
      </c>
      <c r="J51" s="27">
        <v>11</v>
      </c>
      <c r="K51" s="27">
        <v>546969.3806899999</v>
      </c>
      <c r="L51" s="2"/>
      <c r="M51" s="2" t="s">
        <v>949</v>
      </c>
      <c r="N51" s="2"/>
      <c r="O51" s="2"/>
    </row>
    <row r="52" spans="2:15" x14ac:dyDescent="0.2">
      <c r="B52" s="2">
        <v>42</v>
      </c>
      <c r="C52" s="147">
        <v>2023</v>
      </c>
      <c r="D52" s="147">
        <v>3341</v>
      </c>
      <c r="E52" s="27" t="s">
        <v>268</v>
      </c>
      <c r="F52" s="27" t="s">
        <v>86</v>
      </c>
      <c r="G52" s="27" t="s">
        <v>253</v>
      </c>
      <c r="H52" s="27">
        <v>5</v>
      </c>
      <c r="I52" s="147">
        <v>2023</v>
      </c>
      <c r="J52" s="27">
        <v>12</v>
      </c>
      <c r="K52" s="27">
        <v>6862458.2535313917</v>
      </c>
      <c r="L52" s="2"/>
      <c r="M52" s="2" t="s">
        <v>949</v>
      </c>
      <c r="N52" s="2"/>
      <c r="O52" s="2"/>
    </row>
    <row r="53" spans="2:15" x14ac:dyDescent="0.2">
      <c r="B53" s="2">
        <v>43</v>
      </c>
      <c r="C53" s="147">
        <v>2023</v>
      </c>
      <c r="D53" s="147">
        <v>3342</v>
      </c>
      <c r="E53" s="27" t="s">
        <v>268</v>
      </c>
      <c r="F53" s="27" t="s">
        <v>86</v>
      </c>
      <c r="G53" s="27" t="s">
        <v>253</v>
      </c>
      <c r="H53" s="27">
        <v>5</v>
      </c>
      <c r="I53" s="147">
        <v>2023</v>
      </c>
      <c r="J53" s="27">
        <v>13</v>
      </c>
      <c r="K53" s="27">
        <v>6808403.9714160003</v>
      </c>
      <c r="L53" s="2"/>
      <c r="M53" s="2" t="s">
        <v>949</v>
      </c>
      <c r="N53" s="2"/>
      <c r="O53" s="2"/>
    </row>
    <row r="54" spans="2:15" x14ac:dyDescent="0.2">
      <c r="B54" s="2">
        <v>44</v>
      </c>
      <c r="C54" s="147">
        <v>2023</v>
      </c>
      <c r="D54" s="147">
        <v>3344</v>
      </c>
      <c r="E54" s="27" t="s">
        <v>268</v>
      </c>
      <c r="F54" s="27" t="s">
        <v>86</v>
      </c>
      <c r="G54" s="27" t="s">
        <v>260</v>
      </c>
      <c r="H54" s="27">
        <v>5</v>
      </c>
      <c r="I54" s="147">
        <v>2023</v>
      </c>
      <c r="J54" s="27">
        <v>11</v>
      </c>
      <c r="K54" s="27">
        <v>4240924.7029860001</v>
      </c>
      <c r="L54" s="2"/>
      <c r="M54" s="2" t="s">
        <v>949</v>
      </c>
      <c r="N54" s="2"/>
      <c r="O54" s="2"/>
    </row>
    <row r="55" spans="2:15" x14ac:dyDescent="0.2">
      <c r="B55" s="2">
        <v>45</v>
      </c>
      <c r="C55" s="147">
        <v>2023</v>
      </c>
      <c r="D55" s="147">
        <v>3345</v>
      </c>
      <c r="E55" s="27" t="s">
        <v>268</v>
      </c>
      <c r="F55" s="27" t="s">
        <v>86</v>
      </c>
      <c r="G55" s="27" t="s">
        <v>260</v>
      </c>
      <c r="H55" s="27">
        <v>5</v>
      </c>
      <c r="I55" s="147">
        <v>2023</v>
      </c>
      <c r="J55" s="27">
        <v>12</v>
      </c>
      <c r="K55" s="27">
        <v>2733737.551863207</v>
      </c>
      <c r="L55" s="2"/>
      <c r="M55" s="2" t="s">
        <v>949</v>
      </c>
      <c r="N55" s="2"/>
      <c r="O55" s="2"/>
    </row>
    <row r="56" spans="2:15" x14ac:dyDescent="0.2">
      <c r="B56" s="2">
        <v>46</v>
      </c>
      <c r="C56" s="147">
        <v>2023</v>
      </c>
      <c r="D56" s="147">
        <v>3395</v>
      </c>
      <c r="E56" s="27" t="s">
        <v>268</v>
      </c>
      <c r="F56" s="27" t="s">
        <v>86</v>
      </c>
      <c r="G56" s="27" t="s">
        <v>249</v>
      </c>
      <c r="H56" s="27">
        <v>10</v>
      </c>
      <c r="I56" s="147">
        <v>2023</v>
      </c>
      <c r="J56" s="27">
        <v>12</v>
      </c>
      <c r="K56" s="27">
        <v>472325</v>
      </c>
      <c r="L56" s="2"/>
      <c r="M56" s="2" t="s">
        <v>949</v>
      </c>
      <c r="N56" s="2"/>
      <c r="O56" s="2"/>
    </row>
    <row r="57" spans="2:15" x14ac:dyDescent="0.2">
      <c r="B57" s="2">
        <v>47</v>
      </c>
      <c r="C57" s="147">
        <v>2024</v>
      </c>
      <c r="D57" s="147">
        <v>3136</v>
      </c>
      <c r="E57" s="27" t="s">
        <v>267</v>
      </c>
      <c r="F57" s="27" t="s">
        <v>85</v>
      </c>
      <c r="G57" s="27" t="s">
        <v>260</v>
      </c>
      <c r="H57" s="27">
        <v>5</v>
      </c>
      <c r="I57" s="147">
        <v>2024</v>
      </c>
      <c r="J57" s="27">
        <v>12</v>
      </c>
      <c r="K57" s="27">
        <v>508434.94478261302</v>
      </c>
      <c r="L57" s="2"/>
      <c r="M57" s="2" t="s">
        <v>949</v>
      </c>
      <c r="N57" s="2"/>
      <c r="O57" s="2"/>
    </row>
    <row r="58" spans="2:15" x14ac:dyDescent="0.2">
      <c r="B58" s="2">
        <v>48</v>
      </c>
      <c r="C58" s="147">
        <v>2024</v>
      </c>
      <c r="D58" s="147">
        <v>3212</v>
      </c>
      <c r="E58" s="27" t="s">
        <v>268</v>
      </c>
      <c r="F58" s="27" t="s">
        <v>85</v>
      </c>
      <c r="G58" s="27" t="s">
        <v>260</v>
      </c>
      <c r="H58" s="27">
        <v>5</v>
      </c>
      <c r="I58" s="147">
        <v>2024</v>
      </c>
      <c r="J58" s="27">
        <v>12</v>
      </c>
      <c r="K58" s="27">
        <v>777543.6002615199</v>
      </c>
      <c r="L58" s="2"/>
      <c r="M58" s="2" t="s">
        <v>949</v>
      </c>
      <c r="N58" s="2"/>
      <c r="O58" s="2"/>
    </row>
    <row r="59" spans="2:15" x14ac:dyDescent="0.2">
      <c r="B59" s="2">
        <v>49</v>
      </c>
      <c r="C59" s="147">
        <v>2024</v>
      </c>
      <c r="D59" s="147">
        <v>3345</v>
      </c>
      <c r="E59" s="27" t="s">
        <v>268</v>
      </c>
      <c r="F59" s="27" t="s">
        <v>86</v>
      </c>
      <c r="G59" s="27" t="s">
        <v>260</v>
      </c>
      <c r="H59" s="27">
        <v>5</v>
      </c>
      <c r="I59" s="147">
        <v>2024</v>
      </c>
      <c r="J59" s="27">
        <v>12</v>
      </c>
      <c r="K59" s="27">
        <v>2332635.1220797095</v>
      </c>
      <c r="L59" s="2"/>
      <c r="M59" s="2" t="s">
        <v>949</v>
      </c>
      <c r="N59" s="2"/>
      <c r="O59" s="2"/>
    </row>
    <row r="60" spans="2:15" x14ac:dyDescent="0.2">
      <c r="B60" s="2">
        <v>50</v>
      </c>
      <c r="C60" s="147">
        <v>2024</v>
      </c>
      <c r="D60" s="147">
        <v>3469</v>
      </c>
      <c r="E60" s="27" t="s">
        <v>267</v>
      </c>
      <c r="F60" s="27" t="s">
        <v>85</v>
      </c>
      <c r="G60" s="27" t="s">
        <v>253</v>
      </c>
      <c r="H60" s="27">
        <v>5</v>
      </c>
      <c r="I60" s="147">
        <v>2024</v>
      </c>
      <c r="J60" s="27">
        <v>6</v>
      </c>
      <c r="K60" s="27">
        <v>186837.25307226001</v>
      </c>
      <c r="L60" s="2"/>
      <c r="M60" s="2" t="s">
        <v>949</v>
      </c>
      <c r="N60" s="2"/>
      <c r="O60" s="2"/>
    </row>
    <row r="61" spans="2:15" x14ac:dyDescent="0.2">
      <c r="B61" s="2">
        <v>51</v>
      </c>
      <c r="C61" s="147">
        <v>2024</v>
      </c>
      <c r="D61" s="147">
        <v>3470</v>
      </c>
      <c r="E61" s="27" t="s">
        <v>267</v>
      </c>
      <c r="F61" s="27" t="s">
        <v>85</v>
      </c>
      <c r="G61" s="27" t="s">
        <v>249</v>
      </c>
      <c r="H61" s="27">
        <v>10</v>
      </c>
      <c r="I61" s="147">
        <v>2024</v>
      </c>
      <c r="J61" s="27">
        <v>12</v>
      </c>
      <c r="K61" s="27">
        <v>269272.61649519997</v>
      </c>
      <c r="L61" s="2"/>
      <c r="M61" s="2" t="s">
        <v>949</v>
      </c>
      <c r="N61" s="2"/>
      <c r="O61" s="2"/>
    </row>
    <row r="62" spans="2:15" x14ac:dyDescent="0.2">
      <c r="B62" s="2">
        <v>52</v>
      </c>
      <c r="C62" s="147">
        <v>2024</v>
      </c>
      <c r="D62" s="147">
        <v>3471</v>
      </c>
      <c r="E62" s="27" t="s">
        <v>267</v>
      </c>
      <c r="F62" s="27" t="s">
        <v>85</v>
      </c>
      <c r="G62" s="27" t="s">
        <v>253</v>
      </c>
      <c r="H62" s="27">
        <v>5</v>
      </c>
      <c r="I62" s="147">
        <v>2024</v>
      </c>
      <c r="J62" s="27">
        <v>1</v>
      </c>
      <c r="K62" s="27">
        <v>24985.411662499999</v>
      </c>
      <c r="L62" s="2"/>
      <c r="M62" s="2" t="s">
        <v>949</v>
      </c>
      <c r="N62" s="2"/>
      <c r="O62" s="2"/>
    </row>
    <row r="63" spans="2:15" x14ac:dyDescent="0.2">
      <c r="B63" s="2">
        <v>53</v>
      </c>
      <c r="C63" s="147">
        <v>2024</v>
      </c>
      <c r="D63" s="147">
        <v>3472</v>
      </c>
      <c r="E63" s="27" t="s">
        <v>267</v>
      </c>
      <c r="F63" s="27" t="s">
        <v>85</v>
      </c>
      <c r="G63" s="27" t="s">
        <v>253</v>
      </c>
      <c r="H63" s="27">
        <v>5</v>
      </c>
      <c r="I63" s="147">
        <v>2024</v>
      </c>
      <c r="J63" s="27">
        <v>7</v>
      </c>
      <c r="K63" s="27">
        <v>164146.98895627999</v>
      </c>
      <c r="L63" s="2"/>
      <c r="M63" s="2" t="s">
        <v>949</v>
      </c>
      <c r="N63" s="2"/>
      <c r="O63" s="2"/>
    </row>
    <row r="64" spans="2:15" x14ac:dyDescent="0.2">
      <c r="B64" s="2">
        <v>54</v>
      </c>
      <c r="C64" s="147">
        <v>2024</v>
      </c>
      <c r="D64" s="147">
        <v>3473</v>
      </c>
      <c r="E64" s="27" t="s">
        <v>267</v>
      </c>
      <c r="F64" s="27" t="s">
        <v>85</v>
      </c>
      <c r="G64" s="27" t="s">
        <v>253</v>
      </c>
      <c r="H64" s="27">
        <v>5</v>
      </c>
      <c r="I64" s="147">
        <v>2024</v>
      </c>
      <c r="J64" s="27">
        <v>8</v>
      </c>
      <c r="K64" s="27">
        <v>159918.37337866001</v>
      </c>
      <c r="L64" s="2"/>
      <c r="M64" s="2" t="s">
        <v>949</v>
      </c>
      <c r="N64" s="2"/>
      <c r="O64" s="2"/>
    </row>
    <row r="65" spans="2:15" x14ac:dyDescent="0.2">
      <c r="B65" s="2">
        <v>55</v>
      </c>
      <c r="C65" s="147">
        <v>2024</v>
      </c>
      <c r="D65" s="147">
        <v>3475</v>
      </c>
      <c r="E65" s="27" t="s">
        <v>267</v>
      </c>
      <c r="F65" s="27" t="s">
        <v>85</v>
      </c>
      <c r="G65" s="27" t="s">
        <v>253</v>
      </c>
      <c r="H65" s="27">
        <v>5</v>
      </c>
      <c r="I65" s="147">
        <v>2024</v>
      </c>
      <c r="J65" s="27">
        <v>11</v>
      </c>
      <c r="K65" s="27">
        <v>895094.7831326999</v>
      </c>
      <c r="L65" s="2"/>
      <c r="M65" s="2" t="s">
        <v>949</v>
      </c>
      <c r="N65" s="2"/>
      <c r="O65" s="2"/>
    </row>
    <row r="66" spans="2:15" x14ac:dyDescent="0.2">
      <c r="B66" s="2">
        <v>56</v>
      </c>
      <c r="C66" s="147">
        <v>2024</v>
      </c>
      <c r="D66" s="147">
        <v>3476</v>
      </c>
      <c r="E66" s="27" t="s">
        <v>267</v>
      </c>
      <c r="F66" s="27" t="s">
        <v>85</v>
      </c>
      <c r="G66" s="27" t="s">
        <v>253</v>
      </c>
      <c r="H66" s="27">
        <v>5</v>
      </c>
      <c r="I66" s="147">
        <v>2024</v>
      </c>
      <c r="J66" s="27">
        <v>12</v>
      </c>
      <c r="K66" s="27">
        <v>4038887.4630330573</v>
      </c>
      <c r="L66" s="2"/>
      <c r="M66" s="2" t="s">
        <v>949</v>
      </c>
      <c r="N66" s="2"/>
      <c r="O66" s="2"/>
    </row>
    <row r="67" spans="2:15" x14ac:dyDescent="0.2">
      <c r="B67" s="2">
        <v>57</v>
      </c>
      <c r="C67" s="147">
        <v>2024</v>
      </c>
      <c r="D67" s="147">
        <v>3477</v>
      </c>
      <c r="E67" s="27" t="s">
        <v>267</v>
      </c>
      <c r="F67" s="27" t="s">
        <v>85</v>
      </c>
      <c r="G67" s="27" t="s">
        <v>253</v>
      </c>
      <c r="H67" s="27">
        <v>5</v>
      </c>
      <c r="I67" s="147">
        <v>2024</v>
      </c>
      <c r="J67" s="27">
        <v>6</v>
      </c>
      <c r="K67" s="27">
        <v>478820.14142633998</v>
      </c>
      <c r="L67" s="2"/>
      <c r="M67" s="2" t="s">
        <v>949</v>
      </c>
      <c r="N67" s="2"/>
      <c r="O67" s="2"/>
    </row>
    <row r="68" spans="2:15" x14ac:dyDescent="0.2">
      <c r="B68" s="2">
        <v>58</v>
      </c>
      <c r="C68" s="147">
        <v>2024</v>
      </c>
      <c r="D68" s="147">
        <v>3489</v>
      </c>
      <c r="E68" s="27" t="s">
        <v>268</v>
      </c>
      <c r="F68" s="27" t="s">
        <v>85</v>
      </c>
      <c r="G68" s="27" t="s">
        <v>253</v>
      </c>
      <c r="H68" s="27">
        <v>5</v>
      </c>
      <c r="I68" s="147">
        <v>2024</v>
      </c>
      <c r="J68" s="27">
        <v>6</v>
      </c>
      <c r="K68" s="27">
        <v>1017982.0493661</v>
      </c>
      <c r="L68" s="2"/>
      <c r="M68" s="2" t="s">
        <v>949</v>
      </c>
      <c r="N68" s="2"/>
      <c r="O68" s="2"/>
    </row>
    <row r="69" spans="2:15" x14ac:dyDescent="0.2">
      <c r="B69" s="2">
        <v>59</v>
      </c>
      <c r="C69" s="147">
        <v>2024</v>
      </c>
      <c r="D69" s="147">
        <v>3490</v>
      </c>
      <c r="E69" s="27" t="s">
        <v>268</v>
      </c>
      <c r="F69" s="27" t="s">
        <v>85</v>
      </c>
      <c r="G69" s="27" t="s">
        <v>249</v>
      </c>
      <c r="H69" s="27">
        <v>10</v>
      </c>
      <c r="I69" s="147">
        <v>2024</v>
      </c>
      <c r="J69" s="27">
        <v>12</v>
      </c>
      <c r="K69" s="27">
        <v>411795.45550520002</v>
      </c>
      <c r="L69" s="2"/>
      <c r="M69" s="2" t="s">
        <v>949</v>
      </c>
      <c r="N69" s="2"/>
      <c r="O69" s="2"/>
    </row>
    <row r="70" spans="2:15" x14ac:dyDescent="0.2">
      <c r="B70" s="2">
        <v>60</v>
      </c>
      <c r="C70" s="147">
        <v>2024</v>
      </c>
      <c r="D70" s="147">
        <v>3523</v>
      </c>
      <c r="E70" s="27" t="s">
        <v>268</v>
      </c>
      <c r="F70" s="27" t="s">
        <v>85</v>
      </c>
      <c r="G70" s="27" t="s">
        <v>253</v>
      </c>
      <c r="H70" s="27">
        <v>5</v>
      </c>
      <c r="I70" s="147">
        <v>2024</v>
      </c>
      <c r="J70" s="27">
        <v>1</v>
      </c>
      <c r="K70" s="27">
        <v>38209.89713125</v>
      </c>
      <c r="L70" s="2"/>
      <c r="M70" s="2" t="s">
        <v>949</v>
      </c>
      <c r="N70" s="2"/>
      <c r="O70" s="2"/>
    </row>
    <row r="71" spans="2:15" x14ac:dyDescent="0.2">
      <c r="B71" s="2">
        <v>61</v>
      </c>
      <c r="C71" s="147">
        <v>2024</v>
      </c>
      <c r="D71" s="147">
        <v>3524</v>
      </c>
      <c r="E71" s="27" t="s">
        <v>268</v>
      </c>
      <c r="F71" s="27" t="s">
        <v>85</v>
      </c>
      <c r="G71" s="27" t="s">
        <v>253</v>
      </c>
      <c r="H71" s="27">
        <v>5</v>
      </c>
      <c r="I71" s="147">
        <v>2024</v>
      </c>
      <c r="J71" s="27">
        <v>7</v>
      </c>
      <c r="K71" s="27">
        <v>251028.06578278</v>
      </c>
      <c r="L71" s="2"/>
      <c r="M71" s="2" t="s">
        <v>949</v>
      </c>
      <c r="N71" s="2"/>
      <c r="O71" s="2"/>
    </row>
    <row r="72" spans="2:15" x14ac:dyDescent="0.2">
      <c r="B72" s="2">
        <v>62</v>
      </c>
      <c r="C72" s="147">
        <v>2024</v>
      </c>
      <c r="D72" s="147">
        <v>3525</v>
      </c>
      <c r="E72" s="27" t="s">
        <v>268</v>
      </c>
      <c r="F72" s="27" t="s">
        <v>85</v>
      </c>
      <c r="G72" s="27" t="s">
        <v>253</v>
      </c>
      <c r="H72" s="27">
        <v>5</v>
      </c>
      <c r="I72" s="147">
        <v>2024</v>
      </c>
      <c r="J72" s="27">
        <v>8</v>
      </c>
      <c r="K72" s="27">
        <v>244561.29355541003</v>
      </c>
      <c r="L72" s="2"/>
      <c r="M72" s="2" t="s">
        <v>949</v>
      </c>
      <c r="N72" s="2"/>
      <c r="O72" s="2"/>
    </row>
    <row r="73" spans="2:15" x14ac:dyDescent="0.2">
      <c r="B73" s="2">
        <v>63</v>
      </c>
      <c r="C73" s="147">
        <v>2024</v>
      </c>
      <c r="D73" s="147">
        <v>3527</v>
      </c>
      <c r="E73" s="27" t="s">
        <v>268</v>
      </c>
      <c r="F73" s="27" t="s">
        <v>85</v>
      </c>
      <c r="G73" s="27" t="s">
        <v>253</v>
      </c>
      <c r="H73" s="27">
        <v>5</v>
      </c>
      <c r="I73" s="147">
        <v>2024</v>
      </c>
      <c r="J73" s="27">
        <v>11</v>
      </c>
      <c r="K73" s="27">
        <v>1368857.9579239499</v>
      </c>
      <c r="L73" s="2"/>
      <c r="M73" s="2" t="s">
        <v>949</v>
      </c>
      <c r="N73" s="2"/>
      <c r="O73" s="2"/>
    </row>
    <row r="74" spans="2:15" x14ac:dyDescent="0.2">
      <c r="B74" s="2">
        <v>64</v>
      </c>
      <c r="C74" s="147">
        <v>2024</v>
      </c>
      <c r="D74" s="147">
        <v>3528</v>
      </c>
      <c r="E74" s="27" t="s">
        <v>268</v>
      </c>
      <c r="F74" s="27" t="s">
        <v>85</v>
      </c>
      <c r="G74" s="27" t="s">
        <v>253</v>
      </c>
      <c r="H74" s="27">
        <v>5</v>
      </c>
      <c r="I74" s="147">
        <v>2024</v>
      </c>
      <c r="J74" s="27">
        <v>12</v>
      </c>
      <c r="K74" s="27">
        <v>6153811.9168610303</v>
      </c>
      <c r="L74" s="2"/>
      <c r="M74" s="2" t="s">
        <v>949</v>
      </c>
      <c r="N74" s="2"/>
      <c r="O74" s="2"/>
    </row>
    <row r="75" spans="2:15" x14ac:dyDescent="0.2">
      <c r="B75" s="2">
        <v>65</v>
      </c>
      <c r="C75" s="147">
        <v>2024</v>
      </c>
      <c r="D75" s="147">
        <v>3529</v>
      </c>
      <c r="E75" s="27" t="s">
        <v>267</v>
      </c>
      <c r="F75" s="27" t="s">
        <v>85</v>
      </c>
      <c r="G75" s="27" t="s">
        <v>253</v>
      </c>
      <c r="H75" s="27">
        <v>5</v>
      </c>
      <c r="I75" s="147">
        <v>2024</v>
      </c>
      <c r="J75" s="27">
        <v>4</v>
      </c>
      <c r="K75" s="27">
        <v>528274.14022053999</v>
      </c>
      <c r="L75" s="2"/>
      <c r="M75" s="2" t="s">
        <v>949</v>
      </c>
      <c r="N75" s="2"/>
      <c r="O75" s="2"/>
    </row>
    <row r="76" spans="2:15" x14ac:dyDescent="0.2">
      <c r="B76" s="2">
        <v>66</v>
      </c>
      <c r="C76" s="147">
        <v>2024</v>
      </c>
      <c r="D76" s="147">
        <v>3529</v>
      </c>
      <c r="E76" s="27" t="s">
        <v>268</v>
      </c>
      <c r="F76" s="27" t="s">
        <v>85</v>
      </c>
      <c r="G76" s="27" t="s">
        <v>253</v>
      </c>
      <c r="H76" s="27">
        <v>5</v>
      </c>
      <c r="I76" s="147">
        <v>2024</v>
      </c>
      <c r="J76" s="27">
        <v>4</v>
      </c>
      <c r="K76" s="27">
        <v>807883.44925379008</v>
      </c>
      <c r="L76" s="2"/>
      <c r="M76" s="2" t="s">
        <v>949</v>
      </c>
      <c r="N76" s="2"/>
      <c r="O76" s="2"/>
    </row>
    <row r="77" spans="2:15" x14ac:dyDescent="0.2">
      <c r="B77" s="2">
        <v>67</v>
      </c>
      <c r="C77" s="147">
        <v>2024</v>
      </c>
      <c r="D77" s="147">
        <v>3529</v>
      </c>
      <c r="E77" s="27" t="s">
        <v>268</v>
      </c>
      <c r="F77" s="27" t="s">
        <v>86</v>
      </c>
      <c r="G77" s="27" t="s">
        <v>253</v>
      </c>
      <c r="H77" s="27">
        <v>5</v>
      </c>
      <c r="I77" s="147">
        <v>2024</v>
      </c>
      <c r="J77" s="27">
        <v>4</v>
      </c>
      <c r="K77" s="27">
        <v>2423654.8376739998</v>
      </c>
      <c r="L77" s="2"/>
      <c r="M77" s="2" t="s">
        <v>949</v>
      </c>
      <c r="N77" s="2"/>
      <c r="O77" s="2"/>
    </row>
    <row r="78" spans="2:15" x14ac:dyDescent="0.2">
      <c r="B78" s="2">
        <v>68</v>
      </c>
      <c r="C78" s="147">
        <v>2024</v>
      </c>
      <c r="D78" s="147">
        <v>3607</v>
      </c>
      <c r="E78" s="27" t="s">
        <v>268</v>
      </c>
      <c r="F78" s="27" t="s">
        <v>86</v>
      </c>
      <c r="G78" s="27" t="s">
        <v>253</v>
      </c>
      <c r="H78" s="27">
        <v>5</v>
      </c>
      <c r="I78" s="147">
        <v>2024</v>
      </c>
      <c r="J78" s="27">
        <v>6</v>
      </c>
      <c r="K78" s="27">
        <v>3053951.8056599996</v>
      </c>
      <c r="L78" s="2"/>
      <c r="M78" s="2" t="s">
        <v>949</v>
      </c>
      <c r="N78" s="2"/>
      <c r="O78" s="2"/>
    </row>
    <row r="79" spans="2:15" x14ac:dyDescent="0.2">
      <c r="B79" s="2">
        <v>69</v>
      </c>
      <c r="C79" s="147">
        <v>2024</v>
      </c>
      <c r="D79" s="147">
        <v>3608</v>
      </c>
      <c r="E79" s="27" t="s">
        <v>268</v>
      </c>
      <c r="F79" s="27" t="s">
        <v>86</v>
      </c>
      <c r="G79" s="27" t="s">
        <v>249</v>
      </c>
      <c r="H79" s="27">
        <v>10</v>
      </c>
      <c r="I79" s="147">
        <v>2024</v>
      </c>
      <c r="J79" s="27">
        <v>12</v>
      </c>
      <c r="K79" s="27">
        <v>1235388.6551199998</v>
      </c>
      <c r="L79" s="2"/>
      <c r="M79" s="2" t="s">
        <v>949</v>
      </c>
      <c r="N79" s="2"/>
      <c r="O79" s="2"/>
    </row>
    <row r="80" spans="2:15" x14ac:dyDescent="0.2">
      <c r="B80" s="2">
        <v>70</v>
      </c>
      <c r="C80" s="147">
        <v>2024</v>
      </c>
      <c r="D80" s="147">
        <v>3674</v>
      </c>
      <c r="E80" s="27" t="s">
        <v>268</v>
      </c>
      <c r="F80" s="27" t="s">
        <v>86</v>
      </c>
      <c r="G80" s="27" t="s">
        <v>253</v>
      </c>
      <c r="H80" s="27">
        <v>5</v>
      </c>
      <c r="I80" s="147">
        <v>2024</v>
      </c>
      <c r="J80" s="27">
        <v>1</v>
      </c>
      <c r="K80" s="27">
        <v>114629.90374999998</v>
      </c>
      <c r="L80" s="2"/>
      <c r="M80" s="2" t="s">
        <v>949</v>
      </c>
      <c r="N80" s="2"/>
      <c r="O80" s="2"/>
    </row>
    <row r="81" spans="2:15" x14ac:dyDescent="0.2">
      <c r="B81" s="2">
        <v>71</v>
      </c>
      <c r="C81" s="147">
        <v>2024</v>
      </c>
      <c r="D81" s="147">
        <v>3675</v>
      </c>
      <c r="E81" s="27" t="s">
        <v>268</v>
      </c>
      <c r="F81" s="27" t="s">
        <v>86</v>
      </c>
      <c r="G81" s="27" t="s">
        <v>253</v>
      </c>
      <c r="H81" s="27">
        <v>5</v>
      </c>
      <c r="I81" s="147">
        <v>2024</v>
      </c>
      <c r="J81" s="27">
        <v>7</v>
      </c>
      <c r="K81" s="27">
        <v>753085.59246800002</v>
      </c>
      <c r="L81" s="2"/>
      <c r="M81" s="2" t="s">
        <v>949</v>
      </c>
      <c r="N81" s="2"/>
      <c r="O81" s="2"/>
    </row>
    <row r="82" spans="2:15" x14ac:dyDescent="0.2">
      <c r="B82" s="2">
        <v>72</v>
      </c>
      <c r="C82" s="147">
        <v>2024</v>
      </c>
      <c r="D82" s="147">
        <v>3676</v>
      </c>
      <c r="E82" s="27" t="s">
        <v>268</v>
      </c>
      <c r="F82" s="27" t="s">
        <v>86</v>
      </c>
      <c r="G82" s="27" t="s">
        <v>253</v>
      </c>
      <c r="H82" s="27">
        <v>5</v>
      </c>
      <c r="I82" s="147">
        <v>2024</v>
      </c>
      <c r="J82" s="27">
        <v>8</v>
      </c>
      <c r="K82" s="27">
        <v>733685.23984599998</v>
      </c>
      <c r="L82" s="2"/>
      <c r="M82" s="2" t="s">
        <v>949</v>
      </c>
      <c r="N82" s="2"/>
      <c r="O82" s="2"/>
    </row>
    <row r="83" spans="2:15" x14ac:dyDescent="0.2">
      <c r="B83" s="2">
        <v>73</v>
      </c>
      <c r="C83" s="147">
        <v>2024</v>
      </c>
      <c r="D83" s="147">
        <v>3678</v>
      </c>
      <c r="E83" s="27" t="s">
        <v>268</v>
      </c>
      <c r="F83" s="27" t="s">
        <v>86</v>
      </c>
      <c r="G83" s="27" t="s">
        <v>253</v>
      </c>
      <c r="H83" s="27">
        <v>5</v>
      </c>
      <c r="I83" s="147">
        <v>2024</v>
      </c>
      <c r="J83" s="27">
        <v>11</v>
      </c>
      <c r="K83" s="27">
        <v>4106581.4813699992</v>
      </c>
      <c r="L83" s="2"/>
      <c r="M83" s="2" t="s">
        <v>949</v>
      </c>
      <c r="N83" s="2"/>
      <c r="O83" s="2"/>
    </row>
    <row r="84" spans="2:15" x14ac:dyDescent="0.2">
      <c r="B84" s="2">
        <v>74</v>
      </c>
      <c r="C84" s="147">
        <v>2024</v>
      </c>
      <c r="D84" s="147">
        <v>3679</v>
      </c>
      <c r="E84" s="27" t="s">
        <v>268</v>
      </c>
      <c r="F84" s="27" t="s">
        <v>86</v>
      </c>
      <c r="G84" s="27" t="s">
        <v>253</v>
      </c>
      <c r="H84" s="27">
        <v>5</v>
      </c>
      <c r="I84" s="147">
        <v>2024</v>
      </c>
      <c r="J84" s="27">
        <v>12</v>
      </c>
      <c r="K84" s="27">
        <v>18461466.297710437</v>
      </c>
      <c r="L84" s="2"/>
      <c r="M84" s="2" t="s">
        <v>949</v>
      </c>
      <c r="N84" s="2"/>
      <c r="O84" s="2"/>
    </row>
    <row r="85" spans="2:15" x14ac:dyDescent="0.2">
      <c r="B85" s="2">
        <v>85</v>
      </c>
      <c r="C85" s="147">
        <v>2025</v>
      </c>
      <c r="D85" s="147">
        <v>3847</v>
      </c>
      <c r="E85" s="27" t="s">
        <v>267</v>
      </c>
      <c r="F85" s="27" t="s">
        <v>85</v>
      </c>
      <c r="G85" s="27" t="s">
        <v>253</v>
      </c>
      <c r="H85" s="27">
        <v>5</v>
      </c>
      <c r="I85" s="147">
        <v>2025</v>
      </c>
      <c r="J85" s="27">
        <v>7</v>
      </c>
      <c r="K85" s="27">
        <v>4892614</v>
      </c>
      <c r="L85" s="2"/>
      <c r="M85" s="2" t="s">
        <v>950</v>
      </c>
      <c r="N85" s="2"/>
      <c r="O85" s="2"/>
    </row>
    <row r="86" spans="2:15" x14ac:dyDescent="0.2">
      <c r="B86" s="2">
        <v>86</v>
      </c>
      <c r="C86" s="147">
        <v>2025</v>
      </c>
      <c r="D86" s="147">
        <v>3842</v>
      </c>
      <c r="E86" s="27" t="s">
        <v>267</v>
      </c>
      <c r="F86" s="27" t="s">
        <v>85</v>
      </c>
      <c r="G86" s="27" t="s">
        <v>253</v>
      </c>
      <c r="H86" s="27">
        <v>5</v>
      </c>
      <c r="I86" s="147">
        <v>2025</v>
      </c>
      <c r="J86" s="27">
        <v>10</v>
      </c>
      <c r="K86" s="27">
        <v>177291</v>
      </c>
      <c r="L86" s="2"/>
      <c r="M86" s="2" t="s">
        <v>950</v>
      </c>
      <c r="N86" s="2"/>
      <c r="O86" s="2"/>
    </row>
    <row r="87" spans="2:15" x14ac:dyDescent="0.2">
      <c r="B87" s="2">
        <v>87</v>
      </c>
      <c r="C87" s="147">
        <v>2025</v>
      </c>
      <c r="D87" s="147">
        <v>3848</v>
      </c>
      <c r="E87" s="27" t="s">
        <v>267</v>
      </c>
      <c r="F87" s="27" t="s">
        <v>85</v>
      </c>
      <c r="G87" s="27" t="s">
        <v>253</v>
      </c>
      <c r="H87" s="27">
        <v>5</v>
      </c>
      <c r="I87" s="147">
        <v>2025</v>
      </c>
      <c r="J87" s="27">
        <v>11</v>
      </c>
      <c r="K87" s="27">
        <v>2911162</v>
      </c>
      <c r="L87" s="2"/>
      <c r="M87" s="2" t="s">
        <v>950</v>
      </c>
      <c r="N87" s="2"/>
      <c r="O87" s="2"/>
    </row>
    <row r="88" spans="2:15" x14ac:dyDescent="0.2">
      <c r="B88" s="2">
        <v>88</v>
      </c>
      <c r="C88" s="147">
        <v>2025</v>
      </c>
      <c r="D88" s="147">
        <v>3849</v>
      </c>
      <c r="E88" s="27" t="s">
        <v>267</v>
      </c>
      <c r="F88" s="27" t="s">
        <v>85</v>
      </c>
      <c r="G88" s="27" t="s">
        <v>253</v>
      </c>
      <c r="H88" s="27">
        <v>5</v>
      </c>
      <c r="I88" s="147">
        <v>2025</v>
      </c>
      <c r="J88" s="27">
        <v>12</v>
      </c>
      <c r="K88" s="27">
        <v>16780624</v>
      </c>
      <c r="L88" s="2"/>
      <c r="M88" s="2" t="s">
        <v>950</v>
      </c>
      <c r="N88" s="2"/>
      <c r="O88" s="2"/>
    </row>
    <row r="89" spans="2:15" x14ac:dyDescent="0.2">
      <c r="B89" s="2">
        <v>89</v>
      </c>
      <c r="C89" s="147">
        <v>2025</v>
      </c>
      <c r="D89" s="147">
        <v>3844</v>
      </c>
      <c r="E89" s="27" t="s">
        <v>267</v>
      </c>
      <c r="F89" s="27" t="s">
        <v>85</v>
      </c>
      <c r="G89" s="27" t="s">
        <v>253</v>
      </c>
      <c r="H89" s="27">
        <v>5</v>
      </c>
      <c r="I89" s="147">
        <v>2025</v>
      </c>
      <c r="J89" s="27">
        <v>13</v>
      </c>
      <c r="K89" s="27">
        <v>830553</v>
      </c>
      <c r="L89" s="2"/>
      <c r="M89" s="2" t="s">
        <v>950</v>
      </c>
      <c r="N89" s="2"/>
      <c r="O89" s="2"/>
    </row>
    <row r="90" spans="2:15" x14ac:dyDescent="0.2">
      <c r="B90" s="2">
        <v>90</v>
      </c>
      <c r="C90" s="147">
        <v>2025</v>
      </c>
      <c r="D90" s="147">
        <v>3850</v>
      </c>
      <c r="E90" s="27" t="s">
        <v>267</v>
      </c>
      <c r="F90" s="27" t="s">
        <v>85</v>
      </c>
      <c r="G90" s="27" t="s">
        <v>253</v>
      </c>
      <c r="H90" s="27">
        <v>5</v>
      </c>
      <c r="I90" s="147">
        <v>2025</v>
      </c>
      <c r="J90" s="27">
        <v>13</v>
      </c>
      <c r="K90" s="27">
        <v>988125</v>
      </c>
      <c r="L90" s="2"/>
      <c r="M90" s="2" t="s">
        <v>950</v>
      </c>
      <c r="N90" s="2"/>
      <c r="O90" s="2"/>
    </row>
    <row r="91" spans="2:15" x14ac:dyDescent="0.2">
      <c r="B91" s="2">
        <v>91</v>
      </c>
      <c r="C91" s="147">
        <v>2025</v>
      </c>
      <c r="D91" s="147">
        <v>3851</v>
      </c>
      <c r="E91" s="27" t="s">
        <v>267</v>
      </c>
      <c r="F91" s="27" t="s">
        <v>85</v>
      </c>
      <c r="G91" s="27" t="s">
        <v>260</v>
      </c>
      <c r="H91" s="27">
        <v>5</v>
      </c>
      <c r="I91" s="147">
        <v>2025</v>
      </c>
      <c r="J91" s="27">
        <v>9</v>
      </c>
      <c r="K91" s="27">
        <v>89133</v>
      </c>
      <c r="L91" s="2"/>
      <c r="M91" s="2" t="s">
        <v>950</v>
      </c>
      <c r="N91" s="2"/>
      <c r="O91" s="2"/>
    </row>
    <row r="92" spans="2:15" x14ac:dyDescent="0.2">
      <c r="B92" s="2">
        <v>92</v>
      </c>
      <c r="C92" s="147">
        <v>2025</v>
      </c>
      <c r="D92" s="147">
        <v>3852</v>
      </c>
      <c r="E92" s="27" t="s">
        <v>267</v>
      </c>
      <c r="F92" s="27" t="s">
        <v>85</v>
      </c>
      <c r="G92" s="27" t="s">
        <v>260</v>
      </c>
      <c r="H92" s="27">
        <v>5</v>
      </c>
      <c r="I92" s="147">
        <v>2025</v>
      </c>
      <c r="J92" s="27">
        <v>12</v>
      </c>
      <c r="K92" s="27">
        <v>533153</v>
      </c>
      <c r="L92" s="2"/>
      <c r="M92" s="2" t="s">
        <v>950</v>
      </c>
      <c r="N92" s="2"/>
      <c r="O92" s="2"/>
    </row>
    <row r="93" spans="2:15" x14ac:dyDescent="0.2">
      <c r="B93" s="2">
        <v>93</v>
      </c>
      <c r="C93" s="147">
        <v>2025</v>
      </c>
      <c r="D93" s="147">
        <v>3913</v>
      </c>
      <c r="E93" s="27" t="s">
        <v>268</v>
      </c>
      <c r="F93" s="27" t="s">
        <v>85</v>
      </c>
      <c r="G93" s="27" t="s">
        <v>253</v>
      </c>
      <c r="H93" s="27">
        <v>5</v>
      </c>
      <c r="I93" s="147">
        <v>2025</v>
      </c>
      <c r="J93" s="27">
        <v>10</v>
      </c>
      <c r="K93" s="27">
        <v>258295</v>
      </c>
      <c r="L93" s="2"/>
      <c r="M93" s="2" t="s">
        <v>950</v>
      </c>
      <c r="N93" s="2"/>
      <c r="O93" s="2"/>
    </row>
    <row r="94" spans="2:15" x14ac:dyDescent="0.2">
      <c r="B94" s="2">
        <v>94</v>
      </c>
      <c r="C94" s="147">
        <v>2025</v>
      </c>
      <c r="D94" s="147">
        <v>3914</v>
      </c>
      <c r="E94" s="27" t="s">
        <v>268</v>
      </c>
      <c r="F94" s="27" t="s">
        <v>85</v>
      </c>
      <c r="G94" s="27" t="s">
        <v>253</v>
      </c>
      <c r="H94" s="27">
        <v>5</v>
      </c>
      <c r="I94" s="147">
        <v>2025</v>
      </c>
      <c r="J94" s="27">
        <v>12</v>
      </c>
      <c r="K94" s="27">
        <v>2289027</v>
      </c>
      <c r="L94" s="2"/>
      <c r="M94" s="2" t="s">
        <v>950</v>
      </c>
      <c r="N94" s="2"/>
      <c r="O94" s="2"/>
    </row>
    <row r="95" spans="2:15" x14ac:dyDescent="0.2">
      <c r="B95" s="2">
        <v>95</v>
      </c>
      <c r="C95" s="147">
        <v>2025</v>
      </c>
      <c r="D95" s="147">
        <v>3915</v>
      </c>
      <c r="E95" s="27" t="s">
        <v>268</v>
      </c>
      <c r="F95" s="27" t="s">
        <v>85</v>
      </c>
      <c r="G95" s="27" t="s">
        <v>253</v>
      </c>
      <c r="H95" s="27">
        <v>5</v>
      </c>
      <c r="I95" s="147">
        <v>2025</v>
      </c>
      <c r="J95" s="27">
        <v>13</v>
      </c>
      <c r="K95" s="27">
        <v>1210029</v>
      </c>
      <c r="L95" s="2"/>
      <c r="M95" s="2" t="s">
        <v>950</v>
      </c>
      <c r="N95" s="2"/>
      <c r="O95" s="2"/>
    </row>
    <row r="96" spans="2:15" x14ac:dyDescent="0.2">
      <c r="B96" s="2">
        <v>96</v>
      </c>
      <c r="C96" s="147">
        <v>2025</v>
      </c>
      <c r="D96" s="147">
        <v>3917</v>
      </c>
      <c r="E96" s="27" t="s">
        <v>268</v>
      </c>
      <c r="F96" s="27" t="s">
        <v>85</v>
      </c>
      <c r="G96" s="27" t="s">
        <v>260</v>
      </c>
      <c r="H96" s="27">
        <v>5</v>
      </c>
      <c r="I96" s="147">
        <v>2025</v>
      </c>
      <c r="J96" s="27">
        <v>9</v>
      </c>
      <c r="K96" s="27">
        <v>129858</v>
      </c>
      <c r="L96" s="2"/>
      <c r="M96" s="2" t="s">
        <v>950</v>
      </c>
      <c r="N96" s="2"/>
      <c r="O96" s="2"/>
    </row>
    <row r="97" spans="2:15" x14ac:dyDescent="0.2">
      <c r="B97" s="2">
        <v>97</v>
      </c>
      <c r="C97" s="147">
        <v>2025</v>
      </c>
      <c r="D97" s="147">
        <v>3918</v>
      </c>
      <c r="E97" s="27" t="s">
        <v>268</v>
      </c>
      <c r="F97" s="27" t="s">
        <v>85</v>
      </c>
      <c r="G97" s="27" t="s">
        <v>260</v>
      </c>
      <c r="H97" s="27">
        <v>5</v>
      </c>
      <c r="I97" s="147">
        <v>2025</v>
      </c>
      <c r="J97" s="27">
        <v>12</v>
      </c>
      <c r="K97" s="27">
        <v>776748</v>
      </c>
      <c r="L97" s="2"/>
      <c r="M97" s="2" t="s">
        <v>950</v>
      </c>
      <c r="N97" s="2"/>
      <c r="O97" s="2"/>
    </row>
    <row r="98" spans="2:15" x14ac:dyDescent="0.2">
      <c r="B98" s="2">
        <v>98</v>
      </c>
      <c r="C98" s="147">
        <v>2025</v>
      </c>
      <c r="D98" s="147">
        <v>4084</v>
      </c>
      <c r="E98" s="27" t="s">
        <v>268</v>
      </c>
      <c r="F98" s="27" t="s">
        <v>86</v>
      </c>
      <c r="G98" s="27" t="s">
        <v>253</v>
      </c>
      <c r="H98" s="27">
        <v>5</v>
      </c>
      <c r="I98" s="147">
        <v>2025</v>
      </c>
      <c r="J98" s="27">
        <v>10</v>
      </c>
      <c r="K98" s="27">
        <v>819209</v>
      </c>
      <c r="L98" s="2"/>
      <c r="M98" s="2" t="s">
        <v>950</v>
      </c>
      <c r="N98" s="2"/>
      <c r="O98" s="2"/>
    </row>
    <row r="99" spans="2:15" x14ac:dyDescent="0.2">
      <c r="B99" s="2">
        <v>99</v>
      </c>
      <c r="C99" s="147">
        <v>2025</v>
      </c>
      <c r="D99" s="147">
        <v>4085</v>
      </c>
      <c r="E99" s="27" t="s">
        <v>268</v>
      </c>
      <c r="F99" s="27" t="s">
        <v>86</v>
      </c>
      <c r="G99" s="27" t="s">
        <v>253</v>
      </c>
      <c r="H99" s="27">
        <v>5</v>
      </c>
      <c r="I99" s="147">
        <v>2025</v>
      </c>
      <c r="J99" s="27">
        <v>12</v>
      </c>
      <c r="K99" s="27">
        <v>18051428</v>
      </c>
      <c r="L99" s="2"/>
      <c r="M99" s="2" t="s">
        <v>950</v>
      </c>
      <c r="N99" s="2"/>
      <c r="O99" s="2"/>
    </row>
    <row r="100" spans="2:15" x14ac:dyDescent="0.2">
      <c r="B100" s="2">
        <v>100</v>
      </c>
      <c r="C100" s="147">
        <v>2025</v>
      </c>
      <c r="D100" s="147">
        <v>4086</v>
      </c>
      <c r="E100" s="27" t="s">
        <v>268</v>
      </c>
      <c r="F100" s="27" t="s">
        <v>86</v>
      </c>
      <c r="G100" s="27" t="s">
        <v>253</v>
      </c>
      <c r="H100" s="27">
        <v>5</v>
      </c>
      <c r="I100" s="147">
        <v>2025</v>
      </c>
      <c r="J100" s="27">
        <v>13</v>
      </c>
      <c r="K100" s="27">
        <v>3837723</v>
      </c>
      <c r="L100" s="2"/>
      <c r="M100" s="2" t="s">
        <v>950</v>
      </c>
      <c r="N100" s="2"/>
      <c r="O100" s="2"/>
    </row>
    <row r="101" spans="2:15" x14ac:dyDescent="0.2">
      <c r="B101" s="2">
        <v>101</v>
      </c>
      <c r="C101" s="147">
        <v>2025</v>
      </c>
      <c r="D101" s="147">
        <v>4089</v>
      </c>
      <c r="E101" s="27" t="s">
        <v>268</v>
      </c>
      <c r="F101" s="27" t="s">
        <v>86</v>
      </c>
      <c r="G101" s="27" t="s">
        <v>260</v>
      </c>
      <c r="H101" s="27">
        <v>5</v>
      </c>
      <c r="I101" s="147">
        <v>2025</v>
      </c>
      <c r="J101" s="27">
        <v>9</v>
      </c>
      <c r="K101" s="27">
        <v>411857</v>
      </c>
      <c r="L101" s="2"/>
      <c r="M101" s="2" t="s">
        <v>950</v>
      </c>
      <c r="N101" s="2"/>
      <c r="O101" s="2"/>
    </row>
    <row r="102" spans="2:15" x14ac:dyDescent="0.2">
      <c r="B102" s="2">
        <v>102</v>
      </c>
      <c r="C102" s="147">
        <v>2025</v>
      </c>
      <c r="D102" s="147">
        <v>4090</v>
      </c>
      <c r="E102" s="27" t="s">
        <v>268</v>
      </c>
      <c r="F102" s="27" t="s">
        <v>86</v>
      </c>
      <c r="G102" s="27" t="s">
        <v>260</v>
      </c>
      <c r="H102" s="27">
        <v>5</v>
      </c>
      <c r="I102" s="147">
        <v>2025</v>
      </c>
      <c r="J102" s="27">
        <v>12</v>
      </c>
      <c r="K102" s="27">
        <v>2463533</v>
      </c>
      <c r="L102" s="2"/>
      <c r="M102" s="2" t="s">
        <v>950</v>
      </c>
      <c r="N102" s="2"/>
      <c r="O102" s="2"/>
    </row>
    <row r="103" spans="2:15" x14ac:dyDescent="0.2">
      <c r="L103" s="2"/>
      <c r="M103" s="2"/>
      <c r="N103" s="2"/>
      <c r="O103" s="2"/>
    </row>
    <row r="104" spans="2:15" x14ac:dyDescent="0.2">
      <c r="L104" s="2"/>
      <c r="M104" s="2"/>
      <c r="N104" s="2"/>
      <c r="O104" s="2"/>
    </row>
    <row r="105" spans="2:15" x14ac:dyDescent="0.2">
      <c r="L105" s="2"/>
      <c r="M105" s="2"/>
      <c r="N105" s="2"/>
      <c r="O105" s="2"/>
    </row>
    <row r="106" spans="2:15" x14ac:dyDescent="0.2">
      <c r="L106" s="2"/>
      <c r="M106" s="2"/>
      <c r="N106" s="2"/>
      <c r="O106" s="2"/>
    </row>
    <row r="107" spans="2:15" x14ac:dyDescent="0.2">
      <c r="L107" s="2"/>
      <c r="M107" s="2"/>
      <c r="N107" s="2"/>
      <c r="O107" s="2"/>
    </row>
    <row r="108" spans="2:15" x14ac:dyDescent="0.2">
      <c r="L108" s="2"/>
      <c r="M108" s="2"/>
      <c r="N108" s="2"/>
      <c r="O108" s="2"/>
    </row>
    <row r="109" spans="2:15" x14ac:dyDescent="0.2">
      <c r="L109" s="2"/>
      <c r="M109" s="2"/>
      <c r="N109" s="2"/>
      <c r="O109" s="2"/>
    </row>
    <row r="110" spans="2:15" x14ac:dyDescent="0.2">
      <c r="L110" s="2"/>
      <c r="M110" s="2"/>
      <c r="N110" s="2"/>
      <c r="O110" s="2"/>
    </row>
    <row r="111" spans="2:15" x14ac:dyDescent="0.2">
      <c r="L111" s="2"/>
      <c r="M111" s="2"/>
      <c r="N111" s="2"/>
      <c r="O111" s="2"/>
    </row>
    <row r="112" spans="2:15" x14ac:dyDescent="0.2">
      <c r="L112" s="2"/>
      <c r="M112" s="2"/>
      <c r="N112" s="2"/>
      <c r="O112" s="2"/>
    </row>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row r="900" s="2" customFormat="1" x14ac:dyDescent="0.2"/>
    <row r="901" s="2" customFormat="1" x14ac:dyDescent="0.2"/>
    <row r="902" s="2" customFormat="1" x14ac:dyDescent="0.2"/>
    <row r="903" s="2" customFormat="1" x14ac:dyDescent="0.2"/>
    <row r="904" s="2" customFormat="1" x14ac:dyDescent="0.2"/>
    <row r="905" s="2" customFormat="1" x14ac:dyDescent="0.2"/>
    <row r="906" s="2" customFormat="1" x14ac:dyDescent="0.2"/>
    <row r="907" s="2" customFormat="1" x14ac:dyDescent="0.2"/>
    <row r="908" s="2" customFormat="1" x14ac:dyDescent="0.2"/>
    <row r="909" s="2" customFormat="1" x14ac:dyDescent="0.2"/>
    <row r="910" s="2" customFormat="1" x14ac:dyDescent="0.2"/>
    <row r="911" s="2" customFormat="1" x14ac:dyDescent="0.2"/>
    <row r="912" s="2" customFormat="1" x14ac:dyDescent="0.2"/>
    <row r="913" s="2" customFormat="1" x14ac:dyDescent="0.2"/>
    <row r="914" s="2" customFormat="1" x14ac:dyDescent="0.2"/>
    <row r="915" s="2" customFormat="1" x14ac:dyDescent="0.2"/>
    <row r="916" s="2" customFormat="1" x14ac:dyDescent="0.2"/>
    <row r="917" s="2" customFormat="1" x14ac:dyDescent="0.2"/>
    <row r="918" s="2" customFormat="1" x14ac:dyDescent="0.2"/>
    <row r="919" s="2" customFormat="1" x14ac:dyDescent="0.2"/>
    <row r="920" s="2" customFormat="1" x14ac:dyDescent="0.2"/>
    <row r="921" s="2" customFormat="1" x14ac:dyDescent="0.2"/>
    <row r="922" s="2" customFormat="1" x14ac:dyDescent="0.2"/>
    <row r="923" s="2" customFormat="1" x14ac:dyDescent="0.2"/>
    <row r="924" s="2" customFormat="1" x14ac:dyDescent="0.2"/>
    <row r="925" s="2" customFormat="1" x14ac:dyDescent="0.2"/>
    <row r="926" s="2" customFormat="1" x14ac:dyDescent="0.2"/>
    <row r="927" s="2" customFormat="1" x14ac:dyDescent="0.2"/>
    <row r="928" s="2" customFormat="1" x14ac:dyDescent="0.2"/>
    <row r="929" s="2" customFormat="1" x14ac:dyDescent="0.2"/>
    <row r="930" s="2" customFormat="1" x14ac:dyDescent="0.2"/>
    <row r="931" s="2" customFormat="1" x14ac:dyDescent="0.2"/>
    <row r="932" s="2" customFormat="1" x14ac:dyDescent="0.2"/>
    <row r="933" s="2" customFormat="1" x14ac:dyDescent="0.2"/>
    <row r="934" s="2" customFormat="1" x14ac:dyDescent="0.2"/>
    <row r="935" s="2" customFormat="1" x14ac:dyDescent="0.2"/>
    <row r="936" s="2" customFormat="1" x14ac:dyDescent="0.2"/>
    <row r="937" s="2" customFormat="1" x14ac:dyDescent="0.2"/>
    <row r="938" s="2" customFormat="1" x14ac:dyDescent="0.2"/>
    <row r="939" s="2" customFormat="1" x14ac:dyDescent="0.2"/>
    <row r="940" s="2" customFormat="1" x14ac:dyDescent="0.2"/>
    <row r="941" s="2" customFormat="1" x14ac:dyDescent="0.2"/>
    <row r="942" s="2" customFormat="1" x14ac:dyDescent="0.2"/>
    <row r="943" s="2" customFormat="1" x14ac:dyDescent="0.2"/>
    <row r="944" s="2" customFormat="1" x14ac:dyDescent="0.2"/>
    <row r="945" s="2" customFormat="1" x14ac:dyDescent="0.2"/>
    <row r="946" s="2" customFormat="1" x14ac:dyDescent="0.2"/>
    <row r="947" s="2" customFormat="1" x14ac:dyDescent="0.2"/>
    <row r="948" s="2" customFormat="1" x14ac:dyDescent="0.2"/>
    <row r="949" s="2" customFormat="1" x14ac:dyDescent="0.2"/>
    <row r="950" s="2" customFormat="1" x14ac:dyDescent="0.2"/>
    <row r="951" s="2" customFormat="1" x14ac:dyDescent="0.2"/>
    <row r="952" s="2" customFormat="1" x14ac:dyDescent="0.2"/>
    <row r="953" s="2" customFormat="1" x14ac:dyDescent="0.2"/>
    <row r="954" s="2" customFormat="1" x14ac:dyDescent="0.2"/>
    <row r="955" s="2" customFormat="1" x14ac:dyDescent="0.2"/>
    <row r="956" s="2" customFormat="1" x14ac:dyDescent="0.2"/>
    <row r="957" s="2" customFormat="1" x14ac:dyDescent="0.2"/>
    <row r="958" s="2" customFormat="1" x14ac:dyDescent="0.2"/>
    <row r="959" s="2" customFormat="1" x14ac:dyDescent="0.2"/>
    <row r="960" s="2" customFormat="1" x14ac:dyDescent="0.2"/>
    <row r="961" s="2" customFormat="1" x14ac:dyDescent="0.2"/>
    <row r="962" s="2" customFormat="1" x14ac:dyDescent="0.2"/>
    <row r="963" s="2" customFormat="1" x14ac:dyDescent="0.2"/>
    <row r="964" s="2" customFormat="1" x14ac:dyDescent="0.2"/>
    <row r="965" s="2" customFormat="1" x14ac:dyDescent="0.2"/>
    <row r="966" s="2" customFormat="1" x14ac:dyDescent="0.2"/>
    <row r="967" s="2" customFormat="1" x14ac:dyDescent="0.2"/>
    <row r="968" s="2" customFormat="1" x14ac:dyDescent="0.2"/>
    <row r="969" s="2" customFormat="1" x14ac:dyDescent="0.2"/>
    <row r="970" s="2" customFormat="1" x14ac:dyDescent="0.2"/>
    <row r="971" s="2" customFormat="1" x14ac:dyDescent="0.2"/>
    <row r="972" s="2" customFormat="1" x14ac:dyDescent="0.2"/>
    <row r="973" s="2" customFormat="1" x14ac:dyDescent="0.2"/>
    <row r="974" s="2" customFormat="1" x14ac:dyDescent="0.2"/>
    <row r="975" s="2" customFormat="1" x14ac:dyDescent="0.2"/>
    <row r="976" s="2" customFormat="1" x14ac:dyDescent="0.2"/>
    <row r="977" s="2" customFormat="1" x14ac:dyDescent="0.2"/>
    <row r="978" s="2" customFormat="1" x14ac:dyDescent="0.2"/>
    <row r="979" s="2" customFormat="1" x14ac:dyDescent="0.2"/>
    <row r="980" s="2" customFormat="1" x14ac:dyDescent="0.2"/>
    <row r="981" s="2" customFormat="1" x14ac:dyDescent="0.2"/>
    <row r="982" s="2" customFormat="1" x14ac:dyDescent="0.2"/>
    <row r="983" s="2" customFormat="1" x14ac:dyDescent="0.2"/>
    <row r="984" s="2" customFormat="1" x14ac:dyDescent="0.2"/>
    <row r="985" s="2" customFormat="1" x14ac:dyDescent="0.2"/>
    <row r="986" s="2" customFormat="1" x14ac:dyDescent="0.2"/>
    <row r="987" s="2" customFormat="1" x14ac:dyDescent="0.2"/>
    <row r="988" s="2" customFormat="1" x14ac:dyDescent="0.2"/>
    <row r="989" s="2" customFormat="1" x14ac:dyDescent="0.2"/>
    <row r="990" s="2" customFormat="1" x14ac:dyDescent="0.2"/>
    <row r="991" s="2" customFormat="1" x14ac:dyDescent="0.2"/>
    <row r="992" s="2" customFormat="1" x14ac:dyDescent="0.2"/>
    <row r="993" s="2" customFormat="1" x14ac:dyDescent="0.2"/>
    <row r="994" s="2" customFormat="1" x14ac:dyDescent="0.2"/>
    <row r="995" s="2" customFormat="1" x14ac:dyDescent="0.2"/>
    <row r="996" s="2" customFormat="1" x14ac:dyDescent="0.2"/>
    <row r="997" s="2" customFormat="1" x14ac:dyDescent="0.2"/>
    <row r="998" s="2" customFormat="1" x14ac:dyDescent="0.2"/>
    <row r="999" s="2" customFormat="1" x14ac:dyDescent="0.2"/>
    <row r="1000" s="2" customFormat="1" x14ac:dyDescent="0.2"/>
    <row r="1001" s="2" customFormat="1" x14ac:dyDescent="0.2"/>
    <row r="1002" s="2" customFormat="1" x14ac:dyDescent="0.2"/>
    <row r="1003" s="2" customFormat="1" x14ac:dyDescent="0.2"/>
    <row r="1004" s="2" customFormat="1" x14ac:dyDescent="0.2"/>
    <row r="1005" s="2" customFormat="1" x14ac:dyDescent="0.2"/>
    <row r="1006" s="2" customFormat="1" x14ac:dyDescent="0.2"/>
    <row r="1007" s="2" customFormat="1" x14ac:dyDescent="0.2"/>
    <row r="1008" s="2" customFormat="1" x14ac:dyDescent="0.2"/>
    <row r="1009" s="2" customFormat="1" x14ac:dyDescent="0.2"/>
    <row r="1010" s="2" customFormat="1" x14ac:dyDescent="0.2"/>
    <row r="1011" s="2" customFormat="1" x14ac:dyDescent="0.2"/>
    <row r="1012" s="2" customFormat="1" x14ac:dyDescent="0.2"/>
    <row r="1013" s="2" customFormat="1" x14ac:dyDescent="0.2"/>
    <row r="1014" s="2" customFormat="1" x14ac:dyDescent="0.2"/>
    <row r="1015" s="2" customFormat="1" x14ac:dyDescent="0.2"/>
    <row r="1016" s="2" customFormat="1" x14ac:dyDescent="0.2"/>
    <row r="1017" s="2" customFormat="1" x14ac:dyDescent="0.2"/>
    <row r="1018" s="2" customFormat="1" x14ac:dyDescent="0.2"/>
    <row r="1019" s="2" customFormat="1" x14ac:dyDescent="0.2"/>
    <row r="1020" s="2" customFormat="1" x14ac:dyDescent="0.2"/>
    <row r="1021" s="2" customFormat="1" x14ac:dyDescent="0.2"/>
    <row r="1022" s="2" customFormat="1" x14ac:dyDescent="0.2"/>
    <row r="1023" s="2" customFormat="1" x14ac:dyDescent="0.2"/>
    <row r="1024" s="2" customFormat="1" x14ac:dyDescent="0.2"/>
    <row r="1025" s="2" customFormat="1" x14ac:dyDescent="0.2"/>
    <row r="1026" s="2" customFormat="1" x14ac:dyDescent="0.2"/>
    <row r="1027" s="2" customFormat="1" x14ac:dyDescent="0.2"/>
    <row r="1028" s="2" customFormat="1" x14ac:dyDescent="0.2"/>
    <row r="1029" s="2" customFormat="1" x14ac:dyDescent="0.2"/>
    <row r="1030" s="2" customFormat="1" x14ac:dyDescent="0.2"/>
    <row r="1031" s="2" customFormat="1" x14ac:dyDescent="0.2"/>
    <row r="1032" s="2" customFormat="1" x14ac:dyDescent="0.2"/>
    <row r="1033" s="2" customFormat="1" x14ac:dyDescent="0.2"/>
    <row r="1034" s="2" customFormat="1" x14ac:dyDescent="0.2"/>
    <row r="1035" s="2" customFormat="1" x14ac:dyDescent="0.2"/>
    <row r="1036" s="2" customFormat="1" x14ac:dyDescent="0.2"/>
    <row r="1037" s="2" customFormat="1" x14ac:dyDescent="0.2"/>
    <row r="1038" s="2" customFormat="1" x14ac:dyDescent="0.2"/>
    <row r="1039" s="2" customFormat="1" x14ac:dyDescent="0.2"/>
    <row r="1040" s="2" customFormat="1" x14ac:dyDescent="0.2"/>
    <row r="1041" s="2" customFormat="1" x14ac:dyDescent="0.2"/>
    <row r="1042" s="2" customFormat="1" x14ac:dyDescent="0.2"/>
    <row r="1043" s="2" customFormat="1" x14ac:dyDescent="0.2"/>
    <row r="1044" s="2" customFormat="1" x14ac:dyDescent="0.2"/>
    <row r="1045" s="2" customFormat="1" x14ac:dyDescent="0.2"/>
    <row r="1046" s="2" customFormat="1" x14ac:dyDescent="0.2"/>
    <row r="1047" s="2" customFormat="1" x14ac:dyDescent="0.2"/>
    <row r="1048" s="2" customFormat="1" x14ac:dyDescent="0.2"/>
    <row r="1049" s="2" customFormat="1" x14ac:dyDescent="0.2"/>
    <row r="1050" s="2" customFormat="1" x14ac:dyDescent="0.2"/>
    <row r="1051" s="2" customFormat="1" x14ac:dyDescent="0.2"/>
    <row r="1052" s="2" customFormat="1" x14ac:dyDescent="0.2"/>
    <row r="1053" s="2" customFormat="1" x14ac:dyDescent="0.2"/>
    <row r="1054" s="2" customFormat="1" x14ac:dyDescent="0.2"/>
    <row r="1055" s="2" customFormat="1" x14ac:dyDescent="0.2"/>
    <row r="1056" s="2" customFormat="1" x14ac:dyDescent="0.2"/>
    <row r="1057" s="2" customFormat="1" x14ac:dyDescent="0.2"/>
    <row r="1058" s="2" customFormat="1" x14ac:dyDescent="0.2"/>
    <row r="1059" s="2" customFormat="1" x14ac:dyDescent="0.2"/>
    <row r="1060" s="2" customFormat="1" x14ac:dyDescent="0.2"/>
    <row r="1061" s="2" customFormat="1" x14ac:dyDescent="0.2"/>
    <row r="1062" s="2" customFormat="1" x14ac:dyDescent="0.2"/>
    <row r="1063" s="2" customFormat="1" x14ac:dyDescent="0.2"/>
    <row r="1064" s="2" customFormat="1" x14ac:dyDescent="0.2"/>
    <row r="1065" s="2" customFormat="1" x14ac:dyDescent="0.2"/>
    <row r="1066" s="2" customFormat="1" x14ac:dyDescent="0.2"/>
    <row r="1067" s="2" customFormat="1" x14ac:dyDescent="0.2"/>
    <row r="1068" s="2" customFormat="1" x14ac:dyDescent="0.2"/>
    <row r="1069" s="2" customFormat="1" x14ac:dyDescent="0.2"/>
    <row r="1070" s="2" customFormat="1" x14ac:dyDescent="0.2"/>
    <row r="1071" s="2" customFormat="1" x14ac:dyDescent="0.2"/>
    <row r="1072" s="2" customFormat="1" x14ac:dyDescent="0.2"/>
    <row r="1073" s="2" customFormat="1" x14ac:dyDescent="0.2"/>
    <row r="1074" s="2" customFormat="1" x14ac:dyDescent="0.2"/>
    <row r="1075" s="2" customFormat="1" x14ac:dyDescent="0.2"/>
    <row r="1076" s="2" customFormat="1" x14ac:dyDescent="0.2"/>
    <row r="1077" s="2" customFormat="1" x14ac:dyDescent="0.2"/>
    <row r="1078" s="2" customFormat="1" x14ac:dyDescent="0.2"/>
    <row r="1079" s="2" customFormat="1" x14ac:dyDescent="0.2"/>
    <row r="1080" s="2" customFormat="1" x14ac:dyDescent="0.2"/>
    <row r="1081" s="2" customFormat="1" x14ac:dyDescent="0.2"/>
    <row r="1082" s="2" customFormat="1" x14ac:dyDescent="0.2"/>
    <row r="1083" s="2" customFormat="1" x14ac:dyDescent="0.2"/>
    <row r="1084" s="2" customFormat="1" x14ac:dyDescent="0.2"/>
    <row r="1085" s="2" customFormat="1" x14ac:dyDescent="0.2"/>
    <row r="1086" s="2" customFormat="1" x14ac:dyDescent="0.2"/>
    <row r="1087" s="2" customFormat="1" x14ac:dyDescent="0.2"/>
    <row r="1088" s="2" customFormat="1" x14ac:dyDescent="0.2"/>
    <row r="1089" s="2" customFormat="1" x14ac:dyDescent="0.2"/>
    <row r="1090" s="2" customFormat="1" x14ac:dyDescent="0.2"/>
    <row r="1091" s="2" customFormat="1" x14ac:dyDescent="0.2"/>
    <row r="1092" s="2" customFormat="1" x14ac:dyDescent="0.2"/>
    <row r="1093" s="2" customFormat="1" x14ac:dyDescent="0.2"/>
    <row r="1094" s="2" customFormat="1" x14ac:dyDescent="0.2"/>
    <row r="1095" s="2" customFormat="1" x14ac:dyDescent="0.2"/>
    <row r="1096" s="2" customFormat="1" x14ac:dyDescent="0.2"/>
    <row r="1097" s="2" customFormat="1" x14ac:dyDescent="0.2"/>
    <row r="1098" s="2" customFormat="1" x14ac:dyDescent="0.2"/>
    <row r="1099" s="2" customFormat="1" x14ac:dyDescent="0.2"/>
    <row r="1100" s="2" customFormat="1" x14ac:dyDescent="0.2"/>
    <row r="1101" s="2" customFormat="1" x14ac:dyDescent="0.2"/>
    <row r="1102" s="2" customFormat="1" x14ac:dyDescent="0.2"/>
    <row r="1103" s="2" customFormat="1" x14ac:dyDescent="0.2"/>
    <row r="1104" s="2" customFormat="1" x14ac:dyDescent="0.2"/>
    <row r="1105" s="2" customFormat="1" x14ac:dyDescent="0.2"/>
    <row r="1106" s="2" customFormat="1" x14ac:dyDescent="0.2"/>
    <row r="1107" s="2" customFormat="1" x14ac:dyDescent="0.2"/>
    <row r="1108" s="2" customFormat="1" x14ac:dyDescent="0.2"/>
    <row r="1109" s="2" customFormat="1" x14ac:dyDescent="0.2"/>
    <row r="1110" s="2" customFormat="1" x14ac:dyDescent="0.2"/>
    <row r="1111" s="2" customFormat="1" x14ac:dyDescent="0.2"/>
    <row r="1112" s="2" customFormat="1" x14ac:dyDescent="0.2"/>
    <row r="1113" s="2" customFormat="1" x14ac:dyDescent="0.2"/>
    <row r="1114" s="2" customFormat="1" x14ac:dyDescent="0.2"/>
    <row r="1115" s="2" customFormat="1" x14ac:dyDescent="0.2"/>
    <row r="1116" s="2" customFormat="1" x14ac:dyDescent="0.2"/>
    <row r="1117" s="2" customFormat="1" x14ac:dyDescent="0.2"/>
    <row r="1118" s="2" customFormat="1" x14ac:dyDescent="0.2"/>
    <row r="1119" s="2" customFormat="1" x14ac:dyDescent="0.2"/>
    <row r="1120" s="2" customFormat="1" x14ac:dyDescent="0.2"/>
    <row r="1121" s="2" customFormat="1" x14ac:dyDescent="0.2"/>
    <row r="1122" s="2" customFormat="1" x14ac:dyDescent="0.2"/>
    <row r="1123" s="2" customFormat="1" x14ac:dyDescent="0.2"/>
    <row r="1124" s="2" customFormat="1" x14ac:dyDescent="0.2"/>
    <row r="1125" s="2" customFormat="1" x14ac:dyDescent="0.2"/>
    <row r="1126" s="2" customFormat="1" x14ac:dyDescent="0.2"/>
    <row r="1127" s="2" customFormat="1" x14ac:dyDescent="0.2"/>
    <row r="1128" s="2" customFormat="1" x14ac:dyDescent="0.2"/>
    <row r="1129" s="2" customFormat="1" x14ac:dyDescent="0.2"/>
    <row r="1130" s="2" customFormat="1" x14ac:dyDescent="0.2"/>
    <row r="1131" s="2" customFormat="1" x14ac:dyDescent="0.2"/>
    <row r="1132" s="2" customFormat="1" x14ac:dyDescent="0.2"/>
    <row r="1133" s="2" customFormat="1" x14ac:dyDescent="0.2"/>
    <row r="1134" s="2" customFormat="1" x14ac:dyDescent="0.2"/>
    <row r="1135" s="2" customFormat="1" x14ac:dyDescent="0.2"/>
    <row r="1136" s="2" customFormat="1" x14ac:dyDescent="0.2"/>
    <row r="1137" s="2" customFormat="1" x14ac:dyDescent="0.2"/>
    <row r="1138" s="2" customFormat="1" x14ac:dyDescent="0.2"/>
    <row r="1139" s="2" customFormat="1" x14ac:dyDescent="0.2"/>
    <row r="1140" s="2" customFormat="1" x14ac:dyDescent="0.2"/>
    <row r="1141" s="2" customFormat="1" x14ac:dyDescent="0.2"/>
    <row r="1142" s="2" customFormat="1" x14ac:dyDescent="0.2"/>
    <row r="1143" s="2" customFormat="1" x14ac:dyDescent="0.2"/>
    <row r="1144" s="2" customFormat="1" x14ac:dyDescent="0.2"/>
    <row r="1145" s="2" customFormat="1" x14ac:dyDescent="0.2"/>
    <row r="1146" s="2" customFormat="1" x14ac:dyDescent="0.2"/>
    <row r="1147" s="2" customFormat="1" x14ac:dyDescent="0.2"/>
    <row r="1148" s="2" customFormat="1" x14ac:dyDescent="0.2"/>
    <row r="1149" s="2" customFormat="1" x14ac:dyDescent="0.2"/>
    <row r="1150" s="2" customFormat="1" x14ac:dyDescent="0.2"/>
    <row r="1151" s="2" customFormat="1" x14ac:dyDescent="0.2"/>
    <row r="1152" s="2" customFormat="1" x14ac:dyDescent="0.2"/>
    <row r="1153" s="2" customFormat="1" x14ac:dyDescent="0.2"/>
    <row r="1154" s="2" customFormat="1" x14ac:dyDescent="0.2"/>
    <row r="1155" s="2" customFormat="1" x14ac:dyDescent="0.2"/>
    <row r="1156" s="2" customFormat="1" x14ac:dyDescent="0.2"/>
    <row r="1157" s="2" customFormat="1" x14ac:dyDescent="0.2"/>
    <row r="1158" s="2" customFormat="1" x14ac:dyDescent="0.2"/>
    <row r="1159" s="2" customFormat="1" x14ac:dyDescent="0.2"/>
    <row r="1160" s="2" customFormat="1" x14ac:dyDescent="0.2"/>
    <row r="1161" s="2" customFormat="1" x14ac:dyDescent="0.2"/>
    <row r="1162" s="2" customFormat="1" x14ac:dyDescent="0.2"/>
    <row r="1163" s="2" customFormat="1" x14ac:dyDescent="0.2"/>
    <row r="1164" s="2" customFormat="1" x14ac:dyDescent="0.2"/>
    <row r="1165" s="2" customFormat="1" x14ac:dyDescent="0.2"/>
    <row r="1166" s="2" customFormat="1" x14ac:dyDescent="0.2"/>
    <row r="1167" s="2" customFormat="1" x14ac:dyDescent="0.2"/>
    <row r="1168" s="2" customFormat="1" x14ac:dyDescent="0.2"/>
    <row r="1169" s="2" customFormat="1" x14ac:dyDescent="0.2"/>
    <row r="1170" s="2" customFormat="1" x14ac:dyDescent="0.2"/>
    <row r="1171" s="2" customFormat="1" x14ac:dyDescent="0.2"/>
    <row r="1172" s="2" customFormat="1" x14ac:dyDescent="0.2"/>
    <row r="1173" s="2" customFormat="1" x14ac:dyDescent="0.2"/>
    <row r="1174" s="2" customFormat="1" x14ac:dyDescent="0.2"/>
    <row r="1175" s="2" customFormat="1" x14ac:dyDescent="0.2"/>
    <row r="1176" s="2" customFormat="1" x14ac:dyDescent="0.2"/>
    <row r="1177" s="2" customFormat="1" x14ac:dyDescent="0.2"/>
    <row r="1178" s="2" customFormat="1" x14ac:dyDescent="0.2"/>
    <row r="1179" s="2" customFormat="1" x14ac:dyDescent="0.2"/>
    <row r="1180" s="2" customFormat="1" x14ac:dyDescent="0.2"/>
    <row r="1181" s="2" customFormat="1" x14ac:dyDescent="0.2"/>
    <row r="1182" s="2" customFormat="1" x14ac:dyDescent="0.2"/>
    <row r="1183" s="2" customFormat="1" x14ac:dyDescent="0.2"/>
    <row r="1184" s="2" customFormat="1" x14ac:dyDescent="0.2"/>
    <row r="1185" s="2" customFormat="1" x14ac:dyDescent="0.2"/>
    <row r="1186" s="2" customFormat="1" x14ac:dyDescent="0.2"/>
    <row r="1187" s="2" customFormat="1" x14ac:dyDescent="0.2"/>
    <row r="1188" s="2" customFormat="1" x14ac:dyDescent="0.2"/>
    <row r="1189" s="2" customFormat="1" x14ac:dyDescent="0.2"/>
    <row r="1190" s="2" customFormat="1" x14ac:dyDescent="0.2"/>
    <row r="1191" s="2" customFormat="1" x14ac:dyDescent="0.2"/>
    <row r="1192" s="2" customFormat="1" x14ac:dyDescent="0.2"/>
    <row r="1193" s="2" customFormat="1" x14ac:dyDescent="0.2"/>
    <row r="1194" s="2" customFormat="1" x14ac:dyDescent="0.2"/>
    <row r="1195" s="2" customFormat="1" x14ac:dyDescent="0.2"/>
    <row r="1196" s="2" customFormat="1" x14ac:dyDescent="0.2"/>
    <row r="1197" s="2" customFormat="1" x14ac:dyDescent="0.2"/>
    <row r="1198" s="2" customFormat="1" x14ac:dyDescent="0.2"/>
    <row r="1199" s="2" customFormat="1" x14ac:dyDescent="0.2"/>
    <row r="1200" s="2" customFormat="1" x14ac:dyDescent="0.2"/>
    <row r="1201" s="2" customFormat="1" x14ac:dyDescent="0.2"/>
    <row r="1202" s="2" customFormat="1" x14ac:dyDescent="0.2"/>
    <row r="1203" s="2" customFormat="1" x14ac:dyDescent="0.2"/>
    <row r="1204" s="2" customFormat="1" x14ac:dyDescent="0.2"/>
    <row r="1205" s="2" customFormat="1" x14ac:dyDescent="0.2"/>
    <row r="1206" s="2" customFormat="1" x14ac:dyDescent="0.2"/>
    <row r="1207" s="2" customFormat="1" x14ac:dyDescent="0.2"/>
    <row r="1208" s="2" customFormat="1" x14ac:dyDescent="0.2"/>
    <row r="1209" s="2" customFormat="1" x14ac:dyDescent="0.2"/>
    <row r="1210" s="2" customFormat="1" x14ac:dyDescent="0.2"/>
    <row r="1211" s="2" customFormat="1" x14ac:dyDescent="0.2"/>
    <row r="1212" s="2" customFormat="1" x14ac:dyDescent="0.2"/>
    <row r="1213" s="2" customFormat="1" x14ac:dyDescent="0.2"/>
    <row r="1214" s="2" customFormat="1" x14ac:dyDescent="0.2"/>
    <row r="1215" s="2" customFormat="1" x14ac:dyDescent="0.2"/>
    <row r="1216" s="2" customFormat="1" x14ac:dyDescent="0.2"/>
    <row r="1217" s="2" customFormat="1" x14ac:dyDescent="0.2"/>
    <row r="1218" s="2" customFormat="1" x14ac:dyDescent="0.2"/>
    <row r="1219" s="2" customFormat="1" x14ac:dyDescent="0.2"/>
    <row r="1220" s="2" customFormat="1" x14ac:dyDescent="0.2"/>
    <row r="1221" s="2" customFormat="1" x14ac:dyDescent="0.2"/>
    <row r="1222" s="2" customFormat="1" x14ac:dyDescent="0.2"/>
    <row r="1223" s="2" customFormat="1" x14ac:dyDescent="0.2"/>
    <row r="1224" s="2" customFormat="1" x14ac:dyDescent="0.2"/>
    <row r="1225" s="2" customFormat="1" x14ac:dyDescent="0.2"/>
    <row r="1226" s="2" customFormat="1" x14ac:dyDescent="0.2"/>
    <row r="1227" s="2" customFormat="1" x14ac:dyDescent="0.2"/>
    <row r="1228" s="2" customFormat="1" x14ac:dyDescent="0.2"/>
    <row r="1229" s="2" customFormat="1" x14ac:dyDescent="0.2"/>
    <row r="1230" s="2" customFormat="1" x14ac:dyDescent="0.2"/>
    <row r="1231" s="2" customFormat="1" x14ac:dyDescent="0.2"/>
    <row r="1232" s="2" customFormat="1" x14ac:dyDescent="0.2"/>
    <row r="1233" s="2" customFormat="1" x14ac:dyDescent="0.2"/>
    <row r="1234" s="2" customFormat="1" x14ac:dyDescent="0.2"/>
    <row r="1235" s="2" customFormat="1" x14ac:dyDescent="0.2"/>
    <row r="1236" s="2" customFormat="1" x14ac:dyDescent="0.2"/>
    <row r="1237" s="2" customFormat="1" x14ac:dyDescent="0.2"/>
    <row r="1238" s="2" customFormat="1" x14ac:dyDescent="0.2"/>
    <row r="1239" s="2" customFormat="1" x14ac:dyDescent="0.2"/>
    <row r="1240" s="2" customFormat="1" x14ac:dyDescent="0.2"/>
    <row r="1241" s="2" customFormat="1" x14ac:dyDescent="0.2"/>
    <row r="1242" s="2" customFormat="1" x14ac:dyDescent="0.2"/>
    <row r="1243" s="2" customFormat="1" x14ac:dyDescent="0.2"/>
    <row r="1244" s="2" customFormat="1" x14ac:dyDescent="0.2"/>
    <row r="1245" s="2" customFormat="1" x14ac:dyDescent="0.2"/>
    <row r="1246" s="2" customFormat="1" x14ac:dyDescent="0.2"/>
    <row r="1247" s="2" customFormat="1" x14ac:dyDescent="0.2"/>
    <row r="1248" s="2" customFormat="1" x14ac:dyDescent="0.2"/>
    <row r="1249" s="2" customFormat="1" x14ac:dyDescent="0.2"/>
    <row r="1250" s="2" customFormat="1" x14ac:dyDescent="0.2"/>
    <row r="1251" s="2" customFormat="1" x14ac:dyDescent="0.2"/>
    <row r="1252" s="2" customFormat="1" x14ac:dyDescent="0.2"/>
    <row r="1253" s="2" customFormat="1" x14ac:dyDescent="0.2"/>
    <row r="1254" s="2" customFormat="1" x14ac:dyDescent="0.2"/>
    <row r="1255" s="2" customFormat="1" x14ac:dyDescent="0.2"/>
    <row r="1256" s="2" customFormat="1" x14ac:dyDescent="0.2"/>
    <row r="1257" s="2" customFormat="1" x14ac:dyDescent="0.2"/>
    <row r="1258" s="2" customFormat="1" x14ac:dyDescent="0.2"/>
    <row r="1259" s="2" customFormat="1" x14ac:dyDescent="0.2"/>
    <row r="1260" s="2" customFormat="1" x14ac:dyDescent="0.2"/>
    <row r="1261" s="2" customFormat="1" x14ac:dyDescent="0.2"/>
    <row r="1262" s="2" customFormat="1" x14ac:dyDescent="0.2"/>
    <row r="1263" s="2" customFormat="1" x14ac:dyDescent="0.2"/>
    <row r="1264" s="2" customFormat="1" x14ac:dyDescent="0.2"/>
    <row r="1265" s="2" customFormat="1" x14ac:dyDescent="0.2"/>
    <row r="1266" s="2" customFormat="1" x14ac:dyDescent="0.2"/>
    <row r="1267" s="2" customFormat="1" x14ac:dyDescent="0.2"/>
    <row r="1268" s="2" customFormat="1" x14ac:dyDescent="0.2"/>
    <row r="1269" s="2" customFormat="1" x14ac:dyDescent="0.2"/>
    <row r="1270" s="2" customFormat="1" x14ac:dyDescent="0.2"/>
    <row r="1271" s="2" customFormat="1" x14ac:dyDescent="0.2"/>
    <row r="1272" s="2" customFormat="1" x14ac:dyDescent="0.2"/>
    <row r="1273" s="2" customFormat="1" x14ac:dyDescent="0.2"/>
    <row r="1274" s="2" customFormat="1" x14ac:dyDescent="0.2"/>
    <row r="1275" s="2" customFormat="1" x14ac:dyDescent="0.2"/>
    <row r="1276" s="2" customFormat="1" x14ac:dyDescent="0.2"/>
    <row r="1277" s="2" customFormat="1" x14ac:dyDescent="0.2"/>
    <row r="1278" s="2" customFormat="1" x14ac:dyDescent="0.2"/>
    <row r="1279" s="2" customFormat="1" x14ac:dyDescent="0.2"/>
    <row r="1280" s="2" customFormat="1" x14ac:dyDescent="0.2"/>
    <row r="1281" s="2" customFormat="1" x14ac:dyDescent="0.2"/>
    <row r="1282" s="2" customFormat="1" x14ac:dyDescent="0.2"/>
    <row r="1283" s="2" customFormat="1" x14ac:dyDescent="0.2"/>
    <row r="1284" s="2" customFormat="1" x14ac:dyDescent="0.2"/>
    <row r="1285" s="2" customFormat="1" x14ac:dyDescent="0.2"/>
    <row r="1286" s="2" customFormat="1" x14ac:dyDescent="0.2"/>
    <row r="1287" s="2" customFormat="1" x14ac:dyDescent="0.2"/>
    <row r="1288" s="2" customFormat="1" x14ac:dyDescent="0.2"/>
    <row r="1289" s="2" customFormat="1" x14ac:dyDescent="0.2"/>
    <row r="1290" s="2" customFormat="1" x14ac:dyDescent="0.2"/>
    <row r="1291" s="2" customFormat="1" x14ac:dyDescent="0.2"/>
    <row r="1292" s="2" customFormat="1" x14ac:dyDescent="0.2"/>
    <row r="1293" s="2" customFormat="1" x14ac:dyDescent="0.2"/>
    <row r="1294" s="2" customFormat="1" x14ac:dyDescent="0.2"/>
    <row r="1295" s="2" customFormat="1" x14ac:dyDescent="0.2"/>
    <row r="1296" s="2" customFormat="1" x14ac:dyDescent="0.2"/>
    <row r="1297" s="2" customFormat="1" x14ac:dyDescent="0.2"/>
    <row r="1298" s="2" customFormat="1" x14ac:dyDescent="0.2"/>
    <row r="1299" s="2" customFormat="1" x14ac:dyDescent="0.2"/>
    <row r="1300" s="2" customFormat="1" x14ac:dyDescent="0.2"/>
    <row r="1301" s="2" customFormat="1" x14ac:dyDescent="0.2"/>
    <row r="1302" s="2" customFormat="1" x14ac:dyDescent="0.2"/>
    <row r="1303" s="2" customFormat="1" x14ac:dyDescent="0.2"/>
    <row r="1304" s="2" customFormat="1" x14ac:dyDescent="0.2"/>
    <row r="1305" s="2" customFormat="1" x14ac:dyDescent="0.2"/>
    <row r="1306" s="2" customFormat="1" x14ac:dyDescent="0.2"/>
    <row r="1307" s="2" customFormat="1" x14ac:dyDescent="0.2"/>
    <row r="1308" s="2" customFormat="1" x14ac:dyDescent="0.2"/>
    <row r="1309" s="2" customFormat="1" x14ac:dyDescent="0.2"/>
    <row r="1310" s="2" customFormat="1" x14ac:dyDescent="0.2"/>
    <row r="1311" s="2" customFormat="1" x14ac:dyDescent="0.2"/>
    <row r="1312" s="2" customFormat="1" x14ac:dyDescent="0.2"/>
    <row r="1313" s="2" customFormat="1" x14ac:dyDescent="0.2"/>
    <row r="1314" s="2" customFormat="1" x14ac:dyDescent="0.2"/>
    <row r="1315" s="2" customFormat="1" x14ac:dyDescent="0.2"/>
    <row r="1316" s="2" customFormat="1" x14ac:dyDescent="0.2"/>
    <row r="1317" s="2" customFormat="1" x14ac:dyDescent="0.2"/>
    <row r="1318" s="2" customFormat="1" x14ac:dyDescent="0.2"/>
    <row r="1319" s="2" customFormat="1" x14ac:dyDescent="0.2"/>
    <row r="1320" s="2" customFormat="1" x14ac:dyDescent="0.2"/>
    <row r="1321" s="2" customFormat="1" x14ac:dyDescent="0.2"/>
    <row r="1322" s="2" customFormat="1" x14ac:dyDescent="0.2"/>
    <row r="1323" s="2" customFormat="1" x14ac:dyDescent="0.2"/>
    <row r="1324" s="2" customFormat="1" x14ac:dyDescent="0.2"/>
    <row r="1325" s="2" customFormat="1" x14ac:dyDescent="0.2"/>
    <row r="1326" s="2" customFormat="1" x14ac:dyDescent="0.2"/>
    <row r="1327" s="2" customFormat="1" x14ac:dyDescent="0.2"/>
    <row r="1328" s="2" customFormat="1" x14ac:dyDescent="0.2"/>
    <row r="1329" s="2" customFormat="1" x14ac:dyDescent="0.2"/>
    <row r="1330" s="2" customFormat="1" x14ac:dyDescent="0.2"/>
    <row r="1331" s="2" customFormat="1" x14ac:dyDescent="0.2"/>
    <row r="1332" s="2" customFormat="1" x14ac:dyDescent="0.2"/>
    <row r="1333" s="2" customFormat="1" x14ac:dyDescent="0.2"/>
    <row r="1334" s="2" customFormat="1" x14ac:dyDescent="0.2"/>
    <row r="1335" s="2" customFormat="1" x14ac:dyDescent="0.2"/>
    <row r="1336" s="2" customFormat="1" x14ac:dyDescent="0.2"/>
    <row r="1337" s="2" customFormat="1" x14ac:dyDescent="0.2"/>
    <row r="1338" s="2" customFormat="1" x14ac:dyDescent="0.2"/>
    <row r="1339" s="2" customFormat="1" x14ac:dyDescent="0.2"/>
    <row r="1340" s="2" customFormat="1" x14ac:dyDescent="0.2"/>
    <row r="1341" s="2" customFormat="1" x14ac:dyDescent="0.2"/>
    <row r="1342" s="2" customFormat="1" x14ac:dyDescent="0.2"/>
    <row r="1343" s="2" customFormat="1" x14ac:dyDescent="0.2"/>
    <row r="1344" s="2" customFormat="1" x14ac:dyDescent="0.2"/>
    <row r="1345" s="2" customFormat="1" x14ac:dyDescent="0.2"/>
    <row r="1346" s="2" customFormat="1" x14ac:dyDescent="0.2"/>
    <row r="1347" s="2" customFormat="1" x14ac:dyDescent="0.2"/>
    <row r="1348" s="2" customFormat="1" x14ac:dyDescent="0.2"/>
    <row r="1349" s="2" customFormat="1" x14ac:dyDescent="0.2"/>
    <row r="1350" s="2" customFormat="1" x14ac:dyDescent="0.2"/>
    <row r="1351" s="2" customFormat="1" x14ac:dyDescent="0.2"/>
    <row r="1352" s="2" customFormat="1" x14ac:dyDescent="0.2"/>
    <row r="1353" s="2" customFormat="1" x14ac:dyDescent="0.2"/>
    <row r="1354" s="2" customFormat="1" x14ac:dyDescent="0.2"/>
    <row r="1355" s="2" customFormat="1" x14ac:dyDescent="0.2"/>
    <row r="1356" s="2" customFormat="1" x14ac:dyDescent="0.2"/>
    <row r="1357" s="2" customFormat="1" x14ac:dyDescent="0.2"/>
    <row r="1358" s="2" customFormat="1" x14ac:dyDescent="0.2"/>
    <row r="1359" s="2" customFormat="1" x14ac:dyDescent="0.2"/>
    <row r="1360" s="2" customFormat="1" x14ac:dyDescent="0.2"/>
    <row r="1361" s="2" customFormat="1" x14ac:dyDescent="0.2"/>
    <row r="1362" s="2" customFormat="1" x14ac:dyDescent="0.2"/>
    <row r="1363" s="2" customFormat="1" x14ac:dyDescent="0.2"/>
    <row r="1364" s="2" customFormat="1" x14ac:dyDescent="0.2"/>
    <row r="1365" s="2" customFormat="1" x14ac:dyDescent="0.2"/>
    <row r="1366" s="2" customFormat="1" x14ac:dyDescent="0.2"/>
    <row r="1367" s="2" customFormat="1" x14ac:dyDescent="0.2"/>
    <row r="1368" s="2" customFormat="1" x14ac:dyDescent="0.2"/>
    <row r="1369" s="2" customFormat="1" x14ac:dyDescent="0.2"/>
    <row r="1370" s="2" customFormat="1" x14ac:dyDescent="0.2"/>
    <row r="1371" s="2" customFormat="1" x14ac:dyDescent="0.2"/>
    <row r="1372" s="2" customFormat="1" x14ac:dyDescent="0.2"/>
    <row r="1373" s="2" customFormat="1" x14ac:dyDescent="0.2"/>
    <row r="1374" s="2" customFormat="1" x14ac:dyDescent="0.2"/>
    <row r="1375" s="2" customFormat="1" x14ac:dyDescent="0.2"/>
    <row r="1376" s="2" customFormat="1" x14ac:dyDescent="0.2"/>
    <row r="1377" s="2" customFormat="1" x14ac:dyDescent="0.2"/>
    <row r="1378" s="2" customFormat="1" x14ac:dyDescent="0.2"/>
    <row r="1379" s="2" customFormat="1" x14ac:dyDescent="0.2"/>
    <row r="1380" s="2" customFormat="1" x14ac:dyDescent="0.2"/>
    <row r="1381" s="2" customFormat="1" x14ac:dyDescent="0.2"/>
    <row r="1382" s="2" customFormat="1" x14ac:dyDescent="0.2"/>
    <row r="1383" s="2" customFormat="1" x14ac:dyDescent="0.2"/>
    <row r="1384" s="2" customFormat="1" x14ac:dyDescent="0.2"/>
    <row r="1385" s="2" customFormat="1" x14ac:dyDescent="0.2"/>
    <row r="1386" s="2" customFormat="1" x14ac:dyDescent="0.2"/>
    <row r="1387" s="2" customFormat="1" x14ac:dyDescent="0.2"/>
    <row r="1388" s="2" customFormat="1" x14ac:dyDescent="0.2"/>
    <row r="1389" s="2" customFormat="1" x14ac:dyDescent="0.2"/>
    <row r="1390" s="2" customFormat="1" x14ac:dyDescent="0.2"/>
    <row r="1391" s="2" customFormat="1" x14ac:dyDescent="0.2"/>
    <row r="1392" s="2" customFormat="1" x14ac:dyDescent="0.2"/>
    <row r="1393" s="2" customFormat="1" x14ac:dyDescent="0.2"/>
    <row r="1394" s="2" customFormat="1" x14ac:dyDescent="0.2"/>
    <row r="1395" s="2" customFormat="1" x14ac:dyDescent="0.2"/>
    <row r="1396" s="2" customFormat="1" x14ac:dyDescent="0.2"/>
    <row r="1397" s="2" customFormat="1" x14ac:dyDescent="0.2"/>
    <row r="1398" s="2" customFormat="1" x14ac:dyDescent="0.2"/>
    <row r="1399" s="2" customFormat="1" x14ac:dyDescent="0.2"/>
    <row r="1400" s="2" customFormat="1" x14ac:dyDescent="0.2"/>
    <row r="1401" s="2" customFormat="1" x14ac:dyDescent="0.2"/>
    <row r="1402" s="2" customFormat="1" x14ac:dyDescent="0.2"/>
    <row r="1403" s="2" customFormat="1" x14ac:dyDescent="0.2"/>
    <row r="1404" s="2" customFormat="1" x14ac:dyDescent="0.2"/>
    <row r="1405" s="2" customFormat="1" x14ac:dyDescent="0.2"/>
    <row r="1406" s="2" customFormat="1" x14ac:dyDescent="0.2"/>
    <row r="1407" s="2" customFormat="1" x14ac:dyDescent="0.2"/>
    <row r="1408" s="2" customFormat="1" x14ac:dyDescent="0.2"/>
    <row r="1409" s="2" customFormat="1" x14ac:dyDescent="0.2"/>
    <row r="1410" s="2" customFormat="1" x14ac:dyDescent="0.2"/>
    <row r="1411" s="2" customFormat="1" x14ac:dyDescent="0.2"/>
    <row r="1412" s="2" customFormat="1" x14ac:dyDescent="0.2"/>
    <row r="1413" s="2" customFormat="1" x14ac:dyDescent="0.2"/>
    <row r="1414" s="2" customFormat="1" x14ac:dyDescent="0.2"/>
    <row r="1415" s="2" customFormat="1" x14ac:dyDescent="0.2"/>
    <row r="1416" s="2" customFormat="1" x14ac:dyDescent="0.2"/>
    <row r="1417" s="2" customFormat="1" x14ac:dyDescent="0.2"/>
    <row r="1418" s="2" customFormat="1" x14ac:dyDescent="0.2"/>
    <row r="1419" s="2" customFormat="1" x14ac:dyDescent="0.2"/>
    <row r="1420" s="2" customFormat="1" x14ac:dyDescent="0.2"/>
    <row r="1421" s="2" customFormat="1" x14ac:dyDescent="0.2"/>
    <row r="1422" s="2" customFormat="1" x14ac:dyDescent="0.2"/>
    <row r="1423" s="2" customFormat="1" x14ac:dyDescent="0.2"/>
    <row r="1424" s="2" customFormat="1" x14ac:dyDescent="0.2"/>
    <row r="1425" s="2" customFormat="1" x14ac:dyDescent="0.2"/>
    <row r="1426" s="2" customFormat="1" x14ac:dyDescent="0.2"/>
    <row r="1427" s="2" customFormat="1" x14ac:dyDescent="0.2"/>
    <row r="1428" s="2" customFormat="1" x14ac:dyDescent="0.2"/>
    <row r="1429" s="2" customFormat="1" x14ac:dyDescent="0.2"/>
    <row r="1430" s="2" customFormat="1" x14ac:dyDescent="0.2"/>
    <row r="1431" s="2" customFormat="1" x14ac:dyDescent="0.2"/>
    <row r="1432" s="2" customFormat="1" x14ac:dyDescent="0.2"/>
    <row r="1433" s="2" customFormat="1" x14ac:dyDescent="0.2"/>
    <row r="1434" s="2" customFormat="1" x14ac:dyDescent="0.2"/>
    <row r="1435" s="2" customFormat="1" x14ac:dyDescent="0.2"/>
    <row r="1436" s="2" customFormat="1" x14ac:dyDescent="0.2"/>
    <row r="1437" s="2" customFormat="1" x14ac:dyDescent="0.2"/>
    <row r="1438" s="2" customFormat="1" x14ac:dyDescent="0.2"/>
    <row r="1439" s="2" customFormat="1" x14ac:dyDescent="0.2"/>
    <row r="1440" s="2" customFormat="1" x14ac:dyDescent="0.2"/>
    <row r="1441" s="2" customFormat="1" x14ac:dyDescent="0.2"/>
    <row r="1442" s="2" customFormat="1" x14ac:dyDescent="0.2"/>
    <row r="1443" s="2" customFormat="1" x14ac:dyDescent="0.2"/>
    <row r="1444" s="2" customFormat="1" x14ac:dyDescent="0.2"/>
    <row r="1445" s="2" customFormat="1" x14ac:dyDescent="0.2"/>
    <row r="1446" s="2" customFormat="1" x14ac:dyDescent="0.2"/>
    <row r="1447" s="2" customFormat="1" x14ac:dyDescent="0.2"/>
    <row r="1448" s="2" customFormat="1" x14ac:dyDescent="0.2"/>
    <row r="1449" s="2" customFormat="1" x14ac:dyDescent="0.2"/>
    <row r="1450" s="2" customFormat="1" x14ac:dyDescent="0.2"/>
    <row r="1451" s="2" customFormat="1" x14ac:dyDescent="0.2"/>
    <row r="1452" s="2" customFormat="1" x14ac:dyDescent="0.2"/>
    <row r="1453" s="2" customFormat="1" x14ac:dyDescent="0.2"/>
    <row r="1454" s="2" customFormat="1" x14ac:dyDescent="0.2"/>
    <row r="1455" s="2" customFormat="1" x14ac:dyDescent="0.2"/>
    <row r="1456" s="2" customFormat="1" x14ac:dyDescent="0.2"/>
    <row r="1457" s="2" customFormat="1" x14ac:dyDescent="0.2"/>
    <row r="1458" s="2" customFormat="1" x14ac:dyDescent="0.2"/>
    <row r="1459" s="2" customFormat="1" x14ac:dyDescent="0.2"/>
    <row r="1460" s="2" customFormat="1" x14ac:dyDescent="0.2"/>
    <row r="1461" s="2" customFormat="1" x14ac:dyDescent="0.2"/>
    <row r="1462" s="2" customFormat="1" x14ac:dyDescent="0.2"/>
    <row r="1463" s="2" customFormat="1" x14ac:dyDescent="0.2"/>
    <row r="1464" s="2" customFormat="1" x14ac:dyDescent="0.2"/>
    <row r="1465" s="2" customFormat="1" x14ac:dyDescent="0.2"/>
    <row r="1466" s="2" customFormat="1" x14ac:dyDescent="0.2"/>
    <row r="1467" s="2" customFormat="1" x14ac:dyDescent="0.2"/>
    <row r="1468" s="2" customFormat="1" x14ac:dyDescent="0.2"/>
    <row r="1469" s="2" customFormat="1" x14ac:dyDescent="0.2"/>
    <row r="1470" s="2" customFormat="1" x14ac:dyDescent="0.2"/>
    <row r="1471" s="2" customFormat="1" x14ac:dyDescent="0.2"/>
    <row r="1472" s="2" customFormat="1" x14ac:dyDescent="0.2"/>
    <row r="1473" s="2" customFormat="1" x14ac:dyDescent="0.2"/>
    <row r="1474" s="2" customFormat="1" x14ac:dyDescent="0.2"/>
    <row r="1475" s="2" customFormat="1" x14ac:dyDescent="0.2"/>
    <row r="1476" s="2" customFormat="1" x14ac:dyDescent="0.2"/>
    <row r="1477" s="2" customFormat="1" x14ac:dyDescent="0.2"/>
    <row r="1478" s="2" customFormat="1" x14ac:dyDescent="0.2"/>
    <row r="1479" s="2" customFormat="1" x14ac:dyDescent="0.2"/>
    <row r="1480" s="2" customFormat="1" x14ac:dyDescent="0.2"/>
    <row r="1481" s="2" customFormat="1" x14ac:dyDescent="0.2"/>
    <row r="1482" s="2" customFormat="1" x14ac:dyDescent="0.2"/>
    <row r="1483" s="2" customFormat="1" x14ac:dyDescent="0.2"/>
    <row r="1484" s="2" customFormat="1" x14ac:dyDescent="0.2"/>
    <row r="1485" s="2" customFormat="1" x14ac:dyDescent="0.2"/>
    <row r="1486" s="2" customFormat="1" x14ac:dyDescent="0.2"/>
    <row r="1487" s="2" customFormat="1" x14ac:dyDescent="0.2"/>
    <row r="1488" s="2" customFormat="1" x14ac:dyDescent="0.2"/>
    <row r="1489" s="2" customFormat="1" x14ac:dyDescent="0.2"/>
    <row r="1490" s="2" customFormat="1" x14ac:dyDescent="0.2"/>
    <row r="1491" s="2" customFormat="1" x14ac:dyDescent="0.2"/>
    <row r="1492" s="2" customFormat="1" x14ac:dyDescent="0.2"/>
    <row r="1493" s="2" customFormat="1" x14ac:dyDescent="0.2"/>
    <row r="1494" s="2" customFormat="1" x14ac:dyDescent="0.2"/>
    <row r="1495" s="2" customFormat="1" x14ac:dyDescent="0.2"/>
    <row r="1496" s="2" customFormat="1" x14ac:dyDescent="0.2"/>
    <row r="1497" s="2" customFormat="1" x14ac:dyDescent="0.2"/>
    <row r="1498" s="2" customFormat="1" x14ac:dyDescent="0.2"/>
    <row r="1499" s="2" customFormat="1" x14ac:dyDescent="0.2"/>
    <row r="1500" s="2" customFormat="1" x14ac:dyDescent="0.2"/>
    <row r="1501" s="2" customFormat="1" x14ac:dyDescent="0.2"/>
    <row r="1502" s="2" customFormat="1" x14ac:dyDescent="0.2"/>
    <row r="1503" s="2" customFormat="1" x14ac:dyDescent="0.2"/>
    <row r="1504" s="2" customFormat="1" x14ac:dyDescent="0.2"/>
    <row r="1505" s="2" customFormat="1" x14ac:dyDescent="0.2"/>
    <row r="1506" s="2" customFormat="1" x14ac:dyDescent="0.2"/>
    <row r="1507" s="2" customFormat="1" x14ac:dyDescent="0.2"/>
    <row r="1508" s="2" customFormat="1" x14ac:dyDescent="0.2"/>
    <row r="1509" s="2" customFormat="1" x14ac:dyDescent="0.2"/>
    <row r="1510" s="2" customFormat="1" x14ac:dyDescent="0.2"/>
    <row r="1511" s="2" customFormat="1" x14ac:dyDescent="0.2"/>
    <row r="1512" s="2" customFormat="1" x14ac:dyDescent="0.2"/>
    <row r="1513" s="2" customFormat="1" x14ac:dyDescent="0.2"/>
    <row r="1514" s="2" customFormat="1" x14ac:dyDescent="0.2"/>
    <row r="1515" s="2" customFormat="1" x14ac:dyDescent="0.2"/>
    <row r="1516" s="2" customFormat="1" x14ac:dyDescent="0.2"/>
    <row r="1517" s="2" customFormat="1" x14ac:dyDescent="0.2"/>
    <row r="1518" s="2" customFormat="1" x14ac:dyDescent="0.2"/>
    <row r="1519" s="2" customFormat="1" x14ac:dyDescent="0.2"/>
    <row r="1520" s="2" customFormat="1" x14ac:dyDescent="0.2"/>
    <row r="1521" s="2" customFormat="1" x14ac:dyDescent="0.2"/>
    <row r="1522" s="2" customFormat="1" x14ac:dyDescent="0.2"/>
    <row r="1523" s="2" customFormat="1" x14ac:dyDescent="0.2"/>
    <row r="1524" s="2" customFormat="1" x14ac:dyDescent="0.2"/>
    <row r="1525" s="2" customFormat="1" x14ac:dyDescent="0.2"/>
    <row r="1526" s="2" customFormat="1" x14ac:dyDescent="0.2"/>
    <row r="1527" s="2" customFormat="1" x14ac:dyDescent="0.2"/>
    <row r="1528" s="2" customFormat="1" x14ac:dyDescent="0.2"/>
    <row r="1529" s="2" customFormat="1" x14ac:dyDescent="0.2"/>
    <row r="1530" s="2" customFormat="1" x14ac:dyDescent="0.2"/>
    <row r="1531" s="2" customFormat="1" x14ac:dyDescent="0.2"/>
    <row r="1532" s="2" customFormat="1" x14ac:dyDescent="0.2"/>
    <row r="1533" s="2" customFormat="1" x14ac:dyDescent="0.2"/>
    <row r="1534" s="2" customFormat="1" x14ac:dyDescent="0.2"/>
    <row r="1535" s="2" customFormat="1" x14ac:dyDescent="0.2"/>
    <row r="1536" s="2" customFormat="1" x14ac:dyDescent="0.2"/>
    <row r="1537" s="2" customFormat="1" x14ac:dyDescent="0.2"/>
    <row r="1538" s="2" customFormat="1" x14ac:dyDescent="0.2"/>
    <row r="1539" s="2" customFormat="1" x14ac:dyDescent="0.2"/>
    <row r="1540" s="2" customFormat="1" x14ac:dyDescent="0.2"/>
    <row r="1541" s="2" customFormat="1" x14ac:dyDescent="0.2"/>
    <row r="1542" s="2" customFormat="1" x14ac:dyDescent="0.2"/>
    <row r="1543" s="2" customFormat="1" x14ac:dyDescent="0.2"/>
    <row r="1544" s="2" customFormat="1" x14ac:dyDescent="0.2"/>
    <row r="1545" s="2" customFormat="1" x14ac:dyDescent="0.2"/>
    <row r="1546" s="2" customFormat="1" x14ac:dyDescent="0.2"/>
    <row r="1547" s="2" customFormat="1" x14ac:dyDescent="0.2"/>
    <row r="1548" s="2" customFormat="1" x14ac:dyDescent="0.2"/>
    <row r="1549" s="2" customFormat="1" x14ac:dyDescent="0.2"/>
    <row r="1550" s="2" customFormat="1" x14ac:dyDescent="0.2"/>
    <row r="1551" s="2" customFormat="1" x14ac:dyDescent="0.2"/>
    <row r="1552" s="2" customFormat="1" x14ac:dyDescent="0.2"/>
    <row r="1553" s="2" customFormat="1" x14ac:dyDescent="0.2"/>
    <row r="1554" s="2" customFormat="1" x14ac:dyDescent="0.2"/>
    <row r="1555" s="2" customFormat="1" x14ac:dyDescent="0.2"/>
    <row r="1556" s="2" customFormat="1" x14ac:dyDescent="0.2"/>
    <row r="1557" s="2" customFormat="1" x14ac:dyDescent="0.2"/>
    <row r="1558" s="2" customFormat="1" x14ac:dyDescent="0.2"/>
    <row r="1559" s="2" customFormat="1" x14ac:dyDescent="0.2"/>
    <row r="1560" s="2" customFormat="1" x14ac:dyDescent="0.2"/>
    <row r="1561" s="2" customFormat="1" x14ac:dyDescent="0.2"/>
    <row r="1562" s="2" customFormat="1" x14ac:dyDescent="0.2"/>
    <row r="1563" s="2" customFormat="1" x14ac:dyDescent="0.2"/>
    <row r="1564" s="2" customFormat="1" x14ac:dyDescent="0.2"/>
    <row r="1565" s="2" customFormat="1" x14ac:dyDescent="0.2"/>
    <row r="1566" s="2" customFormat="1" x14ac:dyDescent="0.2"/>
    <row r="1567" s="2" customFormat="1" x14ac:dyDescent="0.2"/>
    <row r="1568" s="2" customFormat="1" x14ac:dyDescent="0.2"/>
    <row r="1569" s="2" customFormat="1" x14ac:dyDescent="0.2"/>
    <row r="1570" s="2" customFormat="1" x14ac:dyDescent="0.2"/>
    <row r="1571" s="2" customFormat="1" x14ac:dyDescent="0.2"/>
    <row r="1572" s="2" customFormat="1" x14ac:dyDescent="0.2"/>
    <row r="1573" s="2" customFormat="1" x14ac:dyDescent="0.2"/>
    <row r="1574" s="2" customFormat="1" x14ac:dyDescent="0.2"/>
    <row r="1575" s="2" customFormat="1" x14ac:dyDescent="0.2"/>
    <row r="1576" s="2" customFormat="1" x14ac:dyDescent="0.2"/>
    <row r="1577" s="2" customFormat="1" x14ac:dyDescent="0.2"/>
    <row r="1578" s="2" customFormat="1" x14ac:dyDescent="0.2"/>
    <row r="1579" s="2" customFormat="1" x14ac:dyDescent="0.2"/>
    <row r="1580" s="2" customFormat="1" x14ac:dyDescent="0.2"/>
    <row r="1581" s="2" customFormat="1" x14ac:dyDescent="0.2"/>
    <row r="1582" s="2" customFormat="1" x14ac:dyDescent="0.2"/>
    <row r="1583" s="2" customFormat="1" x14ac:dyDescent="0.2"/>
    <row r="1584" s="2" customFormat="1" x14ac:dyDescent="0.2"/>
    <row r="1585" s="2" customFormat="1" x14ac:dyDescent="0.2"/>
    <row r="1586" s="2" customFormat="1" x14ac:dyDescent="0.2"/>
    <row r="1587" s="2" customFormat="1" x14ac:dyDescent="0.2"/>
    <row r="1588" s="2" customFormat="1" x14ac:dyDescent="0.2"/>
    <row r="1589" s="2" customFormat="1" x14ac:dyDescent="0.2"/>
    <row r="1590" s="2" customFormat="1" x14ac:dyDescent="0.2"/>
    <row r="1591" s="2" customFormat="1" x14ac:dyDescent="0.2"/>
    <row r="1592" s="2" customFormat="1" x14ac:dyDescent="0.2"/>
    <row r="1593" s="2" customFormat="1" x14ac:dyDescent="0.2"/>
    <row r="1594" s="2" customFormat="1" x14ac:dyDescent="0.2"/>
    <row r="1595" s="2" customFormat="1" x14ac:dyDescent="0.2"/>
    <row r="1596" s="2" customFormat="1" x14ac:dyDescent="0.2"/>
    <row r="1597" s="2" customFormat="1" x14ac:dyDescent="0.2"/>
    <row r="1598" s="2" customFormat="1" x14ac:dyDescent="0.2"/>
    <row r="1599" s="2" customFormat="1" x14ac:dyDescent="0.2"/>
    <row r="1600" s="2" customFormat="1" x14ac:dyDescent="0.2"/>
    <row r="1601" s="2" customFormat="1" x14ac:dyDescent="0.2"/>
    <row r="1602" s="2" customFormat="1" x14ac:dyDescent="0.2"/>
    <row r="1603" s="2" customFormat="1" x14ac:dyDescent="0.2"/>
    <row r="1604" s="2" customFormat="1" x14ac:dyDescent="0.2"/>
    <row r="1605" s="2" customFormat="1" x14ac:dyDescent="0.2"/>
    <row r="1606" s="2" customFormat="1" x14ac:dyDescent="0.2"/>
    <row r="1607" s="2" customFormat="1" x14ac:dyDescent="0.2"/>
    <row r="1608" s="2" customFormat="1" x14ac:dyDescent="0.2"/>
    <row r="1609" s="2" customFormat="1" x14ac:dyDescent="0.2"/>
    <row r="1610" s="2" customFormat="1" x14ac:dyDescent="0.2"/>
    <row r="1611" s="2" customFormat="1" x14ac:dyDescent="0.2"/>
    <row r="1612" s="2" customFormat="1" x14ac:dyDescent="0.2"/>
    <row r="1613" s="2" customFormat="1" x14ac:dyDescent="0.2"/>
    <row r="1614" s="2" customFormat="1" x14ac:dyDescent="0.2"/>
    <row r="1615" s="2" customFormat="1" x14ac:dyDescent="0.2"/>
    <row r="1616" s="2" customFormat="1" x14ac:dyDescent="0.2"/>
    <row r="1617" s="2" customFormat="1" x14ac:dyDescent="0.2"/>
    <row r="1618" s="2" customFormat="1" x14ac:dyDescent="0.2"/>
    <row r="1619" s="2" customFormat="1" x14ac:dyDescent="0.2"/>
    <row r="1620" s="2" customFormat="1" x14ac:dyDescent="0.2"/>
    <row r="1621" s="2" customFormat="1" x14ac:dyDescent="0.2"/>
    <row r="1622" s="2" customFormat="1" x14ac:dyDescent="0.2"/>
    <row r="1623" s="2" customFormat="1" x14ac:dyDescent="0.2"/>
    <row r="1624" s="2" customFormat="1" x14ac:dyDescent="0.2"/>
    <row r="1625" s="2" customFormat="1" x14ac:dyDescent="0.2"/>
    <row r="1626" s="2" customFormat="1" x14ac:dyDescent="0.2"/>
    <row r="1627" s="2" customFormat="1" x14ac:dyDescent="0.2"/>
    <row r="1628" s="2" customFormat="1" x14ac:dyDescent="0.2"/>
    <row r="1629" s="2" customFormat="1" x14ac:dyDescent="0.2"/>
    <row r="1630" s="2" customFormat="1" x14ac:dyDescent="0.2"/>
    <row r="1631" s="2" customFormat="1" x14ac:dyDescent="0.2"/>
    <row r="1632" s="2" customFormat="1" x14ac:dyDescent="0.2"/>
    <row r="1633" s="2" customFormat="1" x14ac:dyDescent="0.2"/>
    <row r="1634" s="2" customFormat="1" x14ac:dyDescent="0.2"/>
    <row r="1635" s="2" customFormat="1" x14ac:dyDescent="0.2"/>
    <row r="1636" s="2" customFormat="1" x14ac:dyDescent="0.2"/>
    <row r="1637" s="2" customFormat="1" x14ac:dyDescent="0.2"/>
    <row r="1638" s="2" customFormat="1" x14ac:dyDescent="0.2"/>
    <row r="1639" s="2" customFormat="1" x14ac:dyDescent="0.2"/>
    <row r="1640" s="2" customFormat="1" x14ac:dyDescent="0.2"/>
    <row r="1641" s="2" customFormat="1" x14ac:dyDescent="0.2"/>
    <row r="1642" s="2" customFormat="1" x14ac:dyDescent="0.2"/>
    <row r="1643" s="2" customFormat="1" x14ac:dyDescent="0.2"/>
    <row r="1644" s="2" customFormat="1" x14ac:dyDescent="0.2"/>
    <row r="1645" s="2" customFormat="1" x14ac:dyDescent="0.2"/>
    <row r="1646" s="2" customFormat="1" x14ac:dyDescent="0.2"/>
    <row r="1647" s="2" customFormat="1" x14ac:dyDescent="0.2"/>
    <row r="1648" s="2" customFormat="1" x14ac:dyDescent="0.2"/>
    <row r="1649" s="2" customFormat="1" x14ac:dyDescent="0.2"/>
    <row r="1650" s="2" customFormat="1" x14ac:dyDescent="0.2"/>
    <row r="1651" s="2" customFormat="1" x14ac:dyDescent="0.2"/>
    <row r="1652" s="2" customFormat="1" x14ac:dyDescent="0.2"/>
    <row r="1653" s="2" customFormat="1" x14ac:dyDescent="0.2"/>
    <row r="1654" s="2" customFormat="1" x14ac:dyDescent="0.2"/>
    <row r="1655" s="2" customFormat="1" x14ac:dyDescent="0.2"/>
    <row r="1656" s="2" customFormat="1" x14ac:dyDescent="0.2"/>
    <row r="1657" s="2" customFormat="1" x14ac:dyDescent="0.2"/>
    <row r="1658" s="2" customFormat="1" x14ac:dyDescent="0.2"/>
    <row r="1659" s="2" customFormat="1" x14ac:dyDescent="0.2"/>
    <row r="1660" s="2" customFormat="1" x14ac:dyDescent="0.2"/>
    <row r="1661" s="2" customFormat="1" x14ac:dyDescent="0.2"/>
    <row r="1662" s="2" customFormat="1" x14ac:dyDescent="0.2"/>
    <row r="1663" s="2" customFormat="1" x14ac:dyDescent="0.2"/>
    <row r="1664" s="2" customFormat="1" x14ac:dyDescent="0.2"/>
    <row r="1665" s="2" customFormat="1" x14ac:dyDescent="0.2"/>
    <row r="1666" s="2" customFormat="1" x14ac:dyDescent="0.2"/>
    <row r="1667" s="2" customFormat="1" x14ac:dyDescent="0.2"/>
    <row r="1668" s="2" customFormat="1" x14ac:dyDescent="0.2"/>
    <row r="1669" s="2" customFormat="1" x14ac:dyDescent="0.2"/>
    <row r="1670" s="2" customFormat="1" x14ac:dyDescent="0.2"/>
    <row r="1671" s="2" customFormat="1" x14ac:dyDescent="0.2"/>
    <row r="1672" s="2" customFormat="1" x14ac:dyDescent="0.2"/>
    <row r="1673" s="2" customFormat="1" x14ac:dyDescent="0.2"/>
    <row r="1674" s="2" customFormat="1" x14ac:dyDescent="0.2"/>
    <row r="1675" s="2" customFormat="1" x14ac:dyDescent="0.2"/>
    <row r="1676" s="2" customFormat="1" x14ac:dyDescent="0.2"/>
    <row r="1677" s="2" customFormat="1" x14ac:dyDescent="0.2"/>
    <row r="1678" s="2" customFormat="1" x14ac:dyDescent="0.2"/>
    <row r="1679" s="2" customFormat="1" x14ac:dyDescent="0.2"/>
    <row r="1680" s="2" customFormat="1" x14ac:dyDescent="0.2"/>
    <row r="1681" s="2" customFormat="1" x14ac:dyDescent="0.2"/>
    <row r="1682" s="2" customFormat="1" x14ac:dyDescent="0.2"/>
    <row r="1683" s="2" customFormat="1" x14ac:dyDescent="0.2"/>
    <row r="1684" s="2" customFormat="1" x14ac:dyDescent="0.2"/>
    <row r="1685" s="2" customFormat="1" x14ac:dyDescent="0.2"/>
    <row r="1686" s="2" customFormat="1" x14ac:dyDescent="0.2"/>
    <row r="1687" s="2" customFormat="1" x14ac:dyDescent="0.2"/>
    <row r="1688" s="2" customFormat="1" x14ac:dyDescent="0.2"/>
    <row r="1689" s="2" customFormat="1" x14ac:dyDescent="0.2"/>
    <row r="1690" s="2" customFormat="1" x14ac:dyDescent="0.2"/>
    <row r="1691" s="2" customFormat="1" x14ac:dyDescent="0.2"/>
    <row r="1692" s="2" customFormat="1" x14ac:dyDescent="0.2"/>
    <row r="1693" s="2" customFormat="1" x14ac:dyDescent="0.2"/>
    <row r="1694" s="2" customFormat="1" x14ac:dyDescent="0.2"/>
    <row r="1695" s="2" customFormat="1" x14ac:dyDescent="0.2"/>
    <row r="1696" s="2" customFormat="1" x14ac:dyDescent="0.2"/>
    <row r="1697" s="2" customFormat="1" x14ac:dyDescent="0.2"/>
    <row r="1698" s="2" customFormat="1" x14ac:dyDescent="0.2"/>
    <row r="1699" s="2" customFormat="1" x14ac:dyDescent="0.2"/>
    <row r="1700" s="2" customFormat="1" x14ac:dyDescent="0.2"/>
    <row r="1701" s="2" customFormat="1" x14ac:dyDescent="0.2"/>
    <row r="1702" s="2" customFormat="1" x14ac:dyDescent="0.2"/>
    <row r="1703" s="2" customFormat="1" x14ac:dyDescent="0.2"/>
    <row r="1704" s="2" customFormat="1" x14ac:dyDescent="0.2"/>
    <row r="1705" s="2" customFormat="1" x14ac:dyDescent="0.2"/>
    <row r="1706" s="2" customFormat="1" x14ac:dyDescent="0.2"/>
    <row r="1707" s="2" customFormat="1" x14ac:dyDescent="0.2"/>
    <row r="1708" s="2" customFormat="1" x14ac:dyDescent="0.2"/>
    <row r="1709" s="2" customFormat="1" x14ac:dyDescent="0.2"/>
    <row r="1710" s="2" customFormat="1" x14ac:dyDescent="0.2"/>
    <row r="1711" s="2" customFormat="1" x14ac:dyDescent="0.2"/>
    <row r="1712" s="2" customFormat="1" x14ac:dyDescent="0.2"/>
    <row r="1713" s="2" customFormat="1" x14ac:dyDescent="0.2"/>
    <row r="1714" s="2" customFormat="1" x14ac:dyDescent="0.2"/>
    <row r="1715" s="2" customFormat="1" x14ac:dyDescent="0.2"/>
    <row r="1716" s="2" customFormat="1" x14ac:dyDescent="0.2"/>
    <row r="1717" s="2" customFormat="1" x14ac:dyDescent="0.2"/>
    <row r="1718" s="2" customFormat="1" x14ac:dyDescent="0.2"/>
    <row r="1719" s="2" customFormat="1" x14ac:dyDescent="0.2"/>
    <row r="1720" s="2" customFormat="1" x14ac:dyDescent="0.2"/>
    <row r="1721" s="2" customFormat="1" x14ac:dyDescent="0.2"/>
    <row r="1722" s="2" customFormat="1" x14ac:dyDescent="0.2"/>
    <row r="1723" s="2" customFormat="1" x14ac:dyDescent="0.2"/>
    <row r="1724" s="2" customFormat="1" x14ac:dyDescent="0.2"/>
    <row r="1725" s="2" customFormat="1" x14ac:dyDescent="0.2"/>
    <row r="1726" s="2" customFormat="1" x14ac:dyDescent="0.2"/>
    <row r="1727" s="2" customFormat="1" x14ac:dyDescent="0.2"/>
    <row r="1728" s="2" customFormat="1" x14ac:dyDescent="0.2"/>
    <row r="1729" s="2" customFormat="1" x14ac:dyDescent="0.2"/>
    <row r="1730" s="2" customFormat="1" x14ac:dyDescent="0.2"/>
    <row r="1731" s="2" customFormat="1" x14ac:dyDescent="0.2"/>
    <row r="1732" s="2" customFormat="1" x14ac:dyDescent="0.2"/>
    <row r="1733" s="2" customFormat="1" x14ac:dyDescent="0.2"/>
    <row r="1734" s="2" customFormat="1" x14ac:dyDescent="0.2"/>
    <row r="1735" s="2" customFormat="1" x14ac:dyDescent="0.2"/>
    <row r="1736" s="2" customFormat="1" x14ac:dyDescent="0.2"/>
    <row r="1737" s="2" customFormat="1" x14ac:dyDescent="0.2"/>
    <row r="1738" s="2" customFormat="1" x14ac:dyDescent="0.2"/>
    <row r="1739" s="2" customFormat="1" x14ac:dyDescent="0.2"/>
    <row r="1740" s="2" customFormat="1" x14ac:dyDescent="0.2"/>
    <row r="1741" s="2" customFormat="1" x14ac:dyDescent="0.2"/>
    <row r="1742" s="2" customFormat="1" x14ac:dyDescent="0.2"/>
    <row r="1743" s="2" customFormat="1" x14ac:dyDescent="0.2"/>
    <row r="1744" s="2" customFormat="1" x14ac:dyDescent="0.2"/>
    <row r="1745" s="2" customFormat="1" x14ac:dyDescent="0.2"/>
    <row r="1746" s="2" customFormat="1" x14ac:dyDescent="0.2"/>
    <row r="1747" s="2" customFormat="1" x14ac:dyDescent="0.2"/>
    <row r="1748" s="2" customFormat="1" x14ac:dyDescent="0.2"/>
    <row r="1749" s="2" customFormat="1" x14ac:dyDescent="0.2"/>
    <row r="1750" s="2" customFormat="1" x14ac:dyDescent="0.2"/>
    <row r="1751" s="2" customFormat="1" x14ac:dyDescent="0.2"/>
    <row r="1752" s="2" customFormat="1" x14ac:dyDescent="0.2"/>
    <row r="1753" s="2" customFormat="1" x14ac:dyDescent="0.2"/>
    <row r="1754" s="2" customFormat="1" x14ac:dyDescent="0.2"/>
    <row r="1755" s="2" customFormat="1" x14ac:dyDescent="0.2"/>
    <row r="1756" s="2" customFormat="1" x14ac:dyDescent="0.2"/>
    <row r="1757" s="2" customFormat="1" x14ac:dyDescent="0.2"/>
    <row r="1758" s="2" customFormat="1" x14ac:dyDescent="0.2"/>
    <row r="1759" s="2" customFormat="1" x14ac:dyDescent="0.2"/>
    <row r="1760" s="2" customFormat="1" x14ac:dyDescent="0.2"/>
    <row r="1761" s="2" customFormat="1" x14ac:dyDescent="0.2"/>
    <row r="1762" s="2" customFormat="1" x14ac:dyDescent="0.2"/>
    <row r="1763" s="2" customFormat="1" x14ac:dyDescent="0.2"/>
    <row r="1764" s="2" customFormat="1" x14ac:dyDescent="0.2"/>
    <row r="1765" s="2" customFormat="1" x14ac:dyDescent="0.2"/>
    <row r="1766" s="2" customFormat="1" x14ac:dyDescent="0.2"/>
    <row r="1767" s="2" customFormat="1" x14ac:dyDescent="0.2"/>
    <row r="1768" s="2" customFormat="1" x14ac:dyDescent="0.2"/>
    <row r="1769" s="2" customFormat="1" x14ac:dyDescent="0.2"/>
    <row r="1770" s="2" customFormat="1" x14ac:dyDescent="0.2"/>
    <row r="1771" s="2" customFormat="1" x14ac:dyDescent="0.2"/>
    <row r="1772" s="2" customFormat="1" x14ac:dyDescent="0.2"/>
    <row r="1773" s="2" customFormat="1" x14ac:dyDescent="0.2"/>
    <row r="1774" s="2" customFormat="1" x14ac:dyDescent="0.2"/>
    <row r="1775" s="2" customFormat="1" x14ac:dyDescent="0.2"/>
    <row r="1776" s="2" customFormat="1" x14ac:dyDescent="0.2"/>
    <row r="1777" s="2" customFormat="1" x14ac:dyDescent="0.2"/>
    <row r="1778" s="2" customFormat="1" x14ac:dyDescent="0.2"/>
    <row r="1779" s="2" customFormat="1" x14ac:dyDescent="0.2"/>
    <row r="1780" s="2" customFormat="1" x14ac:dyDescent="0.2"/>
    <row r="1781" s="2" customFormat="1" x14ac:dyDescent="0.2"/>
    <row r="1782" s="2" customFormat="1" x14ac:dyDescent="0.2"/>
    <row r="1783" s="2" customFormat="1" x14ac:dyDescent="0.2"/>
    <row r="1784" s="2" customFormat="1" x14ac:dyDescent="0.2"/>
    <row r="1785" s="2" customFormat="1" x14ac:dyDescent="0.2"/>
    <row r="1786" s="2" customFormat="1" x14ac:dyDescent="0.2"/>
    <row r="1787" s="2" customFormat="1" x14ac:dyDescent="0.2"/>
    <row r="1788" s="2" customFormat="1" x14ac:dyDescent="0.2"/>
    <row r="1789" s="2" customFormat="1" x14ac:dyDescent="0.2"/>
    <row r="1790" s="2" customFormat="1" x14ac:dyDescent="0.2"/>
    <row r="1791" s="2" customFormat="1" x14ac:dyDescent="0.2"/>
    <row r="1792" s="2" customFormat="1" x14ac:dyDescent="0.2"/>
    <row r="1793" s="2" customFormat="1" x14ac:dyDescent="0.2"/>
    <row r="1794" s="2" customFormat="1" x14ac:dyDescent="0.2"/>
    <row r="1795" s="2" customFormat="1" x14ac:dyDescent="0.2"/>
    <row r="1796" s="2" customFormat="1" x14ac:dyDescent="0.2"/>
    <row r="1797" s="2" customFormat="1" x14ac:dyDescent="0.2"/>
    <row r="1798" s="2" customFormat="1" x14ac:dyDescent="0.2"/>
    <row r="1799" s="2" customFormat="1" x14ac:dyDescent="0.2"/>
    <row r="1800" s="2" customFormat="1" x14ac:dyDescent="0.2"/>
    <row r="1801" s="2" customFormat="1" x14ac:dyDescent="0.2"/>
    <row r="1802" s="2" customFormat="1" x14ac:dyDescent="0.2"/>
    <row r="1803" s="2" customFormat="1" x14ac:dyDescent="0.2"/>
    <row r="1804" s="2" customFormat="1" x14ac:dyDescent="0.2"/>
    <row r="1805" s="2" customFormat="1" x14ac:dyDescent="0.2"/>
    <row r="1806" s="2" customFormat="1" x14ac:dyDescent="0.2"/>
    <row r="1807" s="2" customFormat="1" x14ac:dyDescent="0.2"/>
    <row r="1808" s="2" customFormat="1" x14ac:dyDescent="0.2"/>
    <row r="1809" s="2" customFormat="1" x14ac:dyDescent="0.2"/>
    <row r="1810" s="2" customFormat="1" x14ac:dyDescent="0.2"/>
    <row r="1811" s="2" customFormat="1" x14ac:dyDescent="0.2"/>
    <row r="1812" s="2" customFormat="1" x14ac:dyDescent="0.2"/>
    <row r="1813" s="2" customFormat="1" x14ac:dyDescent="0.2"/>
    <row r="1814" s="2" customFormat="1" x14ac:dyDescent="0.2"/>
    <row r="1815" s="2" customFormat="1" x14ac:dyDescent="0.2"/>
    <row r="1816" s="2" customFormat="1" x14ac:dyDescent="0.2"/>
    <row r="1817" s="2" customFormat="1" x14ac:dyDescent="0.2"/>
    <row r="1818" s="2" customFormat="1" x14ac:dyDescent="0.2"/>
    <row r="1819" s="2" customFormat="1" x14ac:dyDescent="0.2"/>
    <row r="1820" s="2" customFormat="1" x14ac:dyDescent="0.2"/>
    <row r="1821" s="2" customFormat="1" x14ac:dyDescent="0.2"/>
    <row r="1822" s="2" customFormat="1" x14ac:dyDescent="0.2"/>
    <row r="1823" s="2" customFormat="1" x14ac:dyDescent="0.2"/>
    <row r="1824" s="2" customFormat="1" x14ac:dyDescent="0.2"/>
    <row r="1825" s="2" customFormat="1" x14ac:dyDescent="0.2"/>
    <row r="1826" s="2" customFormat="1" x14ac:dyDescent="0.2"/>
    <row r="1827" s="2" customFormat="1" x14ac:dyDescent="0.2"/>
    <row r="1828" s="2" customFormat="1" x14ac:dyDescent="0.2"/>
    <row r="1829" s="2" customFormat="1" x14ac:dyDescent="0.2"/>
    <row r="1830" s="2" customFormat="1" x14ac:dyDescent="0.2"/>
    <row r="1831" s="2" customFormat="1" x14ac:dyDescent="0.2"/>
    <row r="1832" s="2" customFormat="1" x14ac:dyDescent="0.2"/>
    <row r="1833" s="2" customFormat="1" x14ac:dyDescent="0.2"/>
    <row r="1834" s="2" customFormat="1" x14ac:dyDescent="0.2"/>
    <row r="1835" s="2" customFormat="1" x14ac:dyDescent="0.2"/>
    <row r="1836" s="2" customFormat="1" x14ac:dyDescent="0.2"/>
    <row r="1837" s="2" customFormat="1" x14ac:dyDescent="0.2"/>
    <row r="1838" s="2" customFormat="1" x14ac:dyDescent="0.2"/>
    <row r="1839" s="2" customFormat="1" x14ac:dyDescent="0.2"/>
    <row r="1840" s="2" customFormat="1" x14ac:dyDescent="0.2"/>
    <row r="1841" s="2" customFormat="1" x14ac:dyDescent="0.2"/>
    <row r="1842" s="2" customFormat="1" x14ac:dyDescent="0.2"/>
    <row r="1843" s="2" customFormat="1" x14ac:dyDescent="0.2"/>
    <row r="1844" s="2" customFormat="1" x14ac:dyDescent="0.2"/>
    <row r="1845" s="2" customFormat="1" x14ac:dyDescent="0.2"/>
    <row r="1846" s="2" customFormat="1" x14ac:dyDescent="0.2"/>
    <row r="1847" s="2" customFormat="1" x14ac:dyDescent="0.2"/>
    <row r="1848" s="2" customFormat="1" x14ac:dyDescent="0.2"/>
    <row r="1849" s="2" customFormat="1" x14ac:dyDescent="0.2"/>
    <row r="1850" s="2" customFormat="1" x14ac:dyDescent="0.2"/>
    <row r="1851" s="2" customFormat="1" x14ac:dyDescent="0.2"/>
    <row r="1852" s="2" customFormat="1" x14ac:dyDescent="0.2"/>
    <row r="1853" s="2" customFormat="1" x14ac:dyDescent="0.2"/>
    <row r="1854" s="2" customFormat="1" x14ac:dyDescent="0.2"/>
    <row r="1855" s="2" customFormat="1" x14ac:dyDescent="0.2"/>
    <row r="1856" s="2" customFormat="1" x14ac:dyDescent="0.2"/>
    <row r="1857" s="2" customFormat="1" x14ac:dyDescent="0.2"/>
    <row r="1858" s="2" customFormat="1" x14ac:dyDescent="0.2"/>
    <row r="1859" s="2" customFormat="1" x14ac:dyDescent="0.2"/>
    <row r="1860" s="2" customFormat="1" x14ac:dyDescent="0.2"/>
    <row r="1861" s="2" customFormat="1" x14ac:dyDescent="0.2"/>
    <row r="1862" s="2" customFormat="1" x14ac:dyDescent="0.2"/>
    <row r="1863" s="2" customFormat="1" x14ac:dyDescent="0.2"/>
    <row r="1864" s="2" customFormat="1" x14ac:dyDescent="0.2"/>
    <row r="1865" s="2" customFormat="1" x14ac:dyDescent="0.2"/>
    <row r="1866" s="2" customFormat="1" x14ac:dyDescent="0.2"/>
    <row r="1867" s="2" customFormat="1" x14ac:dyDescent="0.2"/>
    <row r="1868" s="2" customFormat="1" x14ac:dyDescent="0.2"/>
    <row r="1869" s="2" customFormat="1" x14ac:dyDescent="0.2"/>
    <row r="1870" s="2" customFormat="1" x14ac:dyDescent="0.2"/>
    <row r="1871" s="2" customFormat="1" x14ac:dyDescent="0.2"/>
    <row r="1872" s="2" customFormat="1" x14ac:dyDescent="0.2"/>
    <row r="1873" s="2" customFormat="1" x14ac:dyDescent="0.2"/>
    <row r="1874" s="2" customFormat="1" x14ac:dyDescent="0.2"/>
    <row r="1875" s="2" customFormat="1" x14ac:dyDescent="0.2"/>
    <row r="1876" s="2" customFormat="1" x14ac:dyDescent="0.2"/>
    <row r="1877" s="2" customFormat="1" x14ac:dyDescent="0.2"/>
    <row r="1878" s="2" customFormat="1" x14ac:dyDescent="0.2"/>
    <row r="1879" s="2" customFormat="1" x14ac:dyDescent="0.2"/>
    <row r="1880" s="2" customFormat="1" x14ac:dyDescent="0.2"/>
    <row r="1881" s="2" customFormat="1" x14ac:dyDescent="0.2"/>
    <row r="1882" s="2" customFormat="1" x14ac:dyDescent="0.2"/>
    <row r="1883" s="2" customFormat="1" x14ac:dyDescent="0.2"/>
    <row r="1884" s="2" customFormat="1" x14ac:dyDescent="0.2"/>
    <row r="1885" s="2" customFormat="1" x14ac:dyDescent="0.2"/>
    <row r="1886" s="2" customFormat="1" x14ac:dyDescent="0.2"/>
    <row r="1887" s="2" customFormat="1" x14ac:dyDescent="0.2"/>
    <row r="1888" s="2" customFormat="1" x14ac:dyDescent="0.2"/>
    <row r="1889" s="2" customFormat="1" x14ac:dyDescent="0.2"/>
    <row r="1890" s="2" customFormat="1" x14ac:dyDescent="0.2"/>
    <row r="1891" s="2" customFormat="1" x14ac:dyDescent="0.2"/>
    <row r="1892" s="2" customFormat="1" x14ac:dyDescent="0.2"/>
    <row r="1893" s="2" customFormat="1" x14ac:dyDescent="0.2"/>
    <row r="1894" s="2" customFormat="1" x14ac:dyDescent="0.2"/>
    <row r="1895" s="2" customFormat="1" x14ac:dyDescent="0.2"/>
    <row r="1896" s="2" customFormat="1" x14ac:dyDescent="0.2"/>
    <row r="1897" s="2" customFormat="1" x14ac:dyDescent="0.2"/>
    <row r="1898" s="2" customFormat="1" x14ac:dyDescent="0.2"/>
    <row r="1899" s="2" customFormat="1" x14ac:dyDescent="0.2"/>
    <row r="1900" s="2" customFormat="1" x14ac:dyDescent="0.2"/>
    <row r="1901" s="2" customFormat="1" x14ac:dyDescent="0.2"/>
    <row r="1902" s="2" customFormat="1" x14ac:dyDescent="0.2"/>
    <row r="1903" s="2" customFormat="1" x14ac:dyDescent="0.2"/>
    <row r="1904" s="2" customFormat="1" x14ac:dyDescent="0.2"/>
    <row r="1905" s="2" customFormat="1" x14ac:dyDescent="0.2"/>
    <row r="1906" s="2" customFormat="1" x14ac:dyDescent="0.2"/>
    <row r="1907" s="2" customFormat="1" x14ac:dyDescent="0.2"/>
    <row r="1908" s="2" customFormat="1" x14ac:dyDescent="0.2"/>
    <row r="1909" s="2" customFormat="1" x14ac:dyDescent="0.2"/>
    <row r="1910" s="2" customFormat="1" x14ac:dyDescent="0.2"/>
    <row r="1911" s="2" customFormat="1" x14ac:dyDescent="0.2"/>
    <row r="1912" s="2" customFormat="1" x14ac:dyDescent="0.2"/>
    <row r="1913" s="2" customFormat="1" x14ac:dyDescent="0.2"/>
    <row r="1914" s="2" customFormat="1" x14ac:dyDescent="0.2"/>
    <row r="1915" s="2" customFormat="1" x14ac:dyDescent="0.2"/>
    <row r="1916" s="2" customFormat="1" x14ac:dyDescent="0.2"/>
    <row r="1917" s="2" customFormat="1" x14ac:dyDescent="0.2"/>
    <row r="1918" s="2" customFormat="1" x14ac:dyDescent="0.2"/>
    <row r="1919" s="2" customFormat="1" x14ac:dyDescent="0.2"/>
    <row r="1920" s="2" customFormat="1" x14ac:dyDescent="0.2"/>
    <row r="1921" s="2" customFormat="1" x14ac:dyDescent="0.2"/>
    <row r="1922" s="2" customFormat="1" x14ac:dyDescent="0.2"/>
    <row r="1923" s="2" customFormat="1" x14ac:dyDescent="0.2"/>
    <row r="1924" s="2" customFormat="1" x14ac:dyDescent="0.2"/>
    <row r="1925" s="2" customFormat="1" x14ac:dyDescent="0.2"/>
    <row r="1926" s="2" customFormat="1" x14ac:dyDescent="0.2"/>
    <row r="1927" s="2" customFormat="1" x14ac:dyDescent="0.2"/>
    <row r="1928" s="2" customFormat="1" x14ac:dyDescent="0.2"/>
    <row r="1929" s="2" customFormat="1" x14ac:dyDescent="0.2"/>
    <row r="1930" s="2" customFormat="1" x14ac:dyDescent="0.2"/>
    <row r="1931" s="2" customFormat="1" x14ac:dyDescent="0.2"/>
    <row r="1932" s="2" customFormat="1" x14ac:dyDescent="0.2"/>
    <row r="1933" s="2" customFormat="1" x14ac:dyDescent="0.2"/>
    <row r="1934" s="2" customFormat="1" x14ac:dyDescent="0.2"/>
    <row r="1935" s="2" customFormat="1" x14ac:dyDescent="0.2"/>
    <row r="1936" s="2" customFormat="1" x14ac:dyDescent="0.2"/>
    <row r="1937" s="2" customFormat="1" x14ac:dyDescent="0.2"/>
    <row r="1938" s="2" customFormat="1" x14ac:dyDescent="0.2"/>
    <row r="1939" s="2" customFormat="1" x14ac:dyDescent="0.2"/>
    <row r="1940" s="2" customFormat="1" x14ac:dyDescent="0.2"/>
    <row r="1941" s="2" customFormat="1" x14ac:dyDescent="0.2"/>
    <row r="1942" s="2" customFormat="1" x14ac:dyDescent="0.2"/>
    <row r="1943" s="2" customFormat="1" x14ac:dyDescent="0.2"/>
    <row r="1944" s="2" customFormat="1" x14ac:dyDescent="0.2"/>
    <row r="1945" s="2" customFormat="1" x14ac:dyDescent="0.2"/>
    <row r="1946" s="2" customFormat="1" x14ac:dyDescent="0.2"/>
    <row r="1947" s="2" customFormat="1" x14ac:dyDescent="0.2"/>
    <row r="1948" s="2" customFormat="1" x14ac:dyDescent="0.2"/>
    <row r="1949" s="2" customFormat="1" x14ac:dyDescent="0.2"/>
    <row r="1950" s="2" customFormat="1" x14ac:dyDescent="0.2"/>
    <row r="1951" s="2" customFormat="1" x14ac:dyDescent="0.2"/>
    <row r="1952" s="2" customFormat="1" x14ac:dyDescent="0.2"/>
    <row r="1953" s="2" customFormat="1" x14ac:dyDescent="0.2"/>
    <row r="1954" s="2" customFormat="1" x14ac:dyDescent="0.2"/>
    <row r="1955" s="2" customFormat="1" x14ac:dyDescent="0.2"/>
    <row r="1956" s="2" customFormat="1" x14ac:dyDescent="0.2"/>
    <row r="1957" s="2" customFormat="1" x14ac:dyDescent="0.2"/>
    <row r="1958" s="2" customFormat="1" x14ac:dyDescent="0.2"/>
    <row r="1959" s="2" customFormat="1" x14ac:dyDescent="0.2"/>
    <row r="1960" s="2" customFormat="1" x14ac:dyDescent="0.2"/>
    <row r="1961" s="2" customFormat="1" x14ac:dyDescent="0.2"/>
    <row r="1962" s="2" customFormat="1" x14ac:dyDescent="0.2"/>
    <row r="1963" s="2" customFormat="1" x14ac:dyDescent="0.2"/>
    <row r="1964" s="2" customFormat="1" x14ac:dyDescent="0.2"/>
    <row r="1965" s="2" customFormat="1" x14ac:dyDescent="0.2"/>
    <row r="1966" s="2" customFormat="1" x14ac:dyDescent="0.2"/>
    <row r="1967" s="2" customFormat="1" x14ac:dyDescent="0.2"/>
    <row r="1968" s="2" customFormat="1" x14ac:dyDescent="0.2"/>
    <row r="1969" s="2" customFormat="1" x14ac:dyDescent="0.2"/>
    <row r="1970" s="2" customFormat="1" x14ac:dyDescent="0.2"/>
    <row r="1971" s="2" customFormat="1" x14ac:dyDescent="0.2"/>
    <row r="1972" s="2" customFormat="1" x14ac:dyDescent="0.2"/>
    <row r="1973" s="2" customFormat="1" x14ac:dyDescent="0.2"/>
    <row r="1974" s="2" customFormat="1" x14ac:dyDescent="0.2"/>
    <row r="1975" s="2" customFormat="1" x14ac:dyDescent="0.2"/>
    <row r="1976" s="2" customFormat="1" x14ac:dyDescent="0.2"/>
    <row r="1977" s="2" customFormat="1" x14ac:dyDescent="0.2"/>
    <row r="1978" s="2" customFormat="1" x14ac:dyDescent="0.2"/>
    <row r="1979" s="2" customFormat="1" x14ac:dyDescent="0.2"/>
    <row r="1980" s="2" customFormat="1" x14ac:dyDescent="0.2"/>
    <row r="1981" s="2" customFormat="1" x14ac:dyDescent="0.2"/>
    <row r="1982" s="2" customFormat="1" x14ac:dyDescent="0.2"/>
    <row r="1983" s="2" customFormat="1" x14ac:dyDescent="0.2"/>
    <row r="1984" s="2" customFormat="1" x14ac:dyDescent="0.2"/>
    <row r="1985" s="2" customFormat="1" x14ac:dyDescent="0.2"/>
    <row r="1986" s="2" customFormat="1" x14ac:dyDescent="0.2"/>
    <row r="1987" s="2" customFormat="1" x14ac:dyDescent="0.2"/>
    <row r="1988" s="2" customFormat="1" x14ac:dyDescent="0.2"/>
    <row r="1989" s="2" customFormat="1" x14ac:dyDescent="0.2"/>
    <row r="1990" s="2" customFormat="1" x14ac:dyDescent="0.2"/>
    <row r="1991" s="2" customFormat="1" x14ac:dyDescent="0.2"/>
    <row r="1992" s="2" customFormat="1" x14ac:dyDescent="0.2"/>
    <row r="1993" s="2" customFormat="1" x14ac:dyDescent="0.2"/>
    <row r="1994" s="2" customFormat="1" x14ac:dyDescent="0.2"/>
    <row r="1995" s="2" customFormat="1" x14ac:dyDescent="0.2"/>
    <row r="1996" s="2" customFormat="1" x14ac:dyDescent="0.2"/>
    <row r="1997" s="2" customFormat="1" x14ac:dyDescent="0.2"/>
    <row r="1998" s="2" customFormat="1" x14ac:dyDescent="0.2"/>
    <row r="1999" s="2" customFormat="1" x14ac:dyDescent="0.2"/>
    <row r="2000" s="2" customFormat="1" x14ac:dyDescent="0.2"/>
    <row r="2001" s="2" customFormat="1" x14ac:dyDescent="0.2"/>
    <row r="2002" s="2" customFormat="1" x14ac:dyDescent="0.2"/>
    <row r="2003" s="2" customFormat="1" x14ac:dyDescent="0.2"/>
    <row r="2004" s="2" customFormat="1" x14ac:dyDescent="0.2"/>
    <row r="2005" s="2" customFormat="1" x14ac:dyDescent="0.2"/>
    <row r="2006" s="2" customFormat="1" x14ac:dyDescent="0.2"/>
    <row r="2007" s="2" customFormat="1" x14ac:dyDescent="0.2"/>
    <row r="2008" s="2" customFormat="1" x14ac:dyDescent="0.2"/>
    <row r="2009" s="2" customFormat="1" x14ac:dyDescent="0.2"/>
    <row r="2010" s="2" customFormat="1" x14ac:dyDescent="0.2"/>
    <row r="2011" s="2" customFormat="1" x14ac:dyDescent="0.2"/>
    <row r="2012" s="2" customFormat="1" x14ac:dyDescent="0.2"/>
    <row r="2013" s="2" customFormat="1" x14ac:dyDescent="0.2"/>
    <row r="2014" s="2" customFormat="1" x14ac:dyDescent="0.2"/>
    <row r="2015" s="2" customFormat="1" x14ac:dyDescent="0.2"/>
    <row r="2016" s="2" customFormat="1" x14ac:dyDescent="0.2"/>
    <row r="2017" s="2" customFormat="1" x14ac:dyDescent="0.2"/>
    <row r="2018" s="2" customFormat="1" x14ac:dyDescent="0.2"/>
    <row r="2019" s="2" customFormat="1" x14ac:dyDescent="0.2"/>
  </sheetData>
  <mergeCells count="2">
    <mergeCell ref="B8:J8"/>
    <mergeCell ref="B5:I5"/>
  </mergeCells>
  <phoneticPr fontId="30" type="noConversion"/>
  <dataValidations count="5">
    <dataValidation type="custom" allowBlank="1" showInputMessage="1" showErrorMessage="1" sqref="I11:I102 K11:K102" xr:uid="{786B571E-19BD-4425-A8CC-21700BEC226C}">
      <formula1>ISNUMBER(I11)</formula1>
    </dataValidation>
    <dataValidation type="whole" allowBlank="1" showInputMessage="1" showErrorMessage="1" sqref="J11:J102" xr:uid="{3915D101-C7BC-4F6E-BF2B-8EAEF4BCFF9B}">
      <formula1>1</formula1>
      <formula2>13</formula2>
    </dataValidation>
    <dataValidation type="list" allowBlank="1" showInputMessage="1" showErrorMessage="1" sqref="F11:F102" xr:uid="{00859678-5666-4180-84AB-1BE46D480954}">
      <formula1>"EHS , HS"</formula1>
    </dataValidation>
    <dataValidation type="list" allowBlank="1" showInputMessage="1" showErrorMessage="1" sqref="H11:H102" xr:uid="{20C87642-73E1-4461-9139-630D477BB563}">
      <formula1>"5 , 10"</formula1>
    </dataValidation>
    <dataValidation type="list" allowBlank="1" showInputMessage="1" showErrorMessage="1" sqref="E11:E102" xr:uid="{47DBD116-CFAD-43D9-9277-4B90FDFDA782}">
      <formula1>"Transporttaak, Systeemtaak"</formula1>
    </dataValidation>
  </dataValidations>
  <pageMargins left="0.70866141732283505" right="0.70866141732283505" top="0.74803149606299202" bottom="0.74803149606299202" header="0.31496062992126" footer="0.31496062992126"/>
  <pageSetup paperSize="9" scale="21" fitToHeight="0" orientation="portrait" r:id="rId1"/>
  <headerFooter>
    <oddFooter>&amp;LPagina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1D355-6265-49DC-AE31-0E33716FC9F0}">
  <sheetPr>
    <tabColor theme="0" tint="-4.9989318521683403E-2"/>
  </sheetPr>
  <dimension ref="B2:B3"/>
  <sheetViews>
    <sheetView showGridLines="0" zoomScale="85" zoomScaleNormal="85" workbookViewId="0"/>
  </sheetViews>
  <sheetFormatPr defaultColWidth="9.140625" defaultRowHeight="12.75" x14ac:dyDescent="0.2"/>
  <cols>
    <col min="1" max="1" width="5.7109375" style="16" customWidth="1"/>
    <col min="2" max="16384" width="9.140625" style="16"/>
  </cols>
  <sheetData>
    <row r="2" spans="2:2" x14ac:dyDescent="0.2">
      <c r="B2" s="34"/>
    </row>
    <row r="3" spans="2:2" x14ac:dyDescent="0.2">
      <c r="B3" s="34"/>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EEF8F-C2B2-454A-9738-A88A461AD1C3}">
  <sheetPr>
    <tabColor rgb="FFCCCCFF"/>
  </sheetPr>
  <dimension ref="B2:M433"/>
  <sheetViews>
    <sheetView showGridLines="0" zoomScale="85" zoomScaleNormal="85" workbookViewId="0">
      <pane ySplit="16" topLeftCell="A17" activePane="bottomLeft" state="frozen"/>
      <selection activeCell="P579" sqref="P579"/>
      <selection pane="bottomLeft"/>
    </sheetView>
  </sheetViews>
  <sheetFormatPr defaultColWidth="9.140625" defaultRowHeight="12.75" x14ac:dyDescent="0.2"/>
  <cols>
    <col min="1" max="1" width="5.7109375" style="2" customWidth="1"/>
    <col min="2" max="2" width="21.28515625" style="2" bestFit="1" customWidth="1"/>
    <col min="3" max="3" width="18.5703125" style="2" bestFit="1" customWidth="1"/>
    <col min="4" max="4" width="28.7109375" style="2" bestFit="1" customWidth="1"/>
    <col min="5" max="5" width="7.5703125" style="2" bestFit="1" customWidth="1"/>
    <col min="6" max="6" width="52.85546875" style="2" bestFit="1" customWidth="1"/>
    <col min="7" max="7" width="47.85546875" style="2" bestFit="1" customWidth="1"/>
    <col min="8" max="8" width="22.85546875" style="2" bestFit="1" customWidth="1"/>
    <col min="9" max="9" width="22.7109375" style="2" bestFit="1" customWidth="1"/>
    <col min="10" max="10" width="25" style="2" bestFit="1" customWidth="1"/>
    <col min="11" max="11" width="30.85546875" style="2" bestFit="1" customWidth="1"/>
    <col min="12" max="12" width="2.7109375" style="2" customWidth="1"/>
    <col min="13" max="15" width="20.140625" style="2" customWidth="1"/>
    <col min="16" max="16" width="2.7109375" style="2" customWidth="1"/>
    <col min="17" max="17" width="42" style="2" customWidth="1"/>
    <col min="18" max="18" width="2.5703125" style="2" customWidth="1"/>
    <col min="19" max="32" width="20.140625" style="2" customWidth="1"/>
    <col min="33" max="35" width="13.7109375" style="2" customWidth="1"/>
    <col min="36" max="16384" width="9.140625" style="2"/>
  </cols>
  <sheetData>
    <row r="2" spans="2:13" s="13" customFormat="1" ht="18" x14ac:dyDescent="0.2">
      <c r="B2" s="13" t="s">
        <v>1052</v>
      </c>
    </row>
    <row r="4" spans="2:13" x14ac:dyDescent="0.2">
      <c r="B4" s="21" t="s">
        <v>26</v>
      </c>
      <c r="C4" s="1"/>
      <c r="D4" s="1"/>
    </row>
    <row r="5" spans="2:13" ht="26.25" customHeight="1" x14ac:dyDescent="0.2">
      <c r="B5" s="163" t="s">
        <v>829</v>
      </c>
      <c r="C5" s="163"/>
      <c r="D5" s="163"/>
      <c r="E5" s="163"/>
      <c r="F5" s="163"/>
    </row>
    <row r="6" spans="2:13" ht="12.75" customHeight="1" x14ac:dyDescent="0.2">
      <c r="B6" s="87"/>
      <c r="C6" s="87"/>
      <c r="D6" s="87"/>
      <c r="E6" s="87"/>
    </row>
    <row r="7" spans="2:13" ht="12.75" customHeight="1" x14ac:dyDescent="0.2">
      <c r="B7" s="21" t="s">
        <v>227</v>
      </c>
      <c r="C7" s="87"/>
      <c r="D7" s="87"/>
      <c r="E7" s="87"/>
    </row>
    <row r="8" spans="2:13" ht="36" customHeight="1" x14ac:dyDescent="0.2">
      <c r="B8" s="163" t="s">
        <v>832</v>
      </c>
      <c r="C8" s="163"/>
      <c r="D8" s="163"/>
      <c r="E8" s="163"/>
      <c r="F8" s="163"/>
    </row>
    <row r="9" spans="2:13" ht="12.75" customHeight="1" x14ac:dyDescent="0.2">
      <c r="B9" s="87"/>
      <c r="C9" s="87"/>
      <c r="D9" s="87"/>
      <c r="E9" s="87"/>
    </row>
    <row r="10" spans="2:13" ht="12.75" customHeight="1" x14ac:dyDescent="0.2">
      <c r="B10" s="21" t="s">
        <v>345</v>
      </c>
      <c r="C10" s="87"/>
      <c r="D10" s="87"/>
      <c r="E10" s="87"/>
    </row>
    <row r="11" spans="2:13" ht="12.75" customHeight="1" x14ac:dyDescent="0.2">
      <c r="B11" s="104">
        <v>46202</v>
      </c>
      <c r="C11" s="87"/>
      <c r="D11" s="87"/>
      <c r="E11" s="87"/>
    </row>
    <row r="12" spans="2:13" ht="12.75" customHeight="1" x14ac:dyDescent="0.2">
      <c r="B12" s="87"/>
      <c r="C12" s="87"/>
      <c r="D12" s="87"/>
      <c r="E12" s="87"/>
    </row>
    <row r="13" spans="2:13" ht="12.75" customHeight="1" x14ac:dyDescent="0.2">
      <c r="B13" s="21" t="s">
        <v>346</v>
      </c>
      <c r="C13" s="87"/>
      <c r="D13" s="87"/>
      <c r="E13" s="87"/>
    </row>
    <row r="14" spans="2:13" ht="73.5" customHeight="1" x14ac:dyDescent="0.2">
      <c r="B14" s="169" t="s">
        <v>828</v>
      </c>
      <c r="C14" s="166"/>
      <c r="D14" s="166"/>
      <c r="E14" s="166"/>
      <c r="F14" s="166"/>
    </row>
    <row r="15" spans="2:13" ht="12.75" customHeight="1" x14ac:dyDescent="0.2">
      <c r="B15" s="87"/>
      <c r="C15" s="87"/>
      <c r="D15" s="87"/>
      <c r="E15" s="87"/>
    </row>
    <row r="16" spans="2:13" s="51" customFormat="1" ht="63.75" x14ac:dyDescent="0.2">
      <c r="B16" s="51" t="s">
        <v>288</v>
      </c>
      <c r="C16" s="51" t="s">
        <v>262</v>
      </c>
      <c r="D16" s="51" t="s">
        <v>954</v>
      </c>
      <c r="E16" s="51" t="s">
        <v>292</v>
      </c>
      <c r="F16" s="51" t="s">
        <v>263</v>
      </c>
      <c r="G16" s="51" t="s">
        <v>955</v>
      </c>
      <c r="H16" s="51" t="s">
        <v>956</v>
      </c>
      <c r="I16" s="51" t="s">
        <v>393</v>
      </c>
      <c r="J16" s="51" t="s">
        <v>394</v>
      </c>
      <c r="K16" s="51" t="s">
        <v>450</v>
      </c>
      <c r="M16" s="51" t="s">
        <v>44</v>
      </c>
    </row>
    <row r="17" spans="2:11" x14ac:dyDescent="0.2">
      <c r="B17" s="94">
        <v>1</v>
      </c>
      <c r="C17" s="94" t="s">
        <v>268</v>
      </c>
      <c r="D17" s="94" t="s">
        <v>85</v>
      </c>
      <c r="E17" s="94" t="s">
        <v>293</v>
      </c>
      <c r="F17" s="94" t="s">
        <v>228</v>
      </c>
      <c r="G17" s="148">
        <v>2000</v>
      </c>
      <c r="H17" s="94">
        <v>54990</v>
      </c>
      <c r="I17" s="95">
        <v>2021</v>
      </c>
      <c r="J17" s="94">
        <v>1</v>
      </c>
      <c r="K17" s="95">
        <v>2021</v>
      </c>
    </row>
    <row r="18" spans="2:11" x14ac:dyDescent="0.2">
      <c r="B18" s="94">
        <v>2</v>
      </c>
      <c r="C18" s="94" t="s">
        <v>268</v>
      </c>
      <c r="D18" s="94" t="s">
        <v>85</v>
      </c>
      <c r="E18" s="94" t="s">
        <v>293</v>
      </c>
      <c r="F18" s="94" t="s">
        <v>228</v>
      </c>
      <c r="G18" s="148">
        <v>2000</v>
      </c>
      <c r="H18" s="94">
        <v>68043</v>
      </c>
      <c r="I18" s="95">
        <v>2021</v>
      </c>
      <c r="J18" s="94">
        <v>5</v>
      </c>
      <c r="K18" s="95">
        <v>2021</v>
      </c>
    </row>
    <row r="19" spans="2:11" x14ac:dyDescent="0.2">
      <c r="B19" s="94">
        <v>3</v>
      </c>
      <c r="C19" s="94" t="s">
        <v>268</v>
      </c>
      <c r="D19" s="94" t="s">
        <v>85</v>
      </c>
      <c r="E19" s="94" t="s">
        <v>293</v>
      </c>
      <c r="F19" s="94" t="s">
        <v>228</v>
      </c>
      <c r="G19" s="148">
        <v>2000</v>
      </c>
      <c r="H19" s="94">
        <v>1781</v>
      </c>
      <c r="I19" s="95">
        <v>2021</v>
      </c>
      <c r="J19" s="94">
        <v>6</v>
      </c>
      <c r="K19" s="95">
        <v>2021</v>
      </c>
    </row>
    <row r="20" spans="2:11" x14ac:dyDescent="0.2">
      <c r="B20" s="94">
        <v>4</v>
      </c>
      <c r="C20" s="94" t="s">
        <v>268</v>
      </c>
      <c r="D20" s="94" t="s">
        <v>85</v>
      </c>
      <c r="E20" s="94" t="s">
        <v>293</v>
      </c>
      <c r="F20" s="94" t="s">
        <v>228</v>
      </c>
      <c r="G20" s="148">
        <v>2000</v>
      </c>
      <c r="H20" s="94">
        <v>205399</v>
      </c>
      <c r="I20" s="95">
        <v>2021</v>
      </c>
      <c r="J20" s="94">
        <v>7</v>
      </c>
      <c r="K20" s="95">
        <v>2021</v>
      </c>
    </row>
    <row r="21" spans="2:11" x14ac:dyDescent="0.2">
      <c r="B21" s="94">
        <v>5</v>
      </c>
      <c r="C21" s="94" t="s">
        <v>268</v>
      </c>
      <c r="D21" s="94" t="s">
        <v>85</v>
      </c>
      <c r="E21" s="94" t="s">
        <v>293</v>
      </c>
      <c r="F21" s="94" t="s">
        <v>228</v>
      </c>
      <c r="G21" s="148">
        <v>2000</v>
      </c>
      <c r="H21" s="94">
        <v>147410</v>
      </c>
      <c r="I21" s="95">
        <v>2021</v>
      </c>
      <c r="J21" s="94">
        <v>10</v>
      </c>
      <c r="K21" s="95">
        <v>2021</v>
      </c>
    </row>
    <row r="22" spans="2:11" x14ac:dyDescent="0.2">
      <c r="B22" s="94">
        <v>6</v>
      </c>
      <c r="C22" s="94" t="s">
        <v>268</v>
      </c>
      <c r="D22" s="94" t="s">
        <v>85</v>
      </c>
      <c r="E22" s="94" t="s">
        <v>293</v>
      </c>
      <c r="F22" s="94" t="s">
        <v>228</v>
      </c>
      <c r="G22" s="148">
        <v>2000</v>
      </c>
      <c r="H22" s="94">
        <v>5854</v>
      </c>
      <c r="I22" s="95">
        <v>2021</v>
      </c>
      <c r="J22" s="94">
        <v>11</v>
      </c>
      <c r="K22" s="95">
        <v>2021</v>
      </c>
    </row>
    <row r="23" spans="2:11" x14ac:dyDescent="0.2">
      <c r="B23" s="94">
        <v>7</v>
      </c>
      <c r="C23" s="94" t="s">
        <v>268</v>
      </c>
      <c r="D23" s="94" t="s">
        <v>85</v>
      </c>
      <c r="E23" s="94" t="s">
        <v>293</v>
      </c>
      <c r="F23" s="94" t="s">
        <v>228</v>
      </c>
      <c r="G23" s="148">
        <v>2000</v>
      </c>
      <c r="H23" s="94">
        <v>27637</v>
      </c>
      <c r="I23" s="95">
        <v>2021</v>
      </c>
      <c r="J23" s="94">
        <v>12</v>
      </c>
      <c r="K23" s="95">
        <v>2021</v>
      </c>
    </row>
    <row r="24" spans="2:11" x14ac:dyDescent="0.2">
      <c r="B24" s="94">
        <v>8</v>
      </c>
      <c r="C24" s="94" t="s">
        <v>268</v>
      </c>
      <c r="D24" s="94" t="s">
        <v>86</v>
      </c>
      <c r="E24" s="94" t="s">
        <v>293</v>
      </c>
      <c r="F24" s="94" t="s">
        <v>229</v>
      </c>
      <c r="G24" s="148">
        <v>2008</v>
      </c>
      <c r="H24" s="94">
        <v>857116</v>
      </c>
      <c r="I24" s="95">
        <v>2021</v>
      </c>
      <c r="J24" s="94">
        <v>6</v>
      </c>
      <c r="K24" s="95">
        <v>2021</v>
      </c>
    </row>
    <row r="25" spans="2:11" x14ac:dyDescent="0.2">
      <c r="B25" s="94">
        <v>9</v>
      </c>
      <c r="C25" s="94" t="s">
        <v>268</v>
      </c>
      <c r="D25" s="94" t="s">
        <v>86</v>
      </c>
      <c r="E25" s="94" t="s">
        <v>293</v>
      </c>
      <c r="F25" s="94" t="s">
        <v>229</v>
      </c>
      <c r="G25" s="148">
        <v>2008</v>
      </c>
      <c r="H25" s="94">
        <v>12498</v>
      </c>
      <c r="I25" s="95">
        <v>2021</v>
      </c>
      <c r="J25" s="94">
        <v>7</v>
      </c>
      <c r="K25" s="95">
        <v>2021</v>
      </c>
    </row>
    <row r="26" spans="2:11" x14ac:dyDescent="0.2">
      <c r="B26" s="94">
        <v>10</v>
      </c>
      <c r="C26" s="94" t="s">
        <v>268</v>
      </c>
      <c r="D26" s="94" t="s">
        <v>86</v>
      </c>
      <c r="E26" s="94" t="s">
        <v>293</v>
      </c>
      <c r="F26" s="94" t="s">
        <v>229</v>
      </c>
      <c r="G26" s="148">
        <v>2008</v>
      </c>
      <c r="H26" s="94">
        <v>98253</v>
      </c>
      <c r="I26" s="95">
        <v>2021</v>
      </c>
      <c r="J26" s="94">
        <v>10</v>
      </c>
      <c r="K26" s="95">
        <v>2021</v>
      </c>
    </row>
    <row r="27" spans="2:11" x14ac:dyDescent="0.2">
      <c r="B27" s="94">
        <v>11</v>
      </c>
      <c r="C27" s="94" t="s">
        <v>268</v>
      </c>
      <c r="D27" s="94" t="s">
        <v>86</v>
      </c>
      <c r="E27" s="94" t="s">
        <v>293</v>
      </c>
      <c r="F27" s="94" t="s">
        <v>231</v>
      </c>
      <c r="G27" s="148">
        <v>2008</v>
      </c>
      <c r="H27" s="94">
        <v>305457</v>
      </c>
      <c r="I27" s="95">
        <v>2021</v>
      </c>
      <c r="J27" s="94">
        <v>1</v>
      </c>
      <c r="K27" s="95">
        <v>2021</v>
      </c>
    </row>
    <row r="28" spans="2:11" x14ac:dyDescent="0.2">
      <c r="B28" s="94">
        <v>12</v>
      </c>
      <c r="C28" s="94" t="s">
        <v>268</v>
      </c>
      <c r="D28" s="94" t="s">
        <v>86</v>
      </c>
      <c r="E28" s="94" t="s">
        <v>293</v>
      </c>
      <c r="F28" s="94" t="s">
        <v>231</v>
      </c>
      <c r="G28" s="148">
        <v>2008</v>
      </c>
      <c r="H28" s="94">
        <v>7561</v>
      </c>
      <c r="I28" s="95">
        <v>2021</v>
      </c>
      <c r="J28" s="94">
        <v>2</v>
      </c>
      <c r="K28" s="95">
        <v>2021</v>
      </c>
    </row>
    <row r="29" spans="2:11" x14ac:dyDescent="0.2">
      <c r="B29" s="94">
        <v>13</v>
      </c>
      <c r="C29" s="94" t="s">
        <v>268</v>
      </c>
      <c r="D29" s="94" t="s">
        <v>86</v>
      </c>
      <c r="E29" s="94" t="s">
        <v>293</v>
      </c>
      <c r="F29" s="94" t="s">
        <v>231</v>
      </c>
      <c r="G29" s="148">
        <v>2008</v>
      </c>
      <c r="H29" s="94">
        <v>16842</v>
      </c>
      <c r="I29" s="95">
        <v>2021</v>
      </c>
      <c r="J29" s="94">
        <v>3</v>
      </c>
      <c r="K29" s="95">
        <v>2021</v>
      </c>
    </row>
    <row r="30" spans="2:11" x14ac:dyDescent="0.2">
      <c r="B30" s="94">
        <v>14</v>
      </c>
      <c r="C30" s="94" t="s">
        <v>268</v>
      </c>
      <c r="D30" s="94" t="s">
        <v>86</v>
      </c>
      <c r="E30" s="94" t="s">
        <v>293</v>
      </c>
      <c r="F30" s="94" t="s">
        <v>231</v>
      </c>
      <c r="G30" s="148">
        <v>2008</v>
      </c>
      <c r="H30" s="94">
        <v>386159</v>
      </c>
      <c r="I30" s="95">
        <v>2021</v>
      </c>
      <c r="J30" s="94">
        <v>4</v>
      </c>
      <c r="K30" s="95">
        <v>2021</v>
      </c>
    </row>
    <row r="31" spans="2:11" x14ac:dyDescent="0.2">
      <c r="B31" s="94">
        <v>15</v>
      </c>
      <c r="C31" s="94" t="s">
        <v>268</v>
      </c>
      <c r="D31" s="94" t="s">
        <v>86</v>
      </c>
      <c r="E31" s="94" t="s">
        <v>293</v>
      </c>
      <c r="F31" s="94" t="s">
        <v>231</v>
      </c>
      <c r="G31" s="148">
        <v>2008</v>
      </c>
      <c r="H31" s="94">
        <v>107656</v>
      </c>
      <c r="I31" s="95">
        <v>2021</v>
      </c>
      <c r="J31" s="94">
        <v>5</v>
      </c>
      <c r="K31" s="95">
        <v>2021</v>
      </c>
    </row>
    <row r="32" spans="2:11" x14ac:dyDescent="0.2">
      <c r="B32" s="94">
        <v>16</v>
      </c>
      <c r="C32" s="94" t="s">
        <v>268</v>
      </c>
      <c r="D32" s="94" t="s">
        <v>86</v>
      </c>
      <c r="E32" s="94" t="s">
        <v>293</v>
      </c>
      <c r="F32" s="94" t="s">
        <v>231</v>
      </c>
      <c r="G32" s="148">
        <v>2008</v>
      </c>
      <c r="H32" s="94">
        <v>2346</v>
      </c>
      <c r="I32" s="95">
        <v>2021</v>
      </c>
      <c r="J32" s="94">
        <v>6</v>
      </c>
      <c r="K32" s="95">
        <v>2021</v>
      </c>
    </row>
    <row r="33" spans="2:11" x14ac:dyDescent="0.2">
      <c r="B33" s="94">
        <v>17</v>
      </c>
      <c r="C33" s="94" t="s">
        <v>268</v>
      </c>
      <c r="D33" s="94" t="s">
        <v>86</v>
      </c>
      <c r="E33" s="94" t="s">
        <v>293</v>
      </c>
      <c r="F33" s="94" t="s">
        <v>231</v>
      </c>
      <c r="G33" s="148">
        <v>2008</v>
      </c>
      <c r="H33" s="94">
        <v>14384</v>
      </c>
      <c r="I33" s="95">
        <v>2021</v>
      </c>
      <c r="J33" s="94">
        <v>7</v>
      </c>
      <c r="K33" s="95">
        <v>2021</v>
      </c>
    </row>
    <row r="34" spans="2:11" x14ac:dyDescent="0.2">
      <c r="B34" s="94">
        <v>18</v>
      </c>
      <c r="C34" s="94" t="s">
        <v>268</v>
      </c>
      <c r="D34" s="94" t="s">
        <v>86</v>
      </c>
      <c r="E34" s="94" t="s">
        <v>293</v>
      </c>
      <c r="F34" s="94" t="s">
        <v>231</v>
      </c>
      <c r="G34" s="148">
        <v>2008</v>
      </c>
      <c r="H34" s="94">
        <v>19197</v>
      </c>
      <c r="I34" s="95">
        <v>2021</v>
      </c>
      <c r="J34" s="94">
        <v>8</v>
      </c>
      <c r="K34" s="95">
        <v>2021</v>
      </c>
    </row>
    <row r="35" spans="2:11" x14ac:dyDescent="0.2">
      <c r="B35" s="94">
        <v>19</v>
      </c>
      <c r="C35" s="94" t="s">
        <v>268</v>
      </c>
      <c r="D35" s="94" t="s">
        <v>86</v>
      </c>
      <c r="E35" s="94" t="s">
        <v>293</v>
      </c>
      <c r="F35" s="94" t="s">
        <v>231</v>
      </c>
      <c r="G35" s="148">
        <v>2008</v>
      </c>
      <c r="H35" s="94">
        <v>28252</v>
      </c>
      <c r="I35" s="95">
        <v>2021</v>
      </c>
      <c r="J35" s="94">
        <v>9</v>
      </c>
      <c r="K35" s="95">
        <v>2021</v>
      </c>
    </row>
    <row r="36" spans="2:11" x14ac:dyDescent="0.2">
      <c r="B36" s="94">
        <v>20</v>
      </c>
      <c r="C36" s="94" t="s">
        <v>268</v>
      </c>
      <c r="D36" s="94" t="s">
        <v>86</v>
      </c>
      <c r="E36" s="94" t="s">
        <v>293</v>
      </c>
      <c r="F36" s="94" t="s">
        <v>231</v>
      </c>
      <c r="G36" s="148">
        <v>2008</v>
      </c>
      <c r="H36" s="94">
        <v>55181</v>
      </c>
      <c r="I36" s="95">
        <v>2021</v>
      </c>
      <c r="J36" s="94">
        <v>10</v>
      </c>
      <c r="K36" s="95">
        <v>2021</v>
      </c>
    </row>
    <row r="37" spans="2:11" x14ac:dyDescent="0.2">
      <c r="B37" s="94">
        <v>21</v>
      </c>
      <c r="C37" s="94" t="s">
        <v>268</v>
      </c>
      <c r="D37" s="94" t="s">
        <v>86</v>
      </c>
      <c r="E37" s="94" t="s">
        <v>293</v>
      </c>
      <c r="F37" s="94" t="s">
        <v>231</v>
      </c>
      <c r="G37" s="148">
        <v>2008</v>
      </c>
      <c r="H37" s="94">
        <v>384034</v>
      </c>
      <c r="I37" s="95">
        <v>2021</v>
      </c>
      <c r="J37" s="94">
        <v>11</v>
      </c>
      <c r="K37" s="95">
        <v>2021</v>
      </c>
    </row>
    <row r="38" spans="2:11" x14ac:dyDescent="0.2">
      <c r="B38" s="94">
        <v>22</v>
      </c>
      <c r="C38" s="94" t="s">
        <v>268</v>
      </c>
      <c r="D38" s="94" t="s">
        <v>86</v>
      </c>
      <c r="E38" s="94" t="s">
        <v>293</v>
      </c>
      <c r="F38" s="94" t="s">
        <v>231</v>
      </c>
      <c r="G38" s="148">
        <v>2008</v>
      </c>
      <c r="H38" s="94">
        <v>9542</v>
      </c>
      <c r="I38" s="95">
        <v>2021</v>
      </c>
      <c r="J38" s="94">
        <v>12</v>
      </c>
      <c r="K38" s="95">
        <v>2021</v>
      </c>
    </row>
    <row r="39" spans="2:11" x14ac:dyDescent="0.2">
      <c r="B39" s="94">
        <v>23</v>
      </c>
      <c r="C39" s="94" t="s">
        <v>268</v>
      </c>
      <c r="D39" s="94" t="s">
        <v>86</v>
      </c>
      <c r="E39" s="94" t="s">
        <v>293</v>
      </c>
      <c r="F39" s="94" t="s">
        <v>230</v>
      </c>
      <c r="G39" s="148">
        <v>2008</v>
      </c>
      <c r="H39" s="94">
        <v>41888</v>
      </c>
      <c r="I39" s="95">
        <v>2021</v>
      </c>
      <c r="J39" s="94">
        <v>1</v>
      </c>
      <c r="K39" s="95">
        <v>2021</v>
      </c>
    </row>
    <row r="40" spans="2:11" x14ac:dyDescent="0.2">
      <c r="B40" s="94">
        <v>24</v>
      </c>
      <c r="C40" s="94" t="s">
        <v>268</v>
      </c>
      <c r="D40" s="94" t="s">
        <v>86</v>
      </c>
      <c r="E40" s="94" t="s">
        <v>293</v>
      </c>
      <c r="F40" s="94" t="s">
        <v>230</v>
      </c>
      <c r="G40" s="148">
        <v>2008</v>
      </c>
      <c r="H40" s="94">
        <v>451</v>
      </c>
      <c r="I40" s="95">
        <v>2021</v>
      </c>
      <c r="J40" s="94">
        <v>3</v>
      </c>
      <c r="K40" s="95">
        <v>2021</v>
      </c>
    </row>
    <row r="41" spans="2:11" x14ac:dyDescent="0.2">
      <c r="B41" s="94">
        <v>25</v>
      </c>
      <c r="C41" s="94" t="s">
        <v>268</v>
      </c>
      <c r="D41" s="94" t="s">
        <v>86</v>
      </c>
      <c r="E41" s="94" t="s">
        <v>293</v>
      </c>
      <c r="F41" s="94" t="s">
        <v>230</v>
      </c>
      <c r="G41" s="148">
        <v>2008</v>
      </c>
      <c r="H41" s="94">
        <v>32157</v>
      </c>
      <c r="I41" s="95">
        <v>2021</v>
      </c>
      <c r="J41" s="94">
        <v>4</v>
      </c>
      <c r="K41" s="95">
        <v>2021</v>
      </c>
    </row>
    <row r="42" spans="2:11" x14ac:dyDescent="0.2">
      <c r="B42" s="94">
        <v>26</v>
      </c>
      <c r="C42" s="94" t="s">
        <v>268</v>
      </c>
      <c r="D42" s="94" t="s">
        <v>86</v>
      </c>
      <c r="E42" s="94" t="s">
        <v>293</v>
      </c>
      <c r="F42" s="94" t="s">
        <v>230</v>
      </c>
      <c r="G42" s="148">
        <v>2008</v>
      </c>
      <c r="H42" s="94">
        <v>719562</v>
      </c>
      <c r="I42" s="95">
        <v>2021</v>
      </c>
      <c r="J42" s="94">
        <v>5</v>
      </c>
      <c r="K42" s="95">
        <v>2021</v>
      </c>
    </row>
    <row r="43" spans="2:11" x14ac:dyDescent="0.2">
      <c r="B43" s="94">
        <v>27</v>
      </c>
      <c r="C43" s="94" t="s">
        <v>268</v>
      </c>
      <c r="D43" s="94" t="s">
        <v>86</v>
      </c>
      <c r="E43" s="94" t="s">
        <v>293</v>
      </c>
      <c r="F43" s="94" t="s">
        <v>230</v>
      </c>
      <c r="G43" s="148">
        <v>2008</v>
      </c>
      <c r="H43" s="94">
        <v>3167</v>
      </c>
      <c r="I43" s="95">
        <v>2021</v>
      </c>
      <c r="J43" s="94">
        <v>7</v>
      </c>
      <c r="K43" s="95">
        <v>2021</v>
      </c>
    </row>
    <row r="44" spans="2:11" x14ac:dyDescent="0.2">
      <c r="B44" s="94">
        <v>28</v>
      </c>
      <c r="C44" s="94" t="s">
        <v>268</v>
      </c>
      <c r="D44" s="94" t="s">
        <v>86</v>
      </c>
      <c r="E44" s="94" t="s">
        <v>293</v>
      </c>
      <c r="F44" s="94" t="s">
        <v>230</v>
      </c>
      <c r="G44" s="148">
        <v>2008</v>
      </c>
      <c r="H44" s="94">
        <v>400947</v>
      </c>
      <c r="I44" s="95">
        <v>2021</v>
      </c>
      <c r="J44" s="94">
        <v>8</v>
      </c>
      <c r="K44" s="95">
        <v>2021</v>
      </c>
    </row>
    <row r="45" spans="2:11" x14ac:dyDescent="0.2">
      <c r="B45" s="94">
        <v>29</v>
      </c>
      <c r="C45" s="94" t="s">
        <v>268</v>
      </c>
      <c r="D45" s="94" t="s">
        <v>86</v>
      </c>
      <c r="E45" s="94" t="s">
        <v>293</v>
      </c>
      <c r="F45" s="94" t="s">
        <v>230</v>
      </c>
      <c r="G45" s="148">
        <v>2008</v>
      </c>
      <c r="H45" s="94">
        <v>18451</v>
      </c>
      <c r="I45" s="95">
        <v>2021</v>
      </c>
      <c r="J45" s="94">
        <v>9</v>
      </c>
      <c r="K45" s="95">
        <v>2021</v>
      </c>
    </row>
    <row r="46" spans="2:11" x14ac:dyDescent="0.2">
      <c r="B46" s="94">
        <v>30</v>
      </c>
      <c r="C46" s="94" t="s">
        <v>268</v>
      </c>
      <c r="D46" s="94" t="s">
        <v>86</v>
      </c>
      <c r="E46" s="94" t="s">
        <v>293</v>
      </c>
      <c r="F46" s="94" t="s">
        <v>230</v>
      </c>
      <c r="G46" s="148">
        <v>2008</v>
      </c>
      <c r="H46" s="94">
        <v>199352</v>
      </c>
      <c r="I46" s="95">
        <v>2021</v>
      </c>
      <c r="J46" s="94">
        <v>10</v>
      </c>
      <c r="K46" s="95">
        <v>2021</v>
      </c>
    </row>
    <row r="47" spans="2:11" x14ac:dyDescent="0.2">
      <c r="B47" s="94">
        <v>31</v>
      </c>
      <c r="C47" s="94" t="s">
        <v>268</v>
      </c>
      <c r="D47" s="94" t="s">
        <v>86</v>
      </c>
      <c r="E47" s="94" t="s">
        <v>293</v>
      </c>
      <c r="F47" s="94" t="s">
        <v>230</v>
      </c>
      <c r="G47" s="148">
        <v>2008</v>
      </c>
      <c r="H47" s="94">
        <v>34832</v>
      </c>
      <c r="I47" s="95">
        <v>2021</v>
      </c>
      <c r="J47" s="94">
        <v>11</v>
      </c>
      <c r="K47" s="95">
        <v>2021</v>
      </c>
    </row>
    <row r="48" spans="2:11" x14ac:dyDescent="0.2">
      <c r="B48" s="94">
        <v>32</v>
      </c>
      <c r="C48" s="94" t="s">
        <v>268</v>
      </c>
      <c r="D48" s="94" t="s">
        <v>86</v>
      </c>
      <c r="E48" s="94" t="s">
        <v>293</v>
      </c>
      <c r="F48" s="94" t="s">
        <v>230</v>
      </c>
      <c r="G48" s="148">
        <v>2008</v>
      </c>
      <c r="H48" s="94">
        <v>88222</v>
      </c>
      <c r="I48" s="95">
        <v>2021</v>
      </c>
      <c r="J48" s="94">
        <v>12</v>
      </c>
      <c r="K48" s="95">
        <v>2021</v>
      </c>
    </row>
    <row r="49" spans="2:11" x14ac:dyDescent="0.2">
      <c r="B49" s="94">
        <v>33</v>
      </c>
      <c r="C49" s="94" t="s">
        <v>268</v>
      </c>
      <c r="D49" s="94" t="s">
        <v>86</v>
      </c>
      <c r="E49" s="94" t="s">
        <v>293</v>
      </c>
      <c r="F49" s="94" t="s">
        <v>233</v>
      </c>
      <c r="G49" s="148">
        <v>2015</v>
      </c>
      <c r="H49" s="94">
        <v>30382</v>
      </c>
      <c r="I49" s="95">
        <v>2021</v>
      </c>
      <c r="J49" s="94">
        <v>5</v>
      </c>
      <c r="K49" s="95">
        <v>2021</v>
      </c>
    </row>
    <row r="50" spans="2:11" x14ac:dyDescent="0.2">
      <c r="B50" s="94">
        <v>34</v>
      </c>
      <c r="C50" s="94" t="s">
        <v>268</v>
      </c>
      <c r="D50" s="94" t="s">
        <v>86</v>
      </c>
      <c r="E50" s="94" t="s">
        <v>293</v>
      </c>
      <c r="F50" s="94" t="s">
        <v>233</v>
      </c>
      <c r="G50" s="148">
        <v>2015</v>
      </c>
      <c r="H50" s="94">
        <v>14530</v>
      </c>
      <c r="I50" s="95">
        <v>2021</v>
      </c>
      <c r="J50" s="94">
        <v>8</v>
      </c>
      <c r="K50" s="95">
        <v>2021</v>
      </c>
    </row>
    <row r="51" spans="2:11" x14ac:dyDescent="0.2">
      <c r="B51" s="94">
        <v>35</v>
      </c>
      <c r="C51" s="94" t="s">
        <v>268</v>
      </c>
      <c r="D51" s="94" t="s">
        <v>86</v>
      </c>
      <c r="E51" s="94" t="s">
        <v>293</v>
      </c>
      <c r="F51" s="94" t="s">
        <v>233</v>
      </c>
      <c r="G51" s="148">
        <v>2015</v>
      </c>
      <c r="H51" s="94">
        <v>65861</v>
      </c>
      <c r="I51" s="95">
        <v>2021</v>
      </c>
      <c r="J51" s="94">
        <v>9</v>
      </c>
      <c r="K51" s="95">
        <v>2021</v>
      </c>
    </row>
    <row r="52" spans="2:11" x14ac:dyDescent="0.2">
      <c r="B52" s="94">
        <v>36</v>
      </c>
      <c r="C52" s="94" t="s">
        <v>268</v>
      </c>
      <c r="D52" s="94" t="s">
        <v>86</v>
      </c>
      <c r="E52" s="94" t="s">
        <v>293</v>
      </c>
      <c r="F52" s="94" t="s">
        <v>234</v>
      </c>
      <c r="G52" s="148">
        <v>2015</v>
      </c>
      <c r="H52" s="94">
        <v>18085</v>
      </c>
      <c r="I52" s="95">
        <v>2021</v>
      </c>
      <c r="J52" s="94">
        <v>11</v>
      </c>
      <c r="K52" s="95">
        <v>2021</v>
      </c>
    </row>
    <row r="53" spans="2:11" x14ac:dyDescent="0.2">
      <c r="B53" s="94">
        <v>37</v>
      </c>
      <c r="C53" s="94" t="s">
        <v>268</v>
      </c>
      <c r="D53" s="94" t="s">
        <v>86</v>
      </c>
      <c r="E53" s="94" t="s">
        <v>293</v>
      </c>
      <c r="F53" s="94" t="s">
        <v>232</v>
      </c>
      <c r="G53" s="148">
        <v>2008</v>
      </c>
      <c r="H53" s="94">
        <v>95204</v>
      </c>
      <c r="I53" s="95">
        <v>2021</v>
      </c>
      <c r="J53" s="94">
        <v>1</v>
      </c>
      <c r="K53" s="95">
        <v>2021</v>
      </c>
    </row>
    <row r="54" spans="2:11" x14ac:dyDescent="0.2">
      <c r="B54" s="94">
        <v>38</v>
      </c>
      <c r="C54" s="94" t="s">
        <v>268</v>
      </c>
      <c r="D54" s="94" t="s">
        <v>86</v>
      </c>
      <c r="E54" s="94" t="s">
        <v>293</v>
      </c>
      <c r="F54" s="94" t="s">
        <v>232</v>
      </c>
      <c r="G54" s="148">
        <v>2008</v>
      </c>
      <c r="H54" s="94">
        <v>8192536</v>
      </c>
      <c r="I54" s="95">
        <v>2021</v>
      </c>
      <c r="J54" s="94">
        <v>7</v>
      </c>
      <c r="K54" s="95">
        <v>2021</v>
      </c>
    </row>
    <row r="55" spans="2:11" x14ac:dyDescent="0.2">
      <c r="B55" s="94">
        <v>39</v>
      </c>
      <c r="C55" s="94" t="s">
        <v>268</v>
      </c>
      <c r="D55" s="94" t="s">
        <v>86</v>
      </c>
      <c r="E55" s="94" t="s">
        <v>293</v>
      </c>
      <c r="F55" s="94" t="s">
        <v>232</v>
      </c>
      <c r="G55" s="148">
        <v>2008</v>
      </c>
      <c r="H55" s="94">
        <v>24050</v>
      </c>
      <c r="I55" s="95">
        <v>2021</v>
      </c>
      <c r="J55" s="94">
        <v>10</v>
      </c>
      <c r="K55" s="95">
        <v>2021</v>
      </c>
    </row>
    <row r="56" spans="2:11" x14ac:dyDescent="0.2">
      <c r="B56" s="94">
        <v>40</v>
      </c>
      <c r="C56" s="94" t="s">
        <v>268</v>
      </c>
      <c r="D56" s="94" t="s">
        <v>86</v>
      </c>
      <c r="E56" s="94" t="s">
        <v>293</v>
      </c>
      <c r="F56" s="94" t="s">
        <v>232</v>
      </c>
      <c r="G56" s="148">
        <v>2008</v>
      </c>
      <c r="H56" s="94">
        <v>464847</v>
      </c>
      <c r="I56" s="95">
        <v>2021</v>
      </c>
      <c r="J56" s="94">
        <v>12</v>
      </c>
      <c r="K56" s="95">
        <v>2021</v>
      </c>
    </row>
    <row r="57" spans="2:11" x14ac:dyDescent="0.2">
      <c r="B57" s="94">
        <v>41</v>
      </c>
      <c r="C57" s="94" t="s">
        <v>267</v>
      </c>
      <c r="D57" s="94" t="s">
        <v>85</v>
      </c>
      <c r="E57" s="94" t="s">
        <v>293</v>
      </c>
      <c r="F57" s="94" t="s">
        <v>249</v>
      </c>
      <c r="G57" s="95">
        <v>2003</v>
      </c>
      <c r="H57" s="94">
        <v>18715</v>
      </c>
      <c r="I57" s="95">
        <v>2021</v>
      </c>
      <c r="J57" s="94">
        <v>2</v>
      </c>
      <c r="K57" s="95">
        <v>2021</v>
      </c>
    </row>
    <row r="58" spans="2:11" x14ac:dyDescent="0.2">
      <c r="B58" s="94">
        <v>42</v>
      </c>
      <c r="C58" s="94" t="s">
        <v>267</v>
      </c>
      <c r="D58" s="94" t="s">
        <v>85</v>
      </c>
      <c r="E58" s="94" t="s">
        <v>293</v>
      </c>
      <c r="F58" s="94" t="s">
        <v>249</v>
      </c>
      <c r="G58" s="95">
        <v>2003</v>
      </c>
      <c r="H58" s="94">
        <v>10903</v>
      </c>
      <c r="I58" s="95">
        <v>2021</v>
      </c>
      <c r="J58" s="94">
        <v>2</v>
      </c>
      <c r="K58" s="95">
        <v>2021</v>
      </c>
    </row>
    <row r="59" spans="2:11" x14ac:dyDescent="0.2">
      <c r="B59" s="94">
        <v>43</v>
      </c>
      <c r="C59" s="94" t="s">
        <v>267</v>
      </c>
      <c r="D59" s="94" t="s">
        <v>85</v>
      </c>
      <c r="E59" s="94" t="s">
        <v>293</v>
      </c>
      <c r="F59" s="94" t="s">
        <v>249</v>
      </c>
      <c r="G59" s="95">
        <v>2003</v>
      </c>
      <c r="H59" s="94">
        <v>47811</v>
      </c>
      <c r="I59" s="95">
        <v>2021</v>
      </c>
      <c r="J59" s="94">
        <v>2</v>
      </c>
      <c r="K59" s="95">
        <v>2021</v>
      </c>
    </row>
    <row r="60" spans="2:11" x14ac:dyDescent="0.2">
      <c r="B60" s="94">
        <v>44</v>
      </c>
      <c r="C60" s="94" t="s">
        <v>267</v>
      </c>
      <c r="D60" s="94" t="s">
        <v>85</v>
      </c>
      <c r="E60" s="94" t="s">
        <v>293</v>
      </c>
      <c r="F60" s="94" t="s">
        <v>249</v>
      </c>
      <c r="G60" s="95">
        <v>2004</v>
      </c>
      <c r="H60" s="94">
        <v>13652</v>
      </c>
      <c r="I60" s="95">
        <v>2021</v>
      </c>
      <c r="J60" s="94">
        <v>2</v>
      </c>
      <c r="K60" s="95">
        <v>2021</v>
      </c>
    </row>
    <row r="61" spans="2:11" x14ac:dyDescent="0.2">
      <c r="B61" s="94">
        <v>45</v>
      </c>
      <c r="C61" s="94" t="s">
        <v>267</v>
      </c>
      <c r="D61" s="94" t="s">
        <v>85</v>
      </c>
      <c r="E61" s="94" t="s">
        <v>293</v>
      </c>
      <c r="F61" s="94" t="s">
        <v>249</v>
      </c>
      <c r="G61" s="95">
        <v>2005</v>
      </c>
      <c r="H61" s="94">
        <v>39553</v>
      </c>
      <c r="I61" s="95">
        <v>2021</v>
      </c>
      <c r="J61" s="94">
        <v>2</v>
      </c>
      <c r="K61" s="95">
        <v>2021</v>
      </c>
    </row>
    <row r="62" spans="2:11" x14ac:dyDescent="0.2">
      <c r="B62" s="94">
        <v>46</v>
      </c>
      <c r="C62" s="94" t="s">
        <v>267</v>
      </c>
      <c r="D62" s="94" t="s">
        <v>85</v>
      </c>
      <c r="E62" s="94" t="s">
        <v>293</v>
      </c>
      <c r="F62" s="94" t="s">
        <v>249</v>
      </c>
      <c r="G62" s="95">
        <v>2005</v>
      </c>
      <c r="H62" s="94">
        <v>35984</v>
      </c>
      <c r="I62" s="95">
        <v>2021</v>
      </c>
      <c r="J62" s="94">
        <v>2</v>
      </c>
      <c r="K62" s="95">
        <v>2021</v>
      </c>
    </row>
    <row r="63" spans="2:11" x14ac:dyDescent="0.2">
      <c r="B63" s="94">
        <v>47</v>
      </c>
      <c r="C63" s="94" t="s">
        <v>267</v>
      </c>
      <c r="D63" s="94" t="s">
        <v>85</v>
      </c>
      <c r="E63" s="94" t="s">
        <v>293</v>
      </c>
      <c r="F63" s="94" t="s">
        <v>249</v>
      </c>
      <c r="G63" s="95">
        <v>2006</v>
      </c>
      <c r="H63" s="94">
        <v>35263</v>
      </c>
      <c r="I63" s="95">
        <v>2021</v>
      </c>
      <c r="J63" s="94">
        <v>2</v>
      </c>
      <c r="K63" s="95">
        <v>2021</v>
      </c>
    </row>
    <row r="64" spans="2:11" x14ac:dyDescent="0.2">
      <c r="B64" s="94">
        <v>48</v>
      </c>
      <c r="C64" s="94" t="s">
        <v>267</v>
      </c>
      <c r="D64" s="94" t="s">
        <v>85</v>
      </c>
      <c r="E64" s="94" t="s">
        <v>293</v>
      </c>
      <c r="F64" s="94" t="s">
        <v>249</v>
      </c>
      <c r="G64" s="95">
        <v>2006</v>
      </c>
      <c r="H64" s="94">
        <v>12901</v>
      </c>
      <c r="I64" s="95">
        <v>2021</v>
      </c>
      <c r="J64" s="94">
        <v>2</v>
      </c>
      <c r="K64" s="95">
        <v>2021</v>
      </c>
    </row>
    <row r="65" spans="2:11" x14ac:dyDescent="0.2">
      <c r="B65" s="94">
        <v>49</v>
      </c>
      <c r="C65" s="94" t="s">
        <v>267</v>
      </c>
      <c r="D65" s="94" t="s">
        <v>85</v>
      </c>
      <c r="E65" s="94" t="s">
        <v>293</v>
      </c>
      <c r="F65" s="94" t="s">
        <v>249</v>
      </c>
      <c r="G65" s="95">
        <v>2007</v>
      </c>
      <c r="H65" s="94">
        <v>54983</v>
      </c>
      <c r="I65" s="95">
        <v>2021</v>
      </c>
      <c r="J65" s="94">
        <v>2</v>
      </c>
      <c r="K65" s="95">
        <v>2021</v>
      </c>
    </row>
    <row r="66" spans="2:11" x14ac:dyDescent="0.2">
      <c r="B66" s="94">
        <v>50</v>
      </c>
      <c r="C66" s="94" t="s">
        <v>267</v>
      </c>
      <c r="D66" s="94" t="s">
        <v>85</v>
      </c>
      <c r="E66" s="94" t="s">
        <v>293</v>
      </c>
      <c r="F66" s="94" t="s">
        <v>249</v>
      </c>
      <c r="G66" s="95">
        <v>2007</v>
      </c>
      <c r="H66" s="94">
        <v>7946</v>
      </c>
      <c r="I66" s="95">
        <v>2021</v>
      </c>
      <c r="J66" s="94">
        <v>2</v>
      </c>
      <c r="K66" s="95">
        <v>2021</v>
      </c>
    </row>
    <row r="67" spans="2:11" x14ac:dyDescent="0.2">
      <c r="B67" s="94">
        <v>51</v>
      </c>
      <c r="C67" s="94" t="s">
        <v>267</v>
      </c>
      <c r="D67" s="94" t="s">
        <v>85</v>
      </c>
      <c r="E67" s="94" t="s">
        <v>293</v>
      </c>
      <c r="F67" s="94" t="s">
        <v>249</v>
      </c>
      <c r="G67" s="95">
        <v>2008</v>
      </c>
      <c r="H67" s="94">
        <v>62214</v>
      </c>
      <c r="I67" s="95">
        <v>2021</v>
      </c>
      <c r="J67" s="94">
        <v>2</v>
      </c>
      <c r="K67" s="95">
        <v>2021</v>
      </c>
    </row>
    <row r="68" spans="2:11" x14ac:dyDescent="0.2">
      <c r="B68" s="94">
        <v>52</v>
      </c>
      <c r="C68" s="94" t="s">
        <v>267</v>
      </c>
      <c r="D68" s="94" t="s">
        <v>85</v>
      </c>
      <c r="E68" s="94" t="s">
        <v>293</v>
      </c>
      <c r="F68" s="94" t="s">
        <v>260</v>
      </c>
      <c r="G68" s="95">
        <v>2017</v>
      </c>
      <c r="H68" s="94">
        <v>235186</v>
      </c>
      <c r="I68" s="95">
        <v>2021</v>
      </c>
      <c r="J68" s="94">
        <v>12</v>
      </c>
      <c r="K68" s="95">
        <v>2021</v>
      </c>
    </row>
    <row r="69" spans="2:11" x14ac:dyDescent="0.2">
      <c r="B69" s="94">
        <v>53</v>
      </c>
      <c r="C69" s="94" t="s">
        <v>268</v>
      </c>
      <c r="D69" s="94" t="s">
        <v>85</v>
      </c>
      <c r="E69" s="94" t="s">
        <v>293</v>
      </c>
      <c r="F69" s="94" t="s">
        <v>249</v>
      </c>
      <c r="G69" s="95">
        <v>2003</v>
      </c>
      <c r="H69" s="94">
        <v>31060</v>
      </c>
      <c r="I69" s="95">
        <v>2021</v>
      </c>
      <c r="J69" s="94">
        <v>2</v>
      </c>
      <c r="K69" s="95">
        <v>2021</v>
      </c>
    </row>
    <row r="70" spans="2:11" x14ac:dyDescent="0.2">
      <c r="B70" s="94">
        <v>54</v>
      </c>
      <c r="C70" s="94" t="s">
        <v>268</v>
      </c>
      <c r="D70" s="94" t="s">
        <v>85</v>
      </c>
      <c r="E70" s="94" t="s">
        <v>293</v>
      </c>
      <c r="F70" s="94" t="s">
        <v>249</v>
      </c>
      <c r="G70" s="95">
        <v>2003</v>
      </c>
      <c r="H70" s="94">
        <v>18094</v>
      </c>
      <c r="I70" s="95">
        <v>2021</v>
      </c>
      <c r="J70" s="94">
        <v>2</v>
      </c>
      <c r="K70" s="95">
        <v>2021</v>
      </c>
    </row>
    <row r="71" spans="2:11" x14ac:dyDescent="0.2">
      <c r="B71" s="94">
        <v>55</v>
      </c>
      <c r="C71" s="94" t="s">
        <v>268</v>
      </c>
      <c r="D71" s="94" t="s">
        <v>85</v>
      </c>
      <c r="E71" s="94" t="s">
        <v>293</v>
      </c>
      <c r="F71" s="94" t="s">
        <v>249</v>
      </c>
      <c r="G71" s="95">
        <v>2003</v>
      </c>
      <c r="H71" s="94">
        <v>79346</v>
      </c>
      <c r="I71" s="95">
        <v>2021</v>
      </c>
      <c r="J71" s="94">
        <v>2</v>
      </c>
      <c r="K71" s="95">
        <v>2021</v>
      </c>
    </row>
    <row r="72" spans="2:11" x14ac:dyDescent="0.2">
      <c r="B72" s="94">
        <v>56</v>
      </c>
      <c r="C72" s="94" t="s">
        <v>268</v>
      </c>
      <c r="D72" s="94" t="s">
        <v>85</v>
      </c>
      <c r="E72" s="94" t="s">
        <v>293</v>
      </c>
      <c r="F72" s="94" t="s">
        <v>249</v>
      </c>
      <c r="G72" s="95">
        <v>2004</v>
      </c>
      <c r="H72" s="94">
        <v>25959</v>
      </c>
      <c r="I72" s="95">
        <v>2021</v>
      </c>
      <c r="J72" s="94">
        <v>2</v>
      </c>
      <c r="K72" s="95">
        <v>2021</v>
      </c>
    </row>
    <row r="73" spans="2:11" x14ac:dyDescent="0.2">
      <c r="B73" s="94">
        <v>57</v>
      </c>
      <c r="C73" s="94" t="s">
        <v>268</v>
      </c>
      <c r="D73" s="94" t="s">
        <v>85</v>
      </c>
      <c r="E73" s="94" t="s">
        <v>293</v>
      </c>
      <c r="F73" s="94" t="s">
        <v>249</v>
      </c>
      <c r="G73" s="95">
        <v>2005</v>
      </c>
      <c r="H73" s="94">
        <v>39620</v>
      </c>
      <c r="I73" s="95">
        <v>2021</v>
      </c>
      <c r="J73" s="94">
        <v>2</v>
      </c>
      <c r="K73" s="95">
        <v>2021</v>
      </c>
    </row>
    <row r="74" spans="2:11" x14ac:dyDescent="0.2">
      <c r="B74" s="94">
        <v>58</v>
      </c>
      <c r="C74" s="94" t="s">
        <v>268</v>
      </c>
      <c r="D74" s="94" t="s">
        <v>85</v>
      </c>
      <c r="E74" s="94" t="s">
        <v>293</v>
      </c>
      <c r="F74" s="94" t="s">
        <v>249</v>
      </c>
      <c r="G74" s="95">
        <v>2005</v>
      </c>
      <c r="H74" s="94">
        <v>75208</v>
      </c>
      <c r="I74" s="95">
        <v>2021</v>
      </c>
      <c r="J74" s="94">
        <v>2</v>
      </c>
      <c r="K74" s="95">
        <v>2021</v>
      </c>
    </row>
    <row r="75" spans="2:11" x14ac:dyDescent="0.2">
      <c r="B75" s="94">
        <v>59</v>
      </c>
      <c r="C75" s="94" t="s">
        <v>268</v>
      </c>
      <c r="D75" s="94" t="s">
        <v>85</v>
      </c>
      <c r="E75" s="94" t="s">
        <v>293</v>
      </c>
      <c r="F75" s="94" t="s">
        <v>249</v>
      </c>
      <c r="G75" s="95">
        <v>2005</v>
      </c>
      <c r="H75" s="94">
        <v>68422</v>
      </c>
      <c r="I75" s="95">
        <v>2021</v>
      </c>
      <c r="J75" s="94">
        <v>2</v>
      </c>
      <c r="K75" s="95">
        <v>2021</v>
      </c>
    </row>
    <row r="76" spans="2:11" x14ac:dyDescent="0.2">
      <c r="B76" s="94">
        <v>60</v>
      </c>
      <c r="C76" s="94" t="s">
        <v>268</v>
      </c>
      <c r="D76" s="94" t="s">
        <v>85</v>
      </c>
      <c r="E76" s="94" t="s">
        <v>293</v>
      </c>
      <c r="F76" s="94" t="s">
        <v>249</v>
      </c>
      <c r="G76" s="95">
        <v>2006</v>
      </c>
      <c r="H76" s="94">
        <v>70525</v>
      </c>
      <c r="I76" s="95">
        <v>2021</v>
      </c>
      <c r="J76" s="94">
        <v>2</v>
      </c>
      <c r="K76" s="95">
        <v>2021</v>
      </c>
    </row>
    <row r="77" spans="2:11" x14ac:dyDescent="0.2">
      <c r="B77" s="94">
        <v>61</v>
      </c>
      <c r="C77" s="94" t="s">
        <v>268</v>
      </c>
      <c r="D77" s="94" t="s">
        <v>85</v>
      </c>
      <c r="E77" s="94" t="s">
        <v>293</v>
      </c>
      <c r="F77" s="94" t="s">
        <v>249</v>
      </c>
      <c r="G77" s="95">
        <v>2006</v>
      </c>
      <c r="H77" s="94">
        <v>25802</v>
      </c>
      <c r="I77" s="95">
        <v>2021</v>
      </c>
      <c r="J77" s="94">
        <v>2</v>
      </c>
      <c r="K77" s="95">
        <v>2021</v>
      </c>
    </row>
    <row r="78" spans="2:11" x14ac:dyDescent="0.2">
      <c r="B78" s="94">
        <v>62</v>
      </c>
      <c r="C78" s="94" t="s">
        <v>268</v>
      </c>
      <c r="D78" s="94" t="s">
        <v>85</v>
      </c>
      <c r="E78" s="94" t="s">
        <v>293</v>
      </c>
      <c r="F78" s="94" t="s">
        <v>249</v>
      </c>
      <c r="G78" s="95">
        <v>2007</v>
      </c>
      <c r="H78" s="94">
        <v>109966</v>
      </c>
      <c r="I78" s="95">
        <v>2021</v>
      </c>
      <c r="J78" s="94">
        <v>2</v>
      </c>
      <c r="K78" s="95">
        <v>2021</v>
      </c>
    </row>
    <row r="79" spans="2:11" x14ac:dyDescent="0.2">
      <c r="B79" s="94">
        <v>63</v>
      </c>
      <c r="C79" s="94" t="s">
        <v>268</v>
      </c>
      <c r="D79" s="94" t="s">
        <v>85</v>
      </c>
      <c r="E79" s="94" t="s">
        <v>293</v>
      </c>
      <c r="F79" s="94" t="s">
        <v>249</v>
      </c>
      <c r="G79" s="95">
        <v>2007</v>
      </c>
      <c r="H79" s="94">
        <v>15893</v>
      </c>
      <c r="I79" s="95">
        <v>2021</v>
      </c>
      <c r="J79" s="94">
        <v>2</v>
      </c>
      <c r="K79" s="95">
        <v>2021</v>
      </c>
    </row>
    <row r="80" spans="2:11" x14ac:dyDescent="0.2">
      <c r="B80" s="94">
        <v>64</v>
      </c>
      <c r="C80" s="94" t="s">
        <v>268</v>
      </c>
      <c r="D80" s="94" t="s">
        <v>85</v>
      </c>
      <c r="E80" s="94" t="s">
        <v>293</v>
      </c>
      <c r="F80" s="94" t="s">
        <v>249</v>
      </c>
      <c r="G80" s="95">
        <v>2008</v>
      </c>
      <c r="H80" s="94">
        <v>155536</v>
      </c>
      <c r="I80" s="95">
        <v>2021</v>
      </c>
      <c r="J80" s="94">
        <v>2</v>
      </c>
      <c r="K80" s="95">
        <v>2021</v>
      </c>
    </row>
    <row r="81" spans="2:11" x14ac:dyDescent="0.2">
      <c r="B81" s="94">
        <v>65</v>
      </c>
      <c r="C81" s="94" t="s">
        <v>268</v>
      </c>
      <c r="D81" s="94" t="s">
        <v>85</v>
      </c>
      <c r="E81" s="94" t="s">
        <v>293</v>
      </c>
      <c r="F81" s="94" t="s">
        <v>260</v>
      </c>
      <c r="G81" s="95">
        <v>2017</v>
      </c>
      <c r="H81" s="94">
        <v>262268</v>
      </c>
      <c r="I81" s="95">
        <v>2021</v>
      </c>
      <c r="J81" s="94">
        <v>12</v>
      </c>
      <c r="K81" s="95">
        <v>2021</v>
      </c>
    </row>
    <row r="82" spans="2:11" x14ac:dyDescent="0.2">
      <c r="B82" s="94">
        <v>66</v>
      </c>
      <c r="C82" s="94" t="s">
        <v>268</v>
      </c>
      <c r="D82" s="94" t="s">
        <v>86</v>
      </c>
      <c r="E82" s="94" t="s">
        <v>293</v>
      </c>
      <c r="F82" s="94" t="s">
        <v>249</v>
      </c>
      <c r="G82" s="95">
        <v>2004</v>
      </c>
      <c r="H82" s="94">
        <v>10214</v>
      </c>
      <c r="I82" s="95">
        <v>2021</v>
      </c>
      <c r="J82" s="94">
        <v>2</v>
      </c>
      <c r="K82" s="95">
        <v>2021</v>
      </c>
    </row>
    <row r="83" spans="2:11" x14ac:dyDescent="0.2">
      <c r="B83" s="94">
        <v>67</v>
      </c>
      <c r="C83" s="94" t="s">
        <v>268</v>
      </c>
      <c r="D83" s="94" t="s">
        <v>86</v>
      </c>
      <c r="E83" s="94" t="s">
        <v>293</v>
      </c>
      <c r="F83" s="94" t="s">
        <v>249</v>
      </c>
      <c r="G83" s="95">
        <v>2005</v>
      </c>
      <c r="H83" s="94">
        <v>29593</v>
      </c>
      <c r="I83" s="95">
        <v>2021</v>
      </c>
      <c r="J83" s="94">
        <v>2</v>
      </c>
      <c r="K83" s="95">
        <v>2021</v>
      </c>
    </row>
    <row r="84" spans="2:11" x14ac:dyDescent="0.2">
      <c r="B84" s="94">
        <v>68</v>
      </c>
      <c r="C84" s="94" t="s">
        <v>268</v>
      </c>
      <c r="D84" s="94" t="s">
        <v>86</v>
      </c>
      <c r="E84" s="94" t="s">
        <v>293</v>
      </c>
      <c r="F84" s="94" t="s">
        <v>249</v>
      </c>
      <c r="G84" s="95">
        <v>2005</v>
      </c>
      <c r="H84" s="94">
        <v>26922</v>
      </c>
      <c r="I84" s="95">
        <v>2021</v>
      </c>
      <c r="J84" s="94">
        <v>2</v>
      </c>
      <c r="K84" s="95">
        <v>2021</v>
      </c>
    </row>
    <row r="85" spans="2:11" x14ac:dyDescent="0.2">
      <c r="B85" s="94">
        <v>69</v>
      </c>
      <c r="C85" s="94" t="s">
        <v>268</v>
      </c>
      <c r="D85" s="94" t="s">
        <v>86</v>
      </c>
      <c r="E85" s="94" t="s">
        <v>293</v>
      </c>
      <c r="F85" s="94" t="s">
        <v>249</v>
      </c>
      <c r="G85" s="95">
        <v>2006</v>
      </c>
      <c r="H85" s="94">
        <v>35263</v>
      </c>
      <c r="I85" s="95">
        <v>2021</v>
      </c>
      <c r="J85" s="94">
        <v>2</v>
      </c>
      <c r="K85" s="95">
        <v>2021</v>
      </c>
    </row>
    <row r="86" spans="2:11" x14ac:dyDescent="0.2">
      <c r="B86" s="94">
        <v>70</v>
      </c>
      <c r="C86" s="94" t="s">
        <v>268</v>
      </c>
      <c r="D86" s="94" t="s">
        <v>86</v>
      </c>
      <c r="E86" s="94" t="s">
        <v>293</v>
      </c>
      <c r="F86" s="94" t="s">
        <v>249</v>
      </c>
      <c r="G86" s="95">
        <v>2006</v>
      </c>
      <c r="H86" s="94">
        <v>12901</v>
      </c>
      <c r="I86" s="95">
        <v>2021</v>
      </c>
      <c r="J86" s="94">
        <v>2</v>
      </c>
      <c r="K86" s="95">
        <v>2021</v>
      </c>
    </row>
    <row r="87" spans="2:11" x14ac:dyDescent="0.2">
      <c r="B87" s="94">
        <v>71</v>
      </c>
      <c r="C87" s="94" t="s">
        <v>268</v>
      </c>
      <c r="D87" s="94" t="s">
        <v>86</v>
      </c>
      <c r="E87" s="94" t="s">
        <v>293</v>
      </c>
      <c r="F87" s="94" t="s">
        <v>249</v>
      </c>
      <c r="G87" s="95">
        <v>2007</v>
      </c>
      <c r="H87" s="94">
        <v>54983</v>
      </c>
      <c r="I87" s="95">
        <v>2021</v>
      </c>
      <c r="J87" s="94">
        <v>2</v>
      </c>
      <c r="K87" s="95">
        <v>2021</v>
      </c>
    </row>
    <row r="88" spans="2:11" x14ac:dyDescent="0.2">
      <c r="B88" s="94">
        <v>72</v>
      </c>
      <c r="C88" s="94" t="s">
        <v>268</v>
      </c>
      <c r="D88" s="94" t="s">
        <v>86</v>
      </c>
      <c r="E88" s="94" t="s">
        <v>293</v>
      </c>
      <c r="F88" s="94" t="s">
        <v>249</v>
      </c>
      <c r="G88" s="95">
        <v>2007</v>
      </c>
      <c r="H88" s="94">
        <v>7946</v>
      </c>
      <c r="I88" s="95">
        <v>2021</v>
      </c>
      <c r="J88" s="94">
        <v>2</v>
      </c>
      <c r="K88" s="95">
        <v>2021</v>
      </c>
    </row>
    <row r="89" spans="2:11" x14ac:dyDescent="0.2">
      <c r="B89" s="94">
        <v>73</v>
      </c>
      <c r="C89" s="94" t="s">
        <v>268</v>
      </c>
      <c r="D89" s="94" t="s">
        <v>86</v>
      </c>
      <c r="E89" s="94" t="s">
        <v>293</v>
      </c>
      <c r="F89" s="94" t="s">
        <v>249</v>
      </c>
      <c r="G89" s="95">
        <v>2008</v>
      </c>
      <c r="H89" s="94">
        <v>93322</v>
      </c>
      <c r="I89" s="95">
        <v>2021</v>
      </c>
      <c r="J89" s="94">
        <v>2</v>
      </c>
      <c r="K89" s="95">
        <v>2021</v>
      </c>
    </row>
    <row r="90" spans="2:11" x14ac:dyDescent="0.2">
      <c r="B90" s="94">
        <v>74</v>
      </c>
      <c r="C90" s="94" t="s">
        <v>268</v>
      </c>
      <c r="D90" s="94" t="s">
        <v>86</v>
      </c>
      <c r="E90" s="94" t="s">
        <v>293</v>
      </c>
      <c r="F90" s="94" t="s">
        <v>260</v>
      </c>
      <c r="G90" s="95">
        <v>2017</v>
      </c>
      <c r="H90" s="94">
        <v>927915</v>
      </c>
      <c r="I90" s="95">
        <v>2021</v>
      </c>
      <c r="J90" s="94">
        <v>12</v>
      </c>
      <c r="K90" s="95">
        <v>2021</v>
      </c>
    </row>
    <row r="91" spans="2:11" x14ac:dyDescent="0.2">
      <c r="B91" s="94">
        <v>75</v>
      </c>
      <c r="C91" s="94" t="s">
        <v>268</v>
      </c>
      <c r="D91" s="94" t="s">
        <v>86</v>
      </c>
      <c r="E91" s="94" t="s">
        <v>293</v>
      </c>
      <c r="F91" s="94" t="s">
        <v>254</v>
      </c>
      <c r="G91" s="95">
        <v>2019</v>
      </c>
      <c r="H91" s="94">
        <v>664000</v>
      </c>
      <c r="I91" s="95">
        <v>2021</v>
      </c>
      <c r="J91" s="94">
        <v>12</v>
      </c>
      <c r="K91" s="95">
        <v>2021</v>
      </c>
    </row>
    <row r="92" spans="2:11" x14ac:dyDescent="0.2">
      <c r="B92" s="94">
        <v>76</v>
      </c>
      <c r="C92" s="94" t="s">
        <v>268</v>
      </c>
      <c r="D92" s="94" t="s">
        <v>86</v>
      </c>
      <c r="E92" s="94" t="s">
        <v>293</v>
      </c>
      <c r="F92" s="94" t="s">
        <v>251</v>
      </c>
      <c r="G92" s="95">
        <v>2018</v>
      </c>
      <c r="H92" s="94">
        <v>896</v>
      </c>
      <c r="I92" s="95">
        <v>2021</v>
      </c>
      <c r="J92" s="94">
        <v>7</v>
      </c>
      <c r="K92" s="95">
        <v>2021</v>
      </c>
    </row>
    <row r="93" spans="2:11" x14ac:dyDescent="0.2">
      <c r="B93" s="94">
        <v>77</v>
      </c>
      <c r="C93" s="94" t="s">
        <v>268</v>
      </c>
      <c r="D93" s="94" t="s">
        <v>86</v>
      </c>
      <c r="E93" s="94" t="s">
        <v>293</v>
      </c>
      <c r="F93" s="94" t="s">
        <v>255</v>
      </c>
      <c r="G93" s="95">
        <v>2018</v>
      </c>
      <c r="H93" s="94">
        <v>2812650</v>
      </c>
      <c r="I93" s="95">
        <v>2021</v>
      </c>
      <c r="J93" s="94">
        <v>7</v>
      </c>
      <c r="K93" s="95">
        <v>2021</v>
      </c>
    </row>
    <row r="94" spans="2:11" x14ac:dyDescent="0.2">
      <c r="B94" s="94">
        <v>78</v>
      </c>
      <c r="C94" s="94" t="s">
        <v>268</v>
      </c>
      <c r="D94" s="94" t="s">
        <v>86</v>
      </c>
      <c r="E94" s="94" t="s">
        <v>293</v>
      </c>
      <c r="F94" s="94" t="s">
        <v>255</v>
      </c>
      <c r="G94" s="95">
        <v>2015</v>
      </c>
      <c r="H94" s="94">
        <v>5370</v>
      </c>
      <c r="I94" s="95">
        <v>2021</v>
      </c>
      <c r="J94" s="94">
        <v>7</v>
      </c>
      <c r="K94" s="95">
        <v>2021</v>
      </c>
    </row>
    <row r="95" spans="2:11" x14ac:dyDescent="0.2">
      <c r="B95" s="94">
        <v>79</v>
      </c>
      <c r="C95" s="94" t="s">
        <v>268</v>
      </c>
      <c r="D95" s="94" t="s">
        <v>86</v>
      </c>
      <c r="E95" s="94" t="s">
        <v>293</v>
      </c>
      <c r="F95" s="94" t="s">
        <v>250</v>
      </c>
      <c r="G95" s="95">
        <v>2018</v>
      </c>
      <c r="H95" s="94">
        <v>801</v>
      </c>
      <c r="I95" s="95">
        <v>2021</v>
      </c>
      <c r="J95" s="94">
        <v>7</v>
      </c>
      <c r="K95" s="95">
        <v>2021</v>
      </c>
    </row>
    <row r="96" spans="2:11" x14ac:dyDescent="0.2">
      <c r="B96" s="94">
        <v>80</v>
      </c>
      <c r="C96" s="94" t="s">
        <v>268</v>
      </c>
      <c r="D96" s="94" t="s">
        <v>86</v>
      </c>
      <c r="E96" s="94" t="s">
        <v>293</v>
      </c>
      <c r="F96" s="94" t="s">
        <v>250</v>
      </c>
      <c r="G96" s="95">
        <v>2015</v>
      </c>
      <c r="H96" s="94">
        <v>7086</v>
      </c>
      <c r="I96" s="95">
        <v>2021</v>
      </c>
      <c r="J96" s="94">
        <v>7</v>
      </c>
      <c r="K96" s="95">
        <v>2021</v>
      </c>
    </row>
    <row r="97" spans="2:11" x14ac:dyDescent="0.2">
      <c r="B97" s="94">
        <v>81</v>
      </c>
      <c r="C97" s="94" t="s">
        <v>268</v>
      </c>
      <c r="D97" s="94" t="s">
        <v>85</v>
      </c>
      <c r="E97" s="94" t="s">
        <v>293</v>
      </c>
      <c r="F97" s="94" t="s">
        <v>228</v>
      </c>
      <c r="G97" s="95">
        <v>2000</v>
      </c>
      <c r="H97" s="94">
        <v>891268</v>
      </c>
      <c r="I97" s="95">
        <v>2022</v>
      </c>
      <c r="J97" s="94">
        <v>1</v>
      </c>
      <c r="K97" s="95">
        <v>2022</v>
      </c>
    </row>
    <row r="98" spans="2:11" x14ac:dyDescent="0.2">
      <c r="B98" s="94">
        <v>82</v>
      </c>
      <c r="C98" s="94" t="s">
        <v>268</v>
      </c>
      <c r="D98" s="94" t="s">
        <v>85</v>
      </c>
      <c r="E98" s="94" t="s">
        <v>293</v>
      </c>
      <c r="F98" s="94" t="s">
        <v>228</v>
      </c>
      <c r="G98" s="95">
        <v>2000</v>
      </c>
      <c r="H98" s="94">
        <v>82442</v>
      </c>
      <c r="I98" s="95">
        <v>2022</v>
      </c>
      <c r="J98" s="94">
        <v>3</v>
      </c>
      <c r="K98" s="95">
        <v>2022</v>
      </c>
    </row>
    <row r="99" spans="2:11" x14ac:dyDescent="0.2">
      <c r="B99" s="94">
        <v>83</v>
      </c>
      <c r="C99" s="94" t="s">
        <v>268</v>
      </c>
      <c r="D99" s="94" t="s">
        <v>85</v>
      </c>
      <c r="E99" s="94" t="s">
        <v>293</v>
      </c>
      <c r="F99" s="94" t="s">
        <v>228</v>
      </c>
      <c r="G99" s="95">
        <v>2000</v>
      </c>
      <c r="H99" s="94">
        <v>4297530</v>
      </c>
      <c r="I99" s="95">
        <v>2022</v>
      </c>
      <c r="J99" s="94">
        <v>7</v>
      </c>
      <c r="K99" s="95">
        <v>2022</v>
      </c>
    </row>
    <row r="100" spans="2:11" x14ac:dyDescent="0.2">
      <c r="B100" s="94">
        <v>84</v>
      </c>
      <c r="C100" s="94" t="s">
        <v>268</v>
      </c>
      <c r="D100" s="94" t="s">
        <v>85</v>
      </c>
      <c r="E100" s="94" t="s">
        <v>293</v>
      </c>
      <c r="F100" s="94" t="s">
        <v>228</v>
      </c>
      <c r="G100" s="95">
        <v>2000</v>
      </c>
      <c r="H100" s="94">
        <v>24075</v>
      </c>
      <c r="I100" s="95">
        <v>2022</v>
      </c>
      <c r="J100" s="94">
        <v>6</v>
      </c>
      <c r="K100" s="95">
        <v>2022</v>
      </c>
    </row>
    <row r="101" spans="2:11" x14ac:dyDescent="0.2">
      <c r="B101" s="94">
        <v>85</v>
      </c>
      <c r="C101" s="94" t="s">
        <v>268</v>
      </c>
      <c r="D101" s="94" t="s">
        <v>85</v>
      </c>
      <c r="E101" s="94" t="s">
        <v>293</v>
      </c>
      <c r="F101" s="94" t="s">
        <v>228</v>
      </c>
      <c r="G101" s="95">
        <v>2000</v>
      </c>
      <c r="H101" s="94">
        <v>170460</v>
      </c>
      <c r="I101" s="95">
        <v>2022</v>
      </c>
      <c r="J101" s="94">
        <v>10</v>
      </c>
      <c r="K101" s="95">
        <v>2022</v>
      </c>
    </row>
    <row r="102" spans="2:11" x14ac:dyDescent="0.2">
      <c r="B102" s="94">
        <v>86</v>
      </c>
      <c r="C102" s="94" t="s">
        <v>268</v>
      </c>
      <c r="D102" s="94" t="s">
        <v>85</v>
      </c>
      <c r="E102" s="94" t="s">
        <v>293</v>
      </c>
      <c r="F102" s="94" t="s">
        <v>228</v>
      </c>
      <c r="G102" s="95">
        <v>2000</v>
      </c>
      <c r="H102" s="94">
        <v>558944</v>
      </c>
      <c r="I102" s="95">
        <v>2022</v>
      </c>
      <c r="J102" s="94">
        <v>12</v>
      </c>
      <c r="K102" s="95">
        <v>2022</v>
      </c>
    </row>
    <row r="103" spans="2:11" x14ac:dyDescent="0.2">
      <c r="B103" s="94">
        <v>87</v>
      </c>
      <c r="C103" s="94" t="s">
        <v>268</v>
      </c>
      <c r="D103" s="94" t="s">
        <v>85</v>
      </c>
      <c r="E103" s="94" t="s">
        <v>293</v>
      </c>
      <c r="F103" s="94" t="s">
        <v>228</v>
      </c>
      <c r="G103" s="95">
        <v>2000</v>
      </c>
      <c r="H103" s="94">
        <v>434419</v>
      </c>
      <c r="I103" s="95">
        <v>2022</v>
      </c>
      <c r="J103" s="94">
        <v>13</v>
      </c>
      <c r="K103" s="95">
        <v>2022</v>
      </c>
    </row>
    <row r="104" spans="2:11" x14ac:dyDescent="0.2">
      <c r="B104" s="94">
        <v>88</v>
      </c>
      <c r="C104" s="94" t="s">
        <v>268</v>
      </c>
      <c r="D104" s="94" t="s">
        <v>86</v>
      </c>
      <c r="E104" s="94" t="s">
        <v>293</v>
      </c>
      <c r="F104" s="94" t="s">
        <v>229</v>
      </c>
      <c r="G104" s="95">
        <v>2008</v>
      </c>
      <c r="H104" s="94">
        <v>2735</v>
      </c>
      <c r="I104" s="95">
        <v>2022</v>
      </c>
      <c r="J104" s="94">
        <v>12</v>
      </c>
      <c r="K104" s="95">
        <v>2022</v>
      </c>
    </row>
    <row r="105" spans="2:11" x14ac:dyDescent="0.2">
      <c r="B105" s="94">
        <v>89</v>
      </c>
      <c r="C105" s="94" t="s">
        <v>268</v>
      </c>
      <c r="D105" s="94" t="s">
        <v>86</v>
      </c>
      <c r="E105" s="94" t="s">
        <v>293</v>
      </c>
      <c r="F105" s="94" t="s">
        <v>231</v>
      </c>
      <c r="G105" s="95">
        <v>2008</v>
      </c>
      <c r="H105" s="94">
        <v>34184</v>
      </c>
      <c r="I105" s="95">
        <v>2022</v>
      </c>
      <c r="J105" s="94">
        <v>1</v>
      </c>
      <c r="K105" s="95">
        <v>2022</v>
      </c>
    </row>
    <row r="106" spans="2:11" x14ac:dyDescent="0.2">
      <c r="B106" s="94">
        <v>90</v>
      </c>
      <c r="C106" s="94" t="s">
        <v>268</v>
      </c>
      <c r="D106" s="94" t="s">
        <v>86</v>
      </c>
      <c r="E106" s="94" t="s">
        <v>293</v>
      </c>
      <c r="F106" s="94" t="s">
        <v>231</v>
      </c>
      <c r="G106" s="95">
        <v>2008</v>
      </c>
      <c r="H106" s="94">
        <v>69255</v>
      </c>
      <c r="I106" s="95">
        <v>2022</v>
      </c>
      <c r="J106" s="94">
        <v>2</v>
      </c>
      <c r="K106" s="95">
        <v>2022</v>
      </c>
    </row>
    <row r="107" spans="2:11" x14ac:dyDescent="0.2">
      <c r="B107" s="94">
        <v>91</v>
      </c>
      <c r="C107" s="94" t="s">
        <v>268</v>
      </c>
      <c r="D107" s="94" t="s">
        <v>86</v>
      </c>
      <c r="E107" s="94" t="s">
        <v>293</v>
      </c>
      <c r="F107" s="94" t="s">
        <v>231</v>
      </c>
      <c r="G107" s="95">
        <v>2008</v>
      </c>
      <c r="H107" s="94">
        <v>533406</v>
      </c>
      <c r="I107" s="95">
        <v>2022</v>
      </c>
      <c r="J107" s="94">
        <v>3</v>
      </c>
      <c r="K107" s="95">
        <v>2022</v>
      </c>
    </row>
    <row r="108" spans="2:11" x14ac:dyDescent="0.2">
      <c r="B108" s="94">
        <v>92</v>
      </c>
      <c r="C108" s="94" t="s">
        <v>268</v>
      </c>
      <c r="D108" s="94" t="s">
        <v>86</v>
      </c>
      <c r="E108" s="94" t="s">
        <v>293</v>
      </c>
      <c r="F108" s="94" t="s">
        <v>231</v>
      </c>
      <c r="G108" s="95">
        <v>2008</v>
      </c>
      <c r="H108" s="94">
        <v>864</v>
      </c>
      <c r="I108" s="95">
        <v>2022</v>
      </c>
      <c r="J108" s="94">
        <v>4</v>
      </c>
      <c r="K108" s="95">
        <v>2022</v>
      </c>
    </row>
    <row r="109" spans="2:11" x14ac:dyDescent="0.2">
      <c r="B109" s="94">
        <v>93</v>
      </c>
      <c r="C109" s="94" t="s">
        <v>268</v>
      </c>
      <c r="D109" s="94" t="s">
        <v>86</v>
      </c>
      <c r="E109" s="94" t="s">
        <v>293</v>
      </c>
      <c r="F109" s="94" t="s">
        <v>231</v>
      </c>
      <c r="G109" s="95">
        <v>2008</v>
      </c>
      <c r="H109" s="94">
        <v>54087</v>
      </c>
      <c r="I109" s="95">
        <v>2022</v>
      </c>
      <c r="J109" s="94">
        <v>6</v>
      </c>
      <c r="K109" s="95">
        <v>2022</v>
      </c>
    </row>
    <row r="110" spans="2:11" x14ac:dyDescent="0.2">
      <c r="B110" s="94">
        <v>94</v>
      </c>
      <c r="C110" s="94" t="s">
        <v>268</v>
      </c>
      <c r="D110" s="94" t="s">
        <v>86</v>
      </c>
      <c r="E110" s="94" t="s">
        <v>293</v>
      </c>
      <c r="F110" s="94" t="s">
        <v>231</v>
      </c>
      <c r="G110" s="95">
        <v>2008</v>
      </c>
      <c r="H110" s="94">
        <v>13342</v>
      </c>
      <c r="I110" s="95">
        <v>2022</v>
      </c>
      <c r="J110" s="94">
        <v>7</v>
      </c>
      <c r="K110" s="95">
        <v>2022</v>
      </c>
    </row>
    <row r="111" spans="2:11" x14ac:dyDescent="0.2">
      <c r="B111" s="94">
        <v>95</v>
      </c>
      <c r="C111" s="94" t="s">
        <v>268</v>
      </c>
      <c r="D111" s="94" t="s">
        <v>86</v>
      </c>
      <c r="E111" s="94" t="s">
        <v>293</v>
      </c>
      <c r="F111" s="94" t="s">
        <v>231</v>
      </c>
      <c r="G111" s="95">
        <v>2008</v>
      </c>
      <c r="H111" s="94">
        <v>127471</v>
      </c>
      <c r="I111" s="95">
        <v>2022</v>
      </c>
      <c r="J111" s="94">
        <v>8</v>
      </c>
      <c r="K111" s="95">
        <v>2022</v>
      </c>
    </row>
    <row r="112" spans="2:11" x14ac:dyDescent="0.2">
      <c r="B112" s="94">
        <v>96</v>
      </c>
      <c r="C112" s="94" t="s">
        <v>268</v>
      </c>
      <c r="D112" s="94" t="s">
        <v>86</v>
      </c>
      <c r="E112" s="94" t="s">
        <v>293</v>
      </c>
      <c r="F112" s="94" t="s">
        <v>231</v>
      </c>
      <c r="G112" s="95">
        <v>2008</v>
      </c>
      <c r="H112" s="94">
        <v>70</v>
      </c>
      <c r="I112" s="95">
        <v>2022</v>
      </c>
      <c r="J112" s="94">
        <v>9</v>
      </c>
      <c r="K112" s="95">
        <v>2022</v>
      </c>
    </row>
    <row r="113" spans="2:11" x14ac:dyDescent="0.2">
      <c r="B113" s="94">
        <v>97</v>
      </c>
      <c r="C113" s="94" t="s">
        <v>268</v>
      </c>
      <c r="D113" s="94" t="s">
        <v>86</v>
      </c>
      <c r="E113" s="94" t="s">
        <v>293</v>
      </c>
      <c r="F113" s="94" t="s">
        <v>231</v>
      </c>
      <c r="G113" s="95">
        <v>2008</v>
      </c>
      <c r="H113" s="94">
        <v>22075</v>
      </c>
      <c r="I113" s="95">
        <v>2022</v>
      </c>
      <c r="J113" s="94">
        <v>10</v>
      </c>
      <c r="K113" s="95">
        <v>2022</v>
      </c>
    </row>
    <row r="114" spans="2:11" x14ac:dyDescent="0.2">
      <c r="B114" s="94">
        <v>98</v>
      </c>
      <c r="C114" s="94" t="s">
        <v>268</v>
      </c>
      <c r="D114" s="94" t="s">
        <v>86</v>
      </c>
      <c r="E114" s="94" t="s">
        <v>293</v>
      </c>
      <c r="F114" s="94" t="s">
        <v>231</v>
      </c>
      <c r="G114" s="95">
        <v>2008</v>
      </c>
      <c r="H114" s="94">
        <v>171111</v>
      </c>
      <c r="I114" s="95">
        <v>2022</v>
      </c>
      <c r="J114" s="94">
        <v>11</v>
      </c>
      <c r="K114" s="95">
        <v>2022</v>
      </c>
    </row>
    <row r="115" spans="2:11" x14ac:dyDescent="0.2">
      <c r="B115" s="94">
        <v>99</v>
      </c>
      <c r="C115" s="94" t="s">
        <v>268</v>
      </c>
      <c r="D115" s="94" t="s">
        <v>86</v>
      </c>
      <c r="E115" s="94" t="s">
        <v>293</v>
      </c>
      <c r="F115" s="94" t="s">
        <v>231</v>
      </c>
      <c r="G115" s="95">
        <v>2008</v>
      </c>
      <c r="H115" s="94">
        <v>41608</v>
      </c>
      <c r="I115" s="95">
        <v>2022</v>
      </c>
      <c r="J115" s="94">
        <v>12</v>
      </c>
      <c r="K115" s="95">
        <v>2022</v>
      </c>
    </row>
    <row r="116" spans="2:11" x14ac:dyDescent="0.2">
      <c r="B116" s="94">
        <v>100</v>
      </c>
      <c r="C116" s="94" t="s">
        <v>268</v>
      </c>
      <c r="D116" s="94" t="s">
        <v>86</v>
      </c>
      <c r="E116" s="94" t="s">
        <v>293</v>
      </c>
      <c r="F116" s="94" t="s">
        <v>231</v>
      </c>
      <c r="G116" s="95">
        <v>2008</v>
      </c>
      <c r="H116" s="94">
        <v>1022073</v>
      </c>
      <c r="I116" s="95">
        <v>2022</v>
      </c>
      <c r="J116" s="94">
        <v>13</v>
      </c>
      <c r="K116" s="95">
        <v>2022</v>
      </c>
    </row>
    <row r="117" spans="2:11" x14ac:dyDescent="0.2">
      <c r="B117" s="94">
        <v>101</v>
      </c>
      <c r="C117" s="94" t="s">
        <v>268</v>
      </c>
      <c r="D117" s="94" t="s">
        <v>86</v>
      </c>
      <c r="E117" s="94" t="s">
        <v>293</v>
      </c>
      <c r="F117" s="94" t="s">
        <v>230</v>
      </c>
      <c r="G117" s="95">
        <v>2008</v>
      </c>
      <c r="H117" s="94">
        <v>312029</v>
      </c>
      <c r="I117" s="95">
        <v>2022</v>
      </c>
      <c r="J117" s="94">
        <v>1</v>
      </c>
      <c r="K117" s="95">
        <v>2022</v>
      </c>
    </row>
    <row r="118" spans="2:11" x14ac:dyDescent="0.2">
      <c r="B118" s="94">
        <v>102</v>
      </c>
      <c r="C118" s="94" t="s">
        <v>268</v>
      </c>
      <c r="D118" s="94" t="s">
        <v>86</v>
      </c>
      <c r="E118" s="94" t="s">
        <v>293</v>
      </c>
      <c r="F118" s="94" t="s">
        <v>230</v>
      </c>
      <c r="G118" s="95">
        <v>2008</v>
      </c>
      <c r="H118" s="94">
        <v>9506</v>
      </c>
      <c r="I118" s="95">
        <v>2022</v>
      </c>
      <c r="J118" s="94">
        <v>2</v>
      </c>
      <c r="K118" s="95">
        <v>2022</v>
      </c>
    </row>
    <row r="119" spans="2:11" x14ac:dyDescent="0.2">
      <c r="B119" s="94">
        <v>103</v>
      </c>
      <c r="C119" s="94" t="s">
        <v>268</v>
      </c>
      <c r="D119" s="94" t="s">
        <v>86</v>
      </c>
      <c r="E119" s="94" t="s">
        <v>293</v>
      </c>
      <c r="F119" s="94" t="s">
        <v>230</v>
      </c>
      <c r="G119" s="95">
        <v>2008</v>
      </c>
      <c r="H119" s="94">
        <v>122761</v>
      </c>
      <c r="I119" s="95">
        <v>2022</v>
      </c>
      <c r="J119" s="94">
        <v>5</v>
      </c>
      <c r="K119" s="95">
        <v>2022</v>
      </c>
    </row>
    <row r="120" spans="2:11" x14ac:dyDescent="0.2">
      <c r="B120" s="94">
        <v>104</v>
      </c>
      <c r="C120" s="94" t="s">
        <v>268</v>
      </c>
      <c r="D120" s="94" t="s">
        <v>86</v>
      </c>
      <c r="E120" s="94" t="s">
        <v>293</v>
      </c>
      <c r="F120" s="94" t="s">
        <v>230</v>
      </c>
      <c r="G120" s="95">
        <v>2008</v>
      </c>
      <c r="H120" s="94">
        <v>6307</v>
      </c>
      <c r="I120" s="95">
        <v>2022</v>
      </c>
      <c r="J120" s="94">
        <v>6</v>
      </c>
      <c r="K120" s="95">
        <v>2022</v>
      </c>
    </row>
    <row r="121" spans="2:11" x14ac:dyDescent="0.2">
      <c r="B121" s="94">
        <v>105</v>
      </c>
      <c r="C121" s="94" t="s">
        <v>268</v>
      </c>
      <c r="D121" s="94" t="s">
        <v>86</v>
      </c>
      <c r="E121" s="94" t="s">
        <v>293</v>
      </c>
      <c r="F121" s="94" t="s">
        <v>230</v>
      </c>
      <c r="G121" s="95">
        <v>2008</v>
      </c>
      <c r="H121" s="94">
        <v>46255</v>
      </c>
      <c r="I121" s="95">
        <v>2022</v>
      </c>
      <c r="J121" s="94">
        <v>9</v>
      </c>
      <c r="K121" s="95">
        <v>2022</v>
      </c>
    </row>
    <row r="122" spans="2:11" x14ac:dyDescent="0.2">
      <c r="B122" s="94">
        <v>106</v>
      </c>
      <c r="C122" s="94" t="s">
        <v>268</v>
      </c>
      <c r="D122" s="94" t="s">
        <v>86</v>
      </c>
      <c r="E122" s="94" t="s">
        <v>293</v>
      </c>
      <c r="F122" s="94" t="s">
        <v>230</v>
      </c>
      <c r="G122" s="95">
        <v>2008</v>
      </c>
      <c r="H122" s="94">
        <v>58497</v>
      </c>
      <c r="I122" s="95">
        <v>2022</v>
      </c>
      <c r="J122" s="94">
        <v>10</v>
      </c>
      <c r="K122" s="95">
        <v>2022</v>
      </c>
    </row>
    <row r="123" spans="2:11" x14ac:dyDescent="0.2">
      <c r="B123" s="94">
        <v>107</v>
      </c>
      <c r="C123" s="94" t="s">
        <v>268</v>
      </c>
      <c r="D123" s="94" t="s">
        <v>86</v>
      </c>
      <c r="E123" s="94" t="s">
        <v>293</v>
      </c>
      <c r="F123" s="94" t="s">
        <v>230</v>
      </c>
      <c r="G123" s="95">
        <v>2008</v>
      </c>
      <c r="H123" s="94">
        <v>326359</v>
      </c>
      <c r="I123" s="95">
        <v>2022</v>
      </c>
      <c r="J123" s="94">
        <v>11</v>
      </c>
      <c r="K123" s="95">
        <v>2022</v>
      </c>
    </row>
    <row r="124" spans="2:11" x14ac:dyDescent="0.2">
      <c r="B124" s="94">
        <v>108</v>
      </c>
      <c r="C124" s="94" t="s">
        <v>268</v>
      </c>
      <c r="D124" s="94" t="s">
        <v>86</v>
      </c>
      <c r="E124" s="94" t="s">
        <v>293</v>
      </c>
      <c r="F124" s="94" t="s">
        <v>230</v>
      </c>
      <c r="G124" s="95">
        <v>2008</v>
      </c>
      <c r="H124" s="94">
        <v>319986</v>
      </c>
      <c r="I124" s="95">
        <v>2022</v>
      </c>
      <c r="J124" s="94">
        <v>12</v>
      </c>
      <c r="K124" s="95">
        <v>2022</v>
      </c>
    </row>
    <row r="125" spans="2:11" x14ac:dyDescent="0.2">
      <c r="B125" s="94">
        <v>109</v>
      </c>
      <c r="C125" s="94" t="s">
        <v>268</v>
      </c>
      <c r="D125" s="94" t="s">
        <v>86</v>
      </c>
      <c r="E125" s="94" t="s">
        <v>293</v>
      </c>
      <c r="F125" s="94" t="s">
        <v>230</v>
      </c>
      <c r="G125" s="95">
        <v>2008</v>
      </c>
      <c r="H125" s="94">
        <v>1002659</v>
      </c>
      <c r="I125" s="95">
        <v>2022</v>
      </c>
      <c r="J125" s="94">
        <v>13</v>
      </c>
      <c r="K125" s="95">
        <v>2022</v>
      </c>
    </row>
    <row r="126" spans="2:11" x14ac:dyDescent="0.2">
      <c r="B126" s="94">
        <v>110</v>
      </c>
      <c r="C126" s="94" t="s">
        <v>268</v>
      </c>
      <c r="D126" s="94" t="s">
        <v>86</v>
      </c>
      <c r="E126" s="94" t="s">
        <v>293</v>
      </c>
      <c r="F126" s="94" t="s">
        <v>234</v>
      </c>
      <c r="G126" s="95">
        <v>2015</v>
      </c>
      <c r="H126" s="94">
        <v>60860</v>
      </c>
      <c r="I126" s="95">
        <v>2022</v>
      </c>
      <c r="J126" s="94">
        <v>1</v>
      </c>
      <c r="K126" s="95">
        <v>2022</v>
      </c>
    </row>
    <row r="127" spans="2:11" x14ac:dyDescent="0.2">
      <c r="B127" s="94">
        <v>111</v>
      </c>
      <c r="C127" s="94" t="s">
        <v>268</v>
      </c>
      <c r="D127" s="94" t="s">
        <v>86</v>
      </c>
      <c r="E127" s="94" t="s">
        <v>293</v>
      </c>
      <c r="F127" s="94" t="s">
        <v>234</v>
      </c>
      <c r="G127" s="95">
        <v>2015</v>
      </c>
      <c r="H127" s="94">
        <v>683852</v>
      </c>
      <c r="I127" s="95">
        <v>2022</v>
      </c>
      <c r="J127" s="94">
        <v>9</v>
      </c>
      <c r="K127" s="95">
        <v>2022</v>
      </c>
    </row>
    <row r="128" spans="2:11" x14ac:dyDescent="0.2">
      <c r="B128" s="94">
        <v>112</v>
      </c>
      <c r="C128" s="94" t="s">
        <v>268</v>
      </c>
      <c r="D128" s="94" t="s">
        <v>86</v>
      </c>
      <c r="E128" s="94" t="s">
        <v>293</v>
      </c>
      <c r="F128" s="94" t="s">
        <v>234</v>
      </c>
      <c r="G128" s="95">
        <v>2015</v>
      </c>
      <c r="H128" s="94">
        <v>183363</v>
      </c>
      <c r="I128" s="95">
        <v>2022</v>
      </c>
      <c r="J128" s="94">
        <v>11</v>
      </c>
      <c r="K128" s="95">
        <v>2022</v>
      </c>
    </row>
    <row r="129" spans="2:11" x14ac:dyDescent="0.2">
      <c r="B129" s="94">
        <v>113</v>
      </c>
      <c r="C129" s="94" t="s">
        <v>268</v>
      </c>
      <c r="D129" s="94" t="s">
        <v>86</v>
      </c>
      <c r="E129" s="94" t="s">
        <v>293</v>
      </c>
      <c r="F129" s="94" t="s">
        <v>232</v>
      </c>
      <c r="G129" s="95">
        <v>2000</v>
      </c>
      <c r="H129" s="94">
        <v>293429</v>
      </c>
      <c r="I129" s="95">
        <v>2022</v>
      </c>
      <c r="J129" s="94">
        <v>6</v>
      </c>
      <c r="K129" s="95">
        <v>2022</v>
      </c>
    </row>
    <row r="130" spans="2:11" x14ac:dyDescent="0.2">
      <c r="B130" s="94">
        <v>114</v>
      </c>
      <c r="C130" s="94" t="s">
        <v>268</v>
      </c>
      <c r="D130" s="94" t="s">
        <v>86</v>
      </c>
      <c r="E130" s="94" t="s">
        <v>293</v>
      </c>
      <c r="F130" s="94" t="s">
        <v>232</v>
      </c>
      <c r="G130" s="95">
        <v>2000</v>
      </c>
      <c r="H130" s="94">
        <v>2927891</v>
      </c>
      <c r="I130" s="95">
        <v>2022</v>
      </c>
      <c r="J130" s="94">
        <v>12</v>
      </c>
      <c r="K130" s="95">
        <v>2022</v>
      </c>
    </row>
    <row r="131" spans="2:11" x14ac:dyDescent="0.2">
      <c r="B131" s="94">
        <v>115</v>
      </c>
      <c r="C131" s="94" t="s">
        <v>268</v>
      </c>
      <c r="D131" s="94" t="s">
        <v>86</v>
      </c>
      <c r="E131" s="94" t="s">
        <v>293</v>
      </c>
      <c r="F131" s="94" t="s">
        <v>232</v>
      </c>
      <c r="G131" s="95">
        <v>2000</v>
      </c>
      <c r="H131" s="94">
        <v>10693273</v>
      </c>
      <c r="I131" s="95">
        <v>2022</v>
      </c>
      <c r="J131" s="94">
        <v>13</v>
      </c>
      <c r="K131" s="95">
        <v>2022</v>
      </c>
    </row>
    <row r="132" spans="2:11" x14ac:dyDescent="0.2">
      <c r="B132" s="94">
        <v>116</v>
      </c>
      <c r="C132" s="94" t="s">
        <v>267</v>
      </c>
      <c r="D132" s="94" t="s">
        <v>85</v>
      </c>
      <c r="E132" s="94" t="s">
        <v>293</v>
      </c>
      <c r="F132" s="94" t="s">
        <v>253</v>
      </c>
      <c r="G132" s="95">
        <v>2013</v>
      </c>
      <c r="H132" s="94">
        <v>1581961</v>
      </c>
      <c r="I132" s="95">
        <v>2022</v>
      </c>
      <c r="J132" s="94">
        <v>12</v>
      </c>
      <c r="K132" s="95">
        <v>2022</v>
      </c>
    </row>
    <row r="133" spans="2:11" x14ac:dyDescent="0.2">
      <c r="B133" s="94">
        <v>117</v>
      </c>
      <c r="C133" s="94" t="s">
        <v>267</v>
      </c>
      <c r="D133" s="94" t="s">
        <v>85</v>
      </c>
      <c r="E133" s="94" t="s">
        <v>293</v>
      </c>
      <c r="F133" s="94" t="s">
        <v>253</v>
      </c>
      <c r="G133" s="95">
        <v>2008</v>
      </c>
      <c r="H133" s="94">
        <v>66672</v>
      </c>
      <c r="I133" s="95">
        <v>2022</v>
      </c>
      <c r="J133" s="94">
        <v>4</v>
      </c>
      <c r="K133" s="95">
        <v>2022</v>
      </c>
    </row>
    <row r="134" spans="2:11" x14ac:dyDescent="0.2">
      <c r="B134" s="94">
        <v>118</v>
      </c>
      <c r="C134" s="94" t="s">
        <v>268</v>
      </c>
      <c r="D134" s="94" t="s">
        <v>85</v>
      </c>
      <c r="E134" s="94" t="s">
        <v>293</v>
      </c>
      <c r="F134" s="94" t="s">
        <v>253</v>
      </c>
      <c r="G134" s="95">
        <v>2008</v>
      </c>
      <c r="H134" s="94">
        <v>222241</v>
      </c>
      <c r="I134" s="95">
        <v>2022</v>
      </c>
      <c r="J134" s="94">
        <v>4</v>
      </c>
      <c r="K134" s="95">
        <v>2022</v>
      </c>
    </row>
    <row r="135" spans="2:11" x14ac:dyDescent="0.2">
      <c r="B135" s="94">
        <v>119</v>
      </c>
      <c r="C135" s="94" t="s">
        <v>268</v>
      </c>
      <c r="D135" s="94" t="s">
        <v>86</v>
      </c>
      <c r="E135" s="94" t="s">
        <v>293</v>
      </c>
      <c r="F135" s="94" t="s">
        <v>253</v>
      </c>
      <c r="G135" s="95">
        <v>2008</v>
      </c>
      <c r="H135" s="94">
        <v>155569</v>
      </c>
      <c r="I135" s="95">
        <v>2022</v>
      </c>
      <c r="J135" s="94">
        <v>4</v>
      </c>
      <c r="K135" s="95">
        <v>2022</v>
      </c>
    </row>
    <row r="136" spans="2:11" x14ac:dyDescent="0.2">
      <c r="B136" s="94">
        <v>120</v>
      </c>
      <c r="C136" s="94" t="s">
        <v>268</v>
      </c>
      <c r="D136" s="94" t="s">
        <v>86</v>
      </c>
      <c r="E136" s="94" t="s">
        <v>293</v>
      </c>
      <c r="F136" s="94" t="s">
        <v>249</v>
      </c>
      <c r="G136" s="95">
        <v>2009</v>
      </c>
      <c r="H136" s="94">
        <v>301918</v>
      </c>
      <c r="I136" s="95">
        <v>2022</v>
      </c>
      <c r="J136" s="94">
        <v>5</v>
      </c>
      <c r="K136" s="95">
        <v>2022</v>
      </c>
    </row>
    <row r="137" spans="2:11" x14ac:dyDescent="0.2">
      <c r="B137" s="94">
        <v>121</v>
      </c>
      <c r="C137" s="94" t="s">
        <v>267</v>
      </c>
      <c r="D137" s="94" t="s">
        <v>85</v>
      </c>
      <c r="E137" s="94" t="s">
        <v>293</v>
      </c>
      <c r="F137" s="94" t="s">
        <v>260</v>
      </c>
      <c r="G137" s="95">
        <v>2015</v>
      </c>
      <c r="H137" s="94">
        <v>125325</v>
      </c>
      <c r="I137" s="95">
        <v>2022</v>
      </c>
      <c r="J137" s="94">
        <v>12</v>
      </c>
      <c r="K137" s="95">
        <v>2022</v>
      </c>
    </row>
    <row r="138" spans="2:11" x14ac:dyDescent="0.2">
      <c r="B138" s="94">
        <v>122</v>
      </c>
      <c r="C138" s="94" t="s">
        <v>267</v>
      </c>
      <c r="D138" s="94" t="s">
        <v>85</v>
      </c>
      <c r="E138" s="94" t="s">
        <v>293</v>
      </c>
      <c r="F138" s="94" t="s">
        <v>260</v>
      </c>
      <c r="G138" s="95">
        <v>2015</v>
      </c>
      <c r="H138" s="94">
        <v>546382</v>
      </c>
      <c r="I138" s="95">
        <v>2022</v>
      </c>
      <c r="J138" s="94">
        <v>12</v>
      </c>
      <c r="K138" s="95">
        <v>2022</v>
      </c>
    </row>
    <row r="139" spans="2:11" x14ac:dyDescent="0.2">
      <c r="B139" s="94">
        <v>123</v>
      </c>
      <c r="C139" s="94" t="s">
        <v>267</v>
      </c>
      <c r="D139" s="94" t="s">
        <v>85</v>
      </c>
      <c r="E139" s="94" t="s">
        <v>293</v>
      </c>
      <c r="F139" s="94" t="s">
        <v>260</v>
      </c>
      <c r="G139" s="95">
        <v>2017</v>
      </c>
      <c r="H139" s="94">
        <v>368204</v>
      </c>
      <c r="I139" s="95">
        <v>2022</v>
      </c>
      <c r="J139" s="94">
        <v>12</v>
      </c>
      <c r="K139" s="95">
        <v>2022</v>
      </c>
    </row>
    <row r="140" spans="2:11" x14ac:dyDescent="0.2">
      <c r="B140" s="94">
        <v>124</v>
      </c>
      <c r="C140" s="94" t="s">
        <v>267</v>
      </c>
      <c r="D140" s="94" t="s">
        <v>85</v>
      </c>
      <c r="E140" s="94" t="s">
        <v>293</v>
      </c>
      <c r="F140" s="94" t="s">
        <v>260</v>
      </c>
      <c r="G140" s="95">
        <v>2018</v>
      </c>
      <c r="H140" s="94">
        <v>48570</v>
      </c>
      <c r="I140" s="95">
        <v>2022</v>
      </c>
      <c r="J140" s="94">
        <v>12</v>
      </c>
      <c r="K140" s="95">
        <v>2022</v>
      </c>
    </row>
    <row r="141" spans="2:11" x14ac:dyDescent="0.2">
      <c r="B141" s="94">
        <v>125</v>
      </c>
      <c r="C141" s="94" t="s">
        <v>268</v>
      </c>
      <c r="D141" s="94" t="s">
        <v>85</v>
      </c>
      <c r="E141" s="94" t="s">
        <v>293</v>
      </c>
      <c r="F141" s="94" t="s">
        <v>260</v>
      </c>
      <c r="G141" s="95">
        <v>2015</v>
      </c>
      <c r="H141" s="94">
        <v>107074</v>
      </c>
      <c r="I141" s="95">
        <v>2022</v>
      </c>
      <c r="J141" s="94">
        <v>12</v>
      </c>
      <c r="K141" s="95">
        <v>2022</v>
      </c>
    </row>
    <row r="142" spans="2:11" x14ac:dyDescent="0.2">
      <c r="B142" s="94">
        <v>126</v>
      </c>
      <c r="C142" s="94" t="s">
        <v>268</v>
      </c>
      <c r="D142" s="94" t="s">
        <v>85</v>
      </c>
      <c r="E142" s="94" t="s">
        <v>293</v>
      </c>
      <c r="F142" s="94" t="s">
        <v>260</v>
      </c>
      <c r="G142" s="95">
        <v>2015</v>
      </c>
      <c r="H142" s="94">
        <v>466812</v>
      </c>
      <c r="I142" s="95">
        <v>2022</v>
      </c>
      <c r="J142" s="94">
        <v>12</v>
      </c>
      <c r="K142" s="95">
        <v>2022</v>
      </c>
    </row>
    <row r="143" spans="2:11" x14ac:dyDescent="0.2">
      <c r="B143" s="94">
        <v>127</v>
      </c>
      <c r="C143" s="94" t="s">
        <v>268</v>
      </c>
      <c r="D143" s="94" t="s">
        <v>85</v>
      </c>
      <c r="E143" s="94" t="s">
        <v>293</v>
      </c>
      <c r="F143" s="94" t="s">
        <v>260</v>
      </c>
      <c r="G143" s="95">
        <v>2017</v>
      </c>
      <c r="H143" s="94">
        <v>104070</v>
      </c>
      <c r="I143" s="95">
        <v>2022</v>
      </c>
      <c r="J143" s="94">
        <v>12</v>
      </c>
      <c r="K143" s="95">
        <v>2022</v>
      </c>
    </row>
    <row r="144" spans="2:11" x14ac:dyDescent="0.2">
      <c r="B144" s="94">
        <v>128</v>
      </c>
      <c r="C144" s="94" t="s">
        <v>268</v>
      </c>
      <c r="D144" s="94" t="s">
        <v>85</v>
      </c>
      <c r="E144" s="94" t="s">
        <v>293</v>
      </c>
      <c r="F144" s="94" t="s">
        <v>260</v>
      </c>
      <c r="G144" s="95">
        <v>2018</v>
      </c>
      <c r="H144" s="94">
        <v>75302</v>
      </c>
      <c r="I144" s="95">
        <v>2022</v>
      </c>
      <c r="J144" s="94">
        <v>12</v>
      </c>
      <c r="K144" s="95">
        <v>2022</v>
      </c>
    </row>
    <row r="145" spans="2:11" x14ac:dyDescent="0.2">
      <c r="B145" s="94">
        <v>129</v>
      </c>
      <c r="C145" s="94" t="s">
        <v>268</v>
      </c>
      <c r="D145" s="94" t="s">
        <v>86</v>
      </c>
      <c r="E145" s="94" t="s">
        <v>293</v>
      </c>
      <c r="F145" s="94" t="s">
        <v>260</v>
      </c>
      <c r="G145" s="95">
        <v>2015</v>
      </c>
      <c r="H145" s="94">
        <v>375975</v>
      </c>
      <c r="I145" s="95">
        <v>2022</v>
      </c>
      <c r="J145" s="94">
        <v>12</v>
      </c>
      <c r="K145" s="95">
        <v>2022</v>
      </c>
    </row>
    <row r="146" spans="2:11" x14ac:dyDescent="0.2">
      <c r="B146" s="94">
        <v>130</v>
      </c>
      <c r="C146" s="94" t="s">
        <v>268</v>
      </c>
      <c r="D146" s="94" t="s">
        <v>86</v>
      </c>
      <c r="E146" s="94" t="s">
        <v>293</v>
      </c>
      <c r="F146" s="94" t="s">
        <v>260</v>
      </c>
      <c r="G146" s="95">
        <v>2015</v>
      </c>
      <c r="H146" s="94">
        <v>1639146</v>
      </c>
      <c r="I146" s="95">
        <v>2022</v>
      </c>
      <c r="J146" s="94">
        <v>12</v>
      </c>
      <c r="K146" s="95">
        <v>2022</v>
      </c>
    </row>
    <row r="147" spans="2:11" x14ac:dyDescent="0.2">
      <c r="B147" s="94">
        <v>131</v>
      </c>
      <c r="C147" s="94" t="s">
        <v>268</v>
      </c>
      <c r="D147" s="94" t="s">
        <v>86</v>
      </c>
      <c r="E147" s="94" t="s">
        <v>293</v>
      </c>
      <c r="F147" s="94" t="s">
        <v>260</v>
      </c>
      <c r="G147" s="95">
        <v>2017</v>
      </c>
      <c r="H147" s="94">
        <v>93324</v>
      </c>
      <c r="I147" s="95">
        <v>2022</v>
      </c>
      <c r="J147" s="94">
        <v>12</v>
      </c>
      <c r="K147" s="95">
        <v>2022</v>
      </c>
    </row>
    <row r="148" spans="2:11" x14ac:dyDescent="0.2">
      <c r="B148" s="94">
        <v>132</v>
      </c>
      <c r="C148" s="94" t="s">
        <v>268</v>
      </c>
      <c r="D148" s="94" t="s">
        <v>86</v>
      </c>
      <c r="E148" s="94" t="s">
        <v>293</v>
      </c>
      <c r="F148" s="94" t="s">
        <v>260</v>
      </c>
      <c r="G148" s="95">
        <v>2018</v>
      </c>
      <c r="H148" s="94">
        <v>252638</v>
      </c>
      <c r="I148" s="95">
        <v>2022</v>
      </c>
      <c r="J148" s="94">
        <v>12</v>
      </c>
      <c r="K148" s="95">
        <v>2022</v>
      </c>
    </row>
    <row r="149" spans="2:11" x14ac:dyDescent="0.2">
      <c r="B149" s="94">
        <v>133</v>
      </c>
      <c r="C149" s="94" t="s">
        <v>268</v>
      </c>
      <c r="D149" s="94" t="s">
        <v>85</v>
      </c>
      <c r="E149" s="94" t="s">
        <v>293</v>
      </c>
      <c r="F149" s="94" t="s">
        <v>249</v>
      </c>
      <c r="G149" s="95">
        <v>2012</v>
      </c>
      <c r="H149" s="94">
        <v>16703</v>
      </c>
      <c r="I149" s="95">
        <v>2022</v>
      </c>
      <c r="J149" s="94">
        <v>10</v>
      </c>
      <c r="K149" s="95">
        <v>2022</v>
      </c>
    </row>
    <row r="150" spans="2:11" x14ac:dyDescent="0.2">
      <c r="B150" s="94">
        <v>134</v>
      </c>
      <c r="C150" s="94" t="s">
        <v>268</v>
      </c>
      <c r="D150" s="94" t="s">
        <v>85</v>
      </c>
      <c r="E150" s="94" t="s">
        <v>293</v>
      </c>
      <c r="F150" s="94" t="s">
        <v>249</v>
      </c>
      <c r="G150" s="95">
        <v>2013</v>
      </c>
      <c r="H150" s="94">
        <v>23790</v>
      </c>
      <c r="I150" s="95">
        <v>2022</v>
      </c>
      <c r="J150" s="94">
        <v>10</v>
      </c>
      <c r="K150" s="95">
        <v>2022</v>
      </c>
    </row>
    <row r="151" spans="2:11" x14ac:dyDescent="0.2">
      <c r="B151" s="94">
        <v>135</v>
      </c>
      <c r="C151" s="94" t="s">
        <v>268</v>
      </c>
      <c r="D151" s="94" t="s">
        <v>86</v>
      </c>
      <c r="E151" s="94" t="s">
        <v>293</v>
      </c>
      <c r="F151" s="94" t="s">
        <v>254</v>
      </c>
      <c r="G151" s="95">
        <v>2014</v>
      </c>
      <c r="H151" s="94">
        <v>51668</v>
      </c>
      <c r="I151" s="95">
        <v>2022</v>
      </c>
      <c r="J151" s="94">
        <v>10</v>
      </c>
      <c r="K151" s="95">
        <v>2022</v>
      </c>
    </row>
    <row r="152" spans="2:11" x14ac:dyDescent="0.2">
      <c r="B152" s="94">
        <v>136</v>
      </c>
      <c r="C152" s="94" t="s">
        <v>268</v>
      </c>
      <c r="D152" s="94" t="s">
        <v>85</v>
      </c>
      <c r="E152" s="94" t="s">
        <v>293</v>
      </c>
      <c r="F152" s="94" t="s">
        <v>254</v>
      </c>
      <c r="G152" s="95">
        <v>2017</v>
      </c>
      <c r="H152" s="94">
        <v>41232</v>
      </c>
      <c r="I152" s="95">
        <v>2022</v>
      </c>
      <c r="J152" s="94">
        <v>7</v>
      </c>
      <c r="K152" s="95">
        <v>2022</v>
      </c>
    </row>
    <row r="153" spans="2:11" x14ac:dyDescent="0.2">
      <c r="B153" s="94">
        <v>137</v>
      </c>
      <c r="C153" s="94" t="s">
        <v>268</v>
      </c>
      <c r="D153" s="94" t="s">
        <v>85</v>
      </c>
      <c r="E153" s="94" t="s">
        <v>293</v>
      </c>
      <c r="F153" s="94" t="s">
        <v>254</v>
      </c>
      <c r="G153" s="95">
        <v>2012</v>
      </c>
      <c r="H153" s="94">
        <v>46142</v>
      </c>
      <c r="I153" s="95">
        <v>2022</v>
      </c>
      <c r="J153" s="94">
        <v>12</v>
      </c>
      <c r="K153" s="95">
        <v>2022</v>
      </c>
    </row>
    <row r="154" spans="2:11" x14ac:dyDescent="0.2">
      <c r="B154" s="94">
        <v>138</v>
      </c>
      <c r="C154" s="94" t="s">
        <v>268</v>
      </c>
      <c r="D154" s="94" t="s">
        <v>86</v>
      </c>
      <c r="E154" s="94" t="s">
        <v>293</v>
      </c>
      <c r="F154" s="94" t="s">
        <v>254</v>
      </c>
      <c r="G154" s="95">
        <v>2018</v>
      </c>
      <c r="H154" s="94">
        <v>529675</v>
      </c>
      <c r="I154" s="95">
        <v>2022</v>
      </c>
      <c r="J154" s="94">
        <v>12</v>
      </c>
      <c r="K154" s="95">
        <v>2022</v>
      </c>
    </row>
    <row r="155" spans="2:11" x14ac:dyDescent="0.2">
      <c r="B155" s="94">
        <v>139</v>
      </c>
      <c r="C155" s="94" t="s">
        <v>268</v>
      </c>
      <c r="D155" s="94" t="s">
        <v>86</v>
      </c>
      <c r="E155" s="94" t="s">
        <v>293</v>
      </c>
      <c r="F155" s="94" t="s">
        <v>234</v>
      </c>
      <c r="G155" s="95">
        <v>2015</v>
      </c>
      <c r="H155" s="94">
        <v>28125</v>
      </c>
      <c r="I155" s="95">
        <v>2023</v>
      </c>
      <c r="J155" s="94">
        <v>5</v>
      </c>
      <c r="K155" s="95">
        <v>2023</v>
      </c>
    </row>
    <row r="156" spans="2:11" x14ac:dyDescent="0.2">
      <c r="B156" s="94">
        <v>140</v>
      </c>
      <c r="C156" s="94" t="s">
        <v>268</v>
      </c>
      <c r="D156" s="94" t="s">
        <v>85</v>
      </c>
      <c r="E156" s="94" t="s">
        <v>293</v>
      </c>
      <c r="F156" s="94" t="s">
        <v>228</v>
      </c>
      <c r="G156" s="95">
        <v>2000</v>
      </c>
      <c r="H156" s="94">
        <v>3194817</v>
      </c>
      <c r="I156" s="95">
        <v>2023</v>
      </c>
      <c r="J156" s="94">
        <v>1</v>
      </c>
      <c r="K156" s="95">
        <v>2023</v>
      </c>
    </row>
    <row r="157" spans="2:11" x14ac:dyDescent="0.2">
      <c r="B157" s="94">
        <v>141</v>
      </c>
      <c r="C157" s="94" t="s">
        <v>268</v>
      </c>
      <c r="D157" s="94" t="s">
        <v>85</v>
      </c>
      <c r="E157" s="94" t="s">
        <v>293</v>
      </c>
      <c r="F157" s="94" t="s">
        <v>228</v>
      </c>
      <c r="G157" s="95">
        <v>2000</v>
      </c>
      <c r="H157" s="94">
        <v>178753</v>
      </c>
      <c r="I157" s="95">
        <v>2023</v>
      </c>
      <c r="J157" s="94">
        <v>3</v>
      </c>
      <c r="K157" s="95">
        <v>2023</v>
      </c>
    </row>
    <row r="158" spans="2:11" x14ac:dyDescent="0.2">
      <c r="B158" s="94">
        <v>142</v>
      </c>
      <c r="C158" s="94" t="s">
        <v>268</v>
      </c>
      <c r="D158" s="94" t="s">
        <v>85</v>
      </c>
      <c r="E158" s="94" t="s">
        <v>293</v>
      </c>
      <c r="F158" s="94" t="s">
        <v>228</v>
      </c>
      <c r="G158" s="95">
        <v>2000</v>
      </c>
      <c r="H158" s="94">
        <v>268311</v>
      </c>
      <c r="I158" s="95">
        <v>2023</v>
      </c>
      <c r="J158" s="94">
        <v>4</v>
      </c>
      <c r="K158" s="95">
        <v>2023</v>
      </c>
    </row>
    <row r="159" spans="2:11" x14ac:dyDescent="0.2">
      <c r="B159" s="94">
        <v>143</v>
      </c>
      <c r="C159" s="94" t="s">
        <v>268</v>
      </c>
      <c r="D159" s="94" t="s">
        <v>85</v>
      </c>
      <c r="E159" s="94" t="s">
        <v>293</v>
      </c>
      <c r="F159" s="94" t="s">
        <v>228</v>
      </c>
      <c r="G159" s="95">
        <v>2000</v>
      </c>
      <c r="H159" s="94">
        <v>35053</v>
      </c>
      <c r="I159" s="95">
        <v>2023</v>
      </c>
      <c r="J159" s="94">
        <v>5</v>
      </c>
      <c r="K159" s="95">
        <v>2023</v>
      </c>
    </row>
    <row r="160" spans="2:11" x14ac:dyDescent="0.2">
      <c r="B160" s="94">
        <v>144</v>
      </c>
      <c r="C160" s="94" t="s">
        <v>268</v>
      </c>
      <c r="D160" s="94" t="s">
        <v>85</v>
      </c>
      <c r="E160" s="94" t="s">
        <v>293</v>
      </c>
      <c r="F160" s="94" t="s">
        <v>228</v>
      </c>
      <c r="G160" s="95">
        <v>2000</v>
      </c>
      <c r="H160" s="94">
        <v>341648</v>
      </c>
      <c r="I160" s="95">
        <v>2023</v>
      </c>
      <c r="J160" s="94">
        <v>6</v>
      </c>
      <c r="K160" s="95">
        <v>2023</v>
      </c>
    </row>
    <row r="161" spans="2:11" x14ac:dyDescent="0.2">
      <c r="B161" s="94">
        <v>145</v>
      </c>
      <c r="C161" s="94" t="s">
        <v>268</v>
      </c>
      <c r="D161" s="94" t="s">
        <v>85</v>
      </c>
      <c r="E161" s="94" t="s">
        <v>293</v>
      </c>
      <c r="F161" s="94" t="s">
        <v>228</v>
      </c>
      <c r="G161" s="95">
        <v>2000</v>
      </c>
      <c r="H161" s="94">
        <v>7432359</v>
      </c>
      <c r="I161" s="95">
        <v>2023</v>
      </c>
      <c r="J161" s="94">
        <v>7</v>
      </c>
      <c r="K161" s="95">
        <v>2023</v>
      </c>
    </row>
    <row r="162" spans="2:11" x14ac:dyDescent="0.2">
      <c r="B162" s="94">
        <v>146</v>
      </c>
      <c r="C162" s="94" t="s">
        <v>268</v>
      </c>
      <c r="D162" s="94" t="s">
        <v>85</v>
      </c>
      <c r="E162" s="94" t="s">
        <v>293</v>
      </c>
      <c r="F162" s="94" t="s">
        <v>228</v>
      </c>
      <c r="G162" s="95">
        <v>2000</v>
      </c>
      <c r="H162" s="94">
        <v>165291</v>
      </c>
      <c r="I162" s="95">
        <v>2023</v>
      </c>
      <c r="J162" s="94">
        <v>8</v>
      </c>
      <c r="K162" s="95">
        <v>2023</v>
      </c>
    </row>
    <row r="163" spans="2:11" x14ac:dyDescent="0.2">
      <c r="B163" s="94">
        <v>147</v>
      </c>
      <c r="C163" s="94" t="s">
        <v>268</v>
      </c>
      <c r="D163" s="94" t="s">
        <v>85</v>
      </c>
      <c r="E163" s="94" t="s">
        <v>293</v>
      </c>
      <c r="F163" s="94" t="s">
        <v>228</v>
      </c>
      <c r="G163" s="95">
        <v>2000</v>
      </c>
      <c r="H163" s="94">
        <v>188420</v>
      </c>
      <c r="I163" s="95">
        <v>2023</v>
      </c>
      <c r="J163" s="94">
        <v>9</v>
      </c>
      <c r="K163" s="95">
        <v>2023</v>
      </c>
    </row>
    <row r="164" spans="2:11" x14ac:dyDescent="0.2">
      <c r="B164" s="94">
        <v>148</v>
      </c>
      <c r="C164" s="94" t="s">
        <v>268</v>
      </c>
      <c r="D164" s="94" t="s">
        <v>85</v>
      </c>
      <c r="E164" s="94" t="s">
        <v>293</v>
      </c>
      <c r="F164" s="94" t="s">
        <v>228</v>
      </c>
      <c r="G164" s="95">
        <v>2000</v>
      </c>
      <c r="H164" s="94">
        <v>489762</v>
      </c>
      <c r="I164" s="95">
        <v>2023</v>
      </c>
      <c r="J164" s="94">
        <v>10</v>
      </c>
      <c r="K164" s="95">
        <v>2023</v>
      </c>
    </row>
    <row r="165" spans="2:11" x14ac:dyDescent="0.2">
      <c r="B165" s="94">
        <v>149</v>
      </c>
      <c r="C165" s="94" t="s">
        <v>268</v>
      </c>
      <c r="D165" s="94" t="s">
        <v>85</v>
      </c>
      <c r="E165" s="94" t="s">
        <v>293</v>
      </c>
      <c r="F165" s="94" t="s">
        <v>228</v>
      </c>
      <c r="G165" s="95">
        <v>2000</v>
      </c>
      <c r="H165" s="94">
        <v>480162</v>
      </c>
      <c r="I165" s="95">
        <v>2023</v>
      </c>
      <c r="J165" s="94">
        <v>11</v>
      </c>
      <c r="K165" s="95">
        <v>2023</v>
      </c>
    </row>
    <row r="166" spans="2:11" x14ac:dyDescent="0.2">
      <c r="B166" s="94">
        <v>150</v>
      </c>
      <c r="C166" s="94" t="s">
        <v>268</v>
      </c>
      <c r="D166" s="94" t="s">
        <v>85</v>
      </c>
      <c r="E166" s="94" t="s">
        <v>293</v>
      </c>
      <c r="F166" s="94" t="s">
        <v>228</v>
      </c>
      <c r="G166" s="95">
        <v>2000</v>
      </c>
      <c r="H166" s="94">
        <v>538586</v>
      </c>
      <c r="I166" s="95">
        <v>2023</v>
      </c>
      <c r="J166" s="94">
        <v>12</v>
      </c>
      <c r="K166" s="95">
        <v>2023</v>
      </c>
    </row>
    <row r="167" spans="2:11" x14ac:dyDescent="0.2">
      <c r="B167" s="94">
        <v>151</v>
      </c>
      <c r="C167" s="94" t="s">
        <v>268</v>
      </c>
      <c r="D167" s="94" t="s">
        <v>85</v>
      </c>
      <c r="E167" s="94" t="s">
        <v>293</v>
      </c>
      <c r="F167" s="94" t="s">
        <v>228</v>
      </c>
      <c r="G167" s="95">
        <v>2000</v>
      </c>
      <c r="H167" s="94">
        <v>438804</v>
      </c>
      <c r="I167" s="95">
        <v>2023</v>
      </c>
      <c r="J167" s="94">
        <v>13</v>
      </c>
      <c r="K167" s="95">
        <v>2023</v>
      </c>
    </row>
    <row r="168" spans="2:11" x14ac:dyDescent="0.2">
      <c r="B168" s="94">
        <v>152</v>
      </c>
      <c r="C168" s="94" t="s">
        <v>268</v>
      </c>
      <c r="D168" s="94" t="s">
        <v>86</v>
      </c>
      <c r="E168" s="94" t="s">
        <v>293</v>
      </c>
      <c r="F168" s="94" t="s">
        <v>231</v>
      </c>
      <c r="G168" s="95">
        <v>2008</v>
      </c>
      <c r="H168" s="94">
        <v>60501</v>
      </c>
      <c r="I168" s="95">
        <v>2023</v>
      </c>
      <c r="J168" s="94">
        <v>1</v>
      </c>
      <c r="K168" s="95">
        <v>2023</v>
      </c>
    </row>
    <row r="169" spans="2:11" x14ac:dyDescent="0.2">
      <c r="B169" s="94">
        <v>153</v>
      </c>
      <c r="C169" s="94" t="s">
        <v>268</v>
      </c>
      <c r="D169" s="94" t="s">
        <v>86</v>
      </c>
      <c r="E169" s="94" t="s">
        <v>293</v>
      </c>
      <c r="F169" s="94" t="s">
        <v>231</v>
      </c>
      <c r="G169" s="95">
        <v>2008</v>
      </c>
      <c r="H169" s="94">
        <v>1490122</v>
      </c>
      <c r="I169" s="95">
        <v>2023</v>
      </c>
      <c r="J169" s="94">
        <v>3</v>
      </c>
      <c r="K169" s="95">
        <v>2023</v>
      </c>
    </row>
    <row r="170" spans="2:11" x14ac:dyDescent="0.2">
      <c r="B170" s="94">
        <v>154</v>
      </c>
      <c r="C170" s="94" t="s">
        <v>268</v>
      </c>
      <c r="D170" s="94" t="s">
        <v>86</v>
      </c>
      <c r="E170" s="94" t="s">
        <v>293</v>
      </c>
      <c r="F170" s="94" t="s">
        <v>231</v>
      </c>
      <c r="G170" s="95">
        <v>2008</v>
      </c>
      <c r="H170" s="94">
        <v>121525</v>
      </c>
      <c r="I170" s="95">
        <v>2023</v>
      </c>
      <c r="J170" s="94">
        <v>6</v>
      </c>
      <c r="K170" s="95">
        <v>2023</v>
      </c>
    </row>
    <row r="171" spans="2:11" x14ac:dyDescent="0.2">
      <c r="B171" s="94">
        <v>155</v>
      </c>
      <c r="C171" s="94" t="s">
        <v>268</v>
      </c>
      <c r="D171" s="94" t="s">
        <v>86</v>
      </c>
      <c r="E171" s="94" t="s">
        <v>293</v>
      </c>
      <c r="F171" s="94" t="s">
        <v>231</v>
      </c>
      <c r="G171" s="95">
        <v>2008</v>
      </c>
      <c r="H171" s="94">
        <v>1900</v>
      </c>
      <c r="I171" s="95">
        <v>2023</v>
      </c>
      <c r="J171" s="94">
        <v>7</v>
      </c>
      <c r="K171" s="95">
        <v>2023</v>
      </c>
    </row>
    <row r="172" spans="2:11" x14ac:dyDescent="0.2">
      <c r="B172" s="94">
        <v>156</v>
      </c>
      <c r="C172" s="94" t="s">
        <v>268</v>
      </c>
      <c r="D172" s="94" t="s">
        <v>86</v>
      </c>
      <c r="E172" s="94" t="s">
        <v>293</v>
      </c>
      <c r="F172" s="94" t="s">
        <v>231</v>
      </c>
      <c r="G172" s="95">
        <v>2008</v>
      </c>
      <c r="H172" s="94">
        <v>19839</v>
      </c>
      <c r="I172" s="95">
        <v>2023</v>
      </c>
      <c r="J172" s="94">
        <v>8</v>
      </c>
      <c r="K172" s="95">
        <v>2023</v>
      </c>
    </row>
    <row r="173" spans="2:11" x14ac:dyDescent="0.2">
      <c r="B173" s="94">
        <v>157</v>
      </c>
      <c r="C173" s="94" t="s">
        <v>268</v>
      </c>
      <c r="D173" s="94" t="s">
        <v>86</v>
      </c>
      <c r="E173" s="94" t="s">
        <v>293</v>
      </c>
      <c r="F173" s="94" t="s">
        <v>231</v>
      </c>
      <c r="G173" s="95">
        <v>2008</v>
      </c>
      <c r="H173" s="94">
        <v>216461</v>
      </c>
      <c r="I173" s="95">
        <v>2023</v>
      </c>
      <c r="J173" s="94">
        <v>10</v>
      </c>
      <c r="K173" s="95">
        <v>2023</v>
      </c>
    </row>
    <row r="174" spans="2:11" x14ac:dyDescent="0.2">
      <c r="B174" s="94">
        <v>158</v>
      </c>
      <c r="C174" s="94" t="s">
        <v>268</v>
      </c>
      <c r="D174" s="94" t="s">
        <v>86</v>
      </c>
      <c r="E174" s="94" t="s">
        <v>293</v>
      </c>
      <c r="F174" s="94" t="s">
        <v>231</v>
      </c>
      <c r="G174" s="95">
        <v>2008</v>
      </c>
      <c r="H174" s="94">
        <v>22073</v>
      </c>
      <c r="I174" s="95">
        <v>2023</v>
      </c>
      <c r="J174" s="94">
        <v>12</v>
      </c>
      <c r="K174" s="95">
        <v>2023</v>
      </c>
    </row>
    <row r="175" spans="2:11" x14ac:dyDescent="0.2">
      <c r="B175" s="94">
        <v>159</v>
      </c>
      <c r="C175" s="94" t="s">
        <v>268</v>
      </c>
      <c r="D175" s="94" t="s">
        <v>86</v>
      </c>
      <c r="E175" s="94" t="s">
        <v>293</v>
      </c>
      <c r="F175" s="94" t="s">
        <v>230</v>
      </c>
      <c r="G175" s="95">
        <v>2008</v>
      </c>
      <c r="H175" s="94">
        <v>62668</v>
      </c>
      <c r="I175" s="95">
        <v>2023</v>
      </c>
      <c r="J175" s="94">
        <v>1</v>
      </c>
      <c r="K175" s="95">
        <v>2023</v>
      </c>
    </row>
    <row r="176" spans="2:11" x14ac:dyDescent="0.2">
      <c r="B176" s="94">
        <v>160</v>
      </c>
      <c r="C176" s="94" t="s">
        <v>268</v>
      </c>
      <c r="D176" s="94" t="s">
        <v>86</v>
      </c>
      <c r="E176" s="94" t="s">
        <v>293</v>
      </c>
      <c r="F176" s="94" t="s">
        <v>230</v>
      </c>
      <c r="G176" s="95">
        <v>2008</v>
      </c>
      <c r="H176" s="94">
        <v>17567</v>
      </c>
      <c r="I176" s="95">
        <v>2023</v>
      </c>
      <c r="J176" s="94">
        <v>4</v>
      </c>
      <c r="K176" s="95">
        <v>2023</v>
      </c>
    </row>
    <row r="177" spans="2:11" x14ac:dyDescent="0.2">
      <c r="B177" s="94">
        <v>161</v>
      </c>
      <c r="C177" s="94" t="s">
        <v>268</v>
      </c>
      <c r="D177" s="94" t="s">
        <v>86</v>
      </c>
      <c r="E177" s="94" t="s">
        <v>293</v>
      </c>
      <c r="F177" s="94" t="s">
        <v>230</v>
      </c>
      <c r="G177" s="95">
        <v>2008</v>
      </c>
      <c r="H177" s="94">
        <v>71185</v>
      </c>
      <c r="I177" s="95">
        <v>2023</v>
      </c>
      <c r="J177" s="94">
        <v>5</v>
      </c>
      <c r="K177" s="95">
        <v>2023</v>
      </c>
    </row>
    <row r="178" spans="2:11" x14ac:dyDescent="0.2">
      <c r="B178" s="94">
        <v>162</v>
      </c>
      <c r="C178" s="94" t="s">
        <v>268</v>
      </c>
      <c r="D178" s="94" t="s">
        <v>86</v>
      </c>
      <c r="E178" s="94" t="s">
        <v>293</v>
      </c>
      <c r="F178" s="94" t="s">
        <v>230</v>
      </c>
      <c r="G178" s="95">
        <v>2008</v>
      </c>
      <c r="H178" s="94">
        <v>110734</v>
      </c>
      <c r="I178" s="95">
        <v>2023</v>
      </c>
      <c r="J178" s="94">
        <v>6</v>
      </c>
      <c r="K178" s="95">
        <v>2023</v>
      </c>
    </row>
    <row r="179" spans="2:11" x14ac:dyDescent="0.2">
      <c r="B179" s="94">
        <v>163</v>
      </c>
      <c r="C179" s="94" t="s">
        <v>268</v>
      </c>
      <c r="D179" s="94" t="s">
        <v>86</v>
      </c>
      <c r="E179" s="94" t="s">
        <v>293</v>
      </c>
      <c r="F179" s="94" t="s">
        <v>230</v>
      </c>
      <c r="G179" s="95">
        <v>2008</v>
      </c>
      <c r="H179" s="94">
        <v>372227</v>
      </c>
      <c r="I179" s="95">
        <v>2023</v>
      </c>
      <c r="J179" s="94">
        <v>8</v>
      </c>
      <c r="K179" s="95">
        <v>2023</v>
      </c>
    </row>
    <row r="180" spans="2:11" x14ac:dyDescent="0.2">
      <c r="B180" s="94">
        <v>164</v>
      </c>
      <c r="C180" s="94" t="s">
        <v>268</v>
      </c>
      <c r="D180" s="94" t="s">
        <v>86</v>
      </c>
      <c r="E180" s="94" t="s">
        <v>293</v>
      </c>
      <c r="F180" s="94" t="s">
        <v>230</v>
      </c>
      <c r="G180" s="95">
        <v>2008</v>
      </c>
      <c r="H180" s="94">
        <v>3743</v>
      </c>
      <c r="I180" s="95">
        <v>2023</v>
      </c>
      <c r="J180" s="94">
        <v>9</v>
      </c>
      <c r="K180" s="95">
        <v>2023</v>
      </c>
    </row>
    <row r="181" spans="2:11" x14ac:dyDescent="0.2">
      <c r="B181" s="94">
        <v>165</v>
      </c>
      <c r="C181" s="94" t="s">
        <v>268</v>
      </c>
      <c r="D181" s="94" t="s">
        <v>86</v>
      </c>
      <c r="E181" s="94" t="s">
        <v>293</v>
      </c>
      <c r="F181" s="94" t="s">
        <v>230</v>
      </c>
      <c r="G181" s="95">
        <v>2008</v>
      </c>
      <c r="H181" s="94">
        <v>2917617</v>
      </c>
      <c r="I181" s="95">
        <v>2023</v>
      </c>
      <c r="J181" s="94">
        <v>10</v>
      </c>
      <c r="K181" s="95">
        <v>2023</v>
      </c>
    </row>
    <row r="182" spans="2:11" x14ac:dyDescent="0.2">
      <c r="B182" s="94">
        <v>166</v>
      </c>
      <c r="C182" s="94" t="s">
        <v>268</v>
      </c>
      <c r="D182" s="94" t="s">
        <v>86</v>
      </c>
      <c r="E182" s="94" t="s">
        <v>293</v>
      </c>
      <c r="F182" s="94" t="s">
        <v>233</v>
      </c>
      <c r="G182" s="95">
        <v>2015</v>
      </c>
      <c r="H182" s="94">
        <v>121968</v>
      </c>
      <c r="I182" s="95">
        <v>2023</v>
      </c>
      <c r="J182" s="94">
        <v>1</v>
      </c>
      <c r="K182" s="95">
        <v>2023</v>
      </c>
    </row>
    <row r="183" spans="2:11" x14ac:dyDescent="0.2">
      <c r="B183" s="94">
        <v>167</v>
      </c>
      <c r="C183" s="94" t="s">
        <v>268</v>
      </c>
      <c r="D183" s="94" t="s">
        <v>86</v>
      </c>
      <c r="E183" s="94" t="s">
        <v>293</v>
      </c>
      <c r="F183" s="94" t="s">
        <v>234</v>
      </c>
      <c r="G183" s="95">
        <v>2015</v>
      </c>
      <c r="H183" s="94">
        <v>16927</v>
      </c>
      <c r="I183" s="95">
        <v>2023</v>
      </c>
      <c r="J183" s="94">
        <v>1</v>
      </c>
      <c r="K183" s="95">
        <v>2023</v>
      </c>
    </row>
    <row r="184" spans="2:11" x14ac:dyDescent="0.2">
      <c r="B184" s="94">
        <v>168</v>
      </c>
      <c r="C184" s="94" t="s">
        <v>268</v>
      </c>
      <c r="D184" s="94" t="s">
        <v>86</v>
      </c>
      <c r="E184" s="94" t="s">
        <v>293</v>
      </c>
      <c r="F184" s="94" t="s">
        <v>234</v>
      </c>
      <c r="G184" s="95">
        <v>2015</v>
      </c>
      <c r="H184" s="94">
        <v>246216</v>
      </c>
      <c r="I184" s="95">
        <v>2023</v>
      </c>
      <c r="J184" s="94">
        <v>10</v>
      </c>
      <c r="K184" s="95">
        <v>2023</v>
      </c>
    </row>
    <row r="185" spans="2:11" x14ac:dyDescent="0.2">
      <c r="B185" s="94">
        <v>169</v>
      </c>
      <c r="C185" s="94" t="s">
        <v>268</v>
      </c>
      <c r="D185" s="94" t="s">
        <v>86</v>
      </c>
      <c r="E185" s="94" t="s">
        <v>293</v>
      </c>
      <c r="F185" s="94" t="s">
        <v>232</v>
      </c>
      <c r="G185" s="95">
        <v>2008</v>
      </c>
      <c r="H185" s="94">
        <v>362282</v>
      </c>
      <c r="I185" s="95">
        <v>2023</v>
      </c>
      <c r="J185" s="94">
        <v>6</v>
      </c>
      <c r="K185" s="95">
        <v>2023</v>
      </c>
    </row>
    <row r="186" spans="2:11" x14ac:dyDescent="0.2">
      <c r="B186" s="94">
        <v>170</v>
      </c>
      <c r="C186" s="94" t="s">
        <v>268</v>
      </c>
      <c r="D186" s="94" t="s">
        <v>86</v>
      </c>
      <c r="E186" s="94" t="s">
        <v>293</v>
      </c>
      <c r="F186" s="94" t="s">
        <v>232</v>
      </c>
      <c r="G186" s="95">
        <v>2008</v>
      </c>
      <c r="H186" s="94">
        <v>9293015</v>
      </c>
      <c r="I186" s="95">
        <v>2023</v>
      </c>
      <c r="J186" s="94">
        <v>10</v>
      </c>
      <c r="K186" s="95">
        <v>2023</v>
      </c>
    </row>
    <row r="187" spans="2:11" x14ac:dyDescent="0.2">
      <c r="B187" s="94">
        <v>171</v>
      </c>
      <c r="C187" s="94" t="s">
        <v>268</v>
      </c>
      <c r="D187" s="94" t="s">
        <v>85</v>
      </c>
      <c r="E187" s="94" t="s">
        <v>293</v>
      </c>
      <c r="F187" s="94" t="s">
        <v>228</v>
      </c>
      <c r="G187" s="95">
        <v>2000</v>
      </c>
      <c r="H187" s="94">
        <v>469656</v>
      </c>
      <c r="I187" s="95">
        <v>2023</v>
      </c>
      <c r="J187" s="94">
        <v>8</v>
      </c>
      <c r="K187" s="95">
        <v>2023</v>
      </c>
    </row>
    <row r="188" spans="2:11" x14ac:dyDescent="0.2">
      <c r="B188" s="94">
        <v>172</v>
      </c>
      <c r="C188" s="94" t="s">
        <v>268</v>
      </c>
      <c r="D188" s="94" t="s">
        <v>85</v>
      </c>
      <c r="E188" s="94" t="s">
        <v>293</v>
      </c>
      <c r="F188" s="94" t="s">
        <v>228</v>
      </c>
      <c r="G188" s="95">
        <v>2000</v>
      </c>
      <c r="H188" s="94">
        <v>6526</v>
      </c>
      <c r="I188" s="95">
        <v>2023</v>
      </c>
      <c r="J188" s="94">
        <v>12</v>
      </c>
      <c r="K188" s="95">
        <v>2023</v>
      </c>
    </row>
    <row r="189" spans="2:11" x14ac:dyDescent="0.2">
      <c r="B189" s="94">
        <v>173</v>
      </c>
      <c r="C189" s="94" t="s">
        <v>268</v>
      </c>
      <c r="D189" s="94" t="s">
        <v>86</v>
      </c>
      <c r="E189" s="94" t="s">
        <v>293</v>
      </c>
      <c r="F189" s="94" t="s">
        <v>231</v>
      </c>
      <c r="G189" s="95">
        <v>2008</v>
      </c>
      <c r="H189" s="94">
        <v>318594</v>
      </c>
      <c r="I189" s="95">
        <v>2023</v>
      </c>
      <c r="J189" s="94">
        <v>7</v>
      </c>
      <c r="K189" s="95">
        <v>2023</v>
      </c>
    </row>
    <row r="190" spans="2:11" x14ac:dyDescent="0.2">
      <c r="B190" s="94">
        <v>174</v>
      </c>
      <c r="C190" s="94" t="s">
        <v>267</v>
      </c>
      <c r="D190" s="94" t="s">
        <v>85</v>
      </c>
      <c r="E190" s="94" t="s">
        <v>293</v>
      </c>
      <c r="F190" s="94" t="s">
        <v>249</v>
      </c>
      <c r="G190" s="95">
        <v>2005</v>
      </c>
      <c r="H190" s="94">
        <v>2396</v>
      </c>
      <c r="I190" s="95">
        <v>2023</v>
      </c>
      <c r="J190" s="94">
        <v>12</v>
      </c>
      <c r="K190" s="95">
        <v>2023</v>
      </c>
    </row>
    <row r="191" spans="2:11" x14ac:dyDescent="0.2">
      <c r="B191" s="94">
        <v>175</v>
      </c>
      <c r="C191" s="94" t="s">
        <v>267</v>
      </c>
      <c r="D191" s="94" t="s">
        <v>85</v>
      </c>
      <c r="E191" s="94" t="s">
        <v>293</v>
      </c>
      <c r="F191" s="94" t="s">
        <v>249</v>
      </c>
      <c r="G191" s="95">
        <v>2006</v>
      </c>
      <c r="H191" s="94">
        <v>5257</v>
      </c>
      <c r="I191" s="95">
        <v>2023</v>
      </c>
      <c r="J191" s="94">
        <v>12</v>
      </c>
      <c r="K191" s="95">
        <v>2023</v>
      </c>
    </row>
    <row r="192" spans="2:11" x14ac:dyDescent="0.2">
      <c r="B192" s="94">
        <v>176</v>
      </c>
      <c r="C192" s="94" t="s">
        <v>267</v>
      </c>
      <c r="D192" s="94" t="s">
        <v>85</v>
      </c>
      <c r="E192" s="94" t="s">
        <v>293</v>
      </c>
      <c r="F192" s="94" t="s">
        <v>249</v>
      </c>
      <c r="G192" s="95">
        <v>2006</v>
      </c>
      <c r="H192" s="94">
        <v>1084</v>
      </c>
      <c r="I192" s="95">
        <v>2023</v>
      </c>
      <c r="J192" s="94">
        <v>12</v>
      </c>
      <c r="K192" s="95">
        <v>2023</v>
      </c>
    </row>
    <row r="193" spans="2:11" x14ac:dyDescent="0.2">
      <c r="B193" s="94">
        <v>177</v>
      </c>
      <c r="C193" s="94" t="s">
        <v>267</v>
      </c>
      <c r="D193" s="94" t="s">
        <v>85</v>
      </c>
      <c r="E193" s="94" t="s">
        <v>293</v>
      </c>
      <c r="F193" s="94" t="s">
        <v>249</v>
      </c>
      <c r="G193" s="95">
        <v>2007</v>
      </c>
      <c r="H193" s="94">
        <v>3183</v>
      </c>
      <c r="I193" s="95">
        <v>2023</v>
      </c>
      <c r="J193" s="94">
        <v>12</v>
      </c>
      <c r="K193" s="95">
        <v>2023</v>
      </c>
    </row>
    <row r="194" spans="2:11" x14ac:dyDescent="0.2">
      <c r="B194" s="94">
        <v>178</v>
      </c>
      <c r="C194" s="94" t="s">
        <v>267</v>
      </c>
      <c r="D194" s="94" t="s">
        <v>85</v>
      </c>
      <c r="E194" s="94" t="s">
        <v>293</v>
      </c>
      <c r="F194" s="94" t="s">
        <v>249</v>
      </c>
      <c r="G194" s="95">
        <v>2005</v>
      </c>
      <c r="H194" s="94">
        <v>26455</v>
      </c>
      <c r="I194" s="95">
        <v>2023</v>
      </c>
      <c r="J194" s="94">
        <v>12</v>
      </c>
      <c r="K194" s="95">
        <v>2023</v>
      </c>
    </row>
    <row r="195" spans="2:11" x14ac:dyDescent="0.2">
      <c r="B195" s="94">
        <v>179</v>
      </c>
      <c r="C195" s="94" t="s">
        <v>267</v>
      </c>
      <c r="D195" s="94" t="s">
        <v>85</v>
      </c>
      <c r="E195" s="94" t="s">
        <v>293</v>
      </c>
      <c r="F195" s="94" t="s">
        <v>249</v>
      </c>
      <c r="G195" s="95">
        <v>2006</v>
      </c>
      <c r="H195" s="94">
        <v>23576</v>
      </c>
      <c r="I195" s="95">
        <v>2023</v>
      </c>
      <c r="J195" s="94">
        <v>12</v>
      </c>
      <c r="K195" s="95">
        <v>2023</v>
      </c>
    </row>
    <row r="196" spans="2:11" x14ac:dyDescent="0.2">
      <c r="B196" s="94">
        <v>180</v>
      </c>
      <c r="C196" s="94" t="s">
        <v>267</v>
      </c>
      <c r="D196" s="94" t="s">
        <v>85</v>
      </c>
      <c r="E196" s="94" t="s">
        <v>293</v>
      </c>
      <c r="F196" s="94" t="s">
        <v>249</v>
      </c>
      <c r="G196" s="95">
        <v>2006</v>
      </c>
      <c r="H196" s="94">
        <v>2656</v>
      </c>
      <c r="I196" s="95">
        <v>2023</v>
      </c>
      <c r="J196" s="94">
        <v>12</v>
      </c>
      <c r="K196" s="95">
        <v>2023</v>
      </c>
    </row>
    <row r="197" spans="2:11" x14ac:dyDescent="0.2">
      <c r="B197" s="94">
        <v>181</v>
      </c>
      <c r="C197" s="94" t="s">
        <v>267</v>
      </c>
      <c r="D197" s="94" t="s">
        <v>85</v>
      </c>
      <c r="E197" s="94" t="s">
        <v>293</v>
      </c>
      <c r="F197" s="94" t="s">
        <v>249</v>
      </c>
      <c r="G197" s="95">
        <v>2007</v>
      </c>
      <c r="H197" s="94">
        <v>50123</v>
      </c>
      <c r="I197" s="95">
        <v>2023</v>
      </c>
      <c r="J197" s="94">
        <v>12</v>
      </c>
      <c r="K197" s="95">
        <v>2023</v>
      </c>
    </row>
    <row r="198" spans="2:11" x14ac:dyDescent="0.2">
      <c r="B198" s="94">
        <v>182</v>
      </c>
      <c r="C198" s="94" t="s">
        <v>267</v>
      </c>
      <c r="D198" s="94" t="s">
        <v>85</v>
      </c>
      <c r="E198" s="94" t="s">
        <v>293</v>
      </c>
      <c r="F198" s="94" t="s">
        <v>260</v>
      </c>
      <c r="G198" s="95">
        <v>2014</v>
      </c>
      <c r="H198" s="94">
        <v>491420</v>
      </c>
      <c r="I198" s="95">
        <v>2023</v>
      </c>
      <c r="J198" s="94">
        <v>2</v>
      </c>
      <c r="K198" s="95">
        <v>2023</v>
      </c>
    </row>
    <row r="199" spans="2:11" x14ac:dyDescent="0.2">
      <c r="B199" s="94">
        <v>183</v>
      </c>
      <c r="C199" s="94" t="s">
        <v>267</v>
      </c>
      <c r="D199" s="94" t="s">
        <v>85</v>
      </c>
      <c r="E199" s="94" t="s">
        <v>293</v>
      </c>
      <c r="F199" s="94" t="s">
        <v>260</v>
      </c>
      <c r="G199" s="95">
        <v>2014</v>
      </c>
      <c r="H199" s="94">
        <v>18532</v>
      </c>
      <c r="I199" s="95">
        <v>2023</v>
      </c>
      <c r="J199" s="94">
        <v>2</v>
      </c>
      <c r="K199" s="95">
        <v>2023</v>
      </c>
    </row>
    <row r="200" spans="2:11" x14ac:dyDescent="0.2">
      <c r="B200" s="94">
        <v>184</v>
      </c>
      <c r="C200" s="94" t="s">
        <v>267</v>
      </c>
      <c r="D200" s="94" t="s">
        <v>85</v>
      </c>
      <c r="E200" s="94" t="s">
        <v>293</v>
      </c>
      <c r="F200" s="94" t="s">
        <v>260</v>
      </c>
      <c r="G200" s="95">
        <v>2018</v>
      </c>
      <c r="H200" s="94">
        <v>127353</v>
      </c>
      <c r="I200" s="95">
        <v>2023</v>
      </c>
      <c r="J200" s="94">
        <v>12</v>
      </c>
      <c r="K200" s="95">
        <v>2023</v>
      </c>
    </row>
    <row r="201" spans="2:11" x14ac:dyDescent="0.2">
      <c r="B201" s="94">
        <v>185</v>
      </c>
      <c r="C201" s="94" t="s">
        <v>268</v>
      </c>
      <c r="D201" s="94" t="s">
        <v>85</v>
      </c>
      <c r="E201" s="94" t="s">
        <v>293</v>
      </c>
      <c r="F201" s="94" t="s">
        <v>249</v>
      </c>
      <c r="G201" s="95">
        <v>2005</v>
      </c>
      <c r="H201" s="94">
        <v>4556</v>
      </c>
      <c r="I201" s="95">
        <v>2023</v>
      </c>
      <c r="J201" s="94">
        <v>12</v>
      </c>
      <c r="K201" s="95">
        <v>2023</v>
      </c>
    </row>
    <row r="202" spans="2:11" x14ac:dyDescent="0.2">
      <c r="B202" s="94">
        <v>186</v>
      </c>
      <c r="C202" s="94" t="s">
        <v>268</v>
      </c>
      <c r="D202" s="94" t="s">
        <v>85</v>
      </c>
      <c r="E202" s="94" t="s">
        <v>293</v>
      </c>
      <c r="F202" s="94" t="s">
        <v>249</v>
      </c>
      <c r="G202" s="95">
        <v>2006</v>
      </c>
      <c r="H202" s="94">
        <v>10514</v>
      </c>
      <c r="I202" s="95">
        <v>2023</v>
      </c>
      <c r="J202" s="94">
        <v>12</v>
      </c>
      <c r="K202" s="95">
        <v>2023</v>
      </c>
    </row>
    <row r="203" spans="2:11" x14ac:dyDescent="0.2">
      <c r="B203" s="94">
        <v>187</v>
      </c>
      <c r="C203" s="94" t="s">
        <v>268</v>
      </c>
      <c r="D203" s="94" t="s">
        <v>85</v>
      </c>
      <c r="E203" s="94" t="s">
        <v>293</v>
      </c>
      <c r="F203" s="94" t="s">
        <v>249</v>
      </c>
      <c r="G203" s="95">
        <v>2006</v>
      </c>
      <c r="H203" s="94">
        <v>2168</v>
      </c>
      <c r="I203" s="95">
        <v>2023</v>
      </c>
      <c r="J203" s="94">
        <v>12</v>
      </c>
      <c r="K203" s="95">
        <v>2023</v>
      </c>
    </row>
    <row r="204" spans="2:11" x14ac:dyDescent="0.2">
      <c r="B204" s="94">
        <v>188</v>
      </c>
      <c r="C204" s="94" t="s">
        <v>268</v>
      </c>
      <c r="D204" s="94" t="s">
        <v>85</v>
      </c>
      <c r="E204" s="94" t="s">
        <v>293</v>
      </c>
      <c r="F204" s="94" t="s">
        <v>249</v>
      </c>
      <c r="G204" s="95">
        <v>2007</v>
      </c>
      <c r="H204" s="94">
        <v>6365</v>
      </c>
      <c r="I204" s="95">
        <v>2023</v>
      </c>
      <c r="J204" s="94">
        <v>12</v>
      </c>
      <c r="K204" s="95">
        <v>2023</v>
      </c>
    </row>
    <row r="205" spans="2:11" x14ac:dyDescent="0.2">
      <c r="B205" s="94">
        <v>189</v>
      </c>
      <c r="C205" s="94" t="s">
        <v>268</v>
      </c>
      <c r="D205" s="94" t="s">
        <v>85</v>
      </c>
      <c r="E205" s="94" t="s">
        <v>293</v>
      </c>
      <c r="F205" s="94" t="s">
        <v>249</v>
      </c>
      <c r="G205" s="95">
        <v>2005</v>
      </c>
      <c r="H205" s="94">
        <v>50303</v>
      </c>
      <c r="I205" s="95">
        <v>2023</v>
      </c>
      <c r="J205" s="94">
        <v>12</v>
      </c>
      <c r="K205" s="95">
        <v>2023</v>
      </c>
    </row>
    <row r="206" spans="2:11" x14ac:dyDescent="0.2">
      <c r="B206" s="94">
        <v>190</v>
      </c>
      <c r="C206" s="94" t="s">
        <v>268</v>
      </c>
      <c r="D206" s="94" t="s">
        <v>85</v>
      </c>
      <c r="E206" s="94" t="s">
        <v>293</v>
      </c>
      <c r="F206" s="94" t="s">
        <v>249</v>
      </c>
      <c r="G206" s="95">
        <v>2006</v>
      </c>
      <c r="H206" s="94">
        <v>47152</v>
      </c>
      <c r="I206" s="95">
        <v>2023</v>
      </c>
      <c r="J206" s="94">
        <v>12</v>
      </c>
      <c r="K206" s="95">
        <v>2023</v>
      </c>
    </row>
    <row r="207" spans="2:11" x14ac:dyDescent="0.2">
      <c r="B207" s="94">
        <v>191</v>
      </c>
      <c r="C207" s="94" t="s">
        <v>268</v>
      </c>
      <c r="D207" s="94" t="s">
        <v>85</v>
      </c>
      <c r="E207" s="94" t="s">
        <v>293</v>
      </c>
      <c r="F207" s="94" t="s">
        <v>249</v>
      </c>
      <c r="G207" s="95">
        <v>2006</v>
      </c>
      <c r="H207" s="94">
        <v>5311</v>
      </c>
      <c r="I207" s="95">
        <v>2023</v>
      </c>
      <c r="J207" s="94">
        <v>12</v>
      </c>
      <c r="K207" s="95">
        <v>2023</v>
      </c>
    </row>
    <row r="208" spans="2:11" x14ac:dyDescent="0.2">
      <c r="B208" s="94">
        <v>192</v>
      </c>
      <c r="C208" s="94" t="s">
        <v>268</v>
      </c>
      <c r="D208" s="94" t="s">
        <v>85</v>
      </c>
      <c r="E208" s="94" t="s">
        <v>293</v>
      </c>
      <c r="F208" s="94" t="s">
        <v>249</v>
      </c>
      <c r="G208" s="95">
        <v>2007</v>
      </c>
      <c r="H208" s="94">
        <v>98889</v>
      </c>
      <c r="I208" s="95">
        <v>2023</v>
      </c>
      <c r="J208" s="94">
        <v>12</v>
      </c>
      <c r="K208" s="95">
        <v>2023</v>
      </c>
    </row>
    <row r="209" spans="2:11" x14ac:dyDescent="0.2">
      <c r="B209" s="94">
        <v>193</v>
      </c>
      <c r="C209" s="94" t="s">
        <v>268</v>
      </c>
      <c r="D209" s="94" t="s">
        <v>85</v>
      </c>
      <c r="E209" s="94" t="s">
        <v>293</v>
      </c>
      <c r="F209" s="94" t="s">
        <v>260</v>
      </c>
      <c r="G209" s="95">
        <v>2014</v>
      </c>
      <c r="H209" s="94">
        <v>383440</v>
      </c>
      <c r="I209" s="95">
        <v>2023</v>
      </c>
      <c r="J209" s="94">
        <v>2</v>
      </c>
      <c r="K209" s="95">
        <v>2023</v>
      </c>
    </row>
    <row r="210" spans="2:11" x14ac:dyDescent="0.2">
      <c r="B210" s="94">
        <v>194</v>
      </c>
      <c r="C210" s="94" t="s">
        <v>268</v>
      </c>
      <c r="D210" s="94" t="s">
        <v>85</v>
      </c>
      <c r="E210" s="94" t="s">
        <v>293</v>
      </c>
      <c r="F210" s="94" t="s">
        <v>260</v>
      </c>
      <c r="G210" s="95">
        <v>2014</v>
      </c>
      <c r="H210" s="94">
        <v>14460</v>
      </c>
      <c r="I210" s="95">
        <v>2023</v>
      </c>
      <c r="J210" s="94">
        <v>2</v>
      </c>
      <c r="K210" s="95">
        <v>2023</v>
      </c>
    </row>
    <row r="211" spans="2:11" x14ac:dyDescent="0.2">
      <c r="B211" s="94">
        <v>195</v>
      </c>
      <c r="C211" s="94" t="s">
        <v>268</v>
      </c>
      <c r="D211" s="94" t="s">
        <v>85</v>
      </c>
      <c r="E211" s="94" t="s">
        <v>293</v>
      </c>
      <c r="F211" s="94" t="s">
        <v>257</v>
      </c>
      <c r="G211" s="95">
        <v>2017</v>
      </c>
      <c r="H211" s="94">
        <v>3334508</v>
      </c>
      <c r="I211" s="95">
        <v>2023</v>
      </c>
      <c r="J211" s="94">
        <v>1</v>
      </c>
      <c r="K211" s="95">
        <v>2023</v>
      </c>
    </row>
    <row r="212" spans="2:11" x14ac:dyDescent="0.2">
      <c r="B212" s="94">
        <v>196</v>
      </c>
      <c r="C212" s="94" t="s">
        <v>268</v>
      </c>
      <c r="D212" s="94" t="s">
        <v>85</v>
      </c>
      <c r="E212" s="94" t="s">
        <v>293</v>
      </c>
      <c r="F212" s="94" t="s">
        <v>257</v>
      </c>
      <c r="G212" s="95">
        <v>2020</v>
      </c>
      <c r="H212" s="94">
        <v>794850</v>
      </c>
      <c r="I212" s="95">
        <v>2023</v>
      </c>
      <c r="J212" s="94">
        <v>1</v>
      </c>
      <c r="K212" s="95">
        <v>2023</v>
      </c>
    </row>
    <row r="213" spans="2:11" x14ac:dyDescent="0.2">
      <c r="B213" s="94">
        <v>197</v>
      </c>
      <c r="C213" s="94" t="s">
        <v>268</v>
      </c>
      <c r="D213" s="94" t="s">
        <v>85</v>
      </c>
      <c r="E213" s="94" t="s">
        <v>293</v>
      </c>
      <c r="F213" s="94" t="s">
        <v>257</v>
      </c>
      <c r="G213" s="95">
        <v>2023</v>
      </c>
      <c r="H213" s="94">
        <v>-16342</v>
      </c>
      <c r="I213" s="95">
        <v>2023</v>
      </c>
      <c r="J213" s="94">
        <v>1</v>
      </c>
      <c r="K213" s="95">
        <v>2023</v>
      </c>
    </row>
    <row r="214" spans="2:11" x14ac:dyDescent="0.2">
      <c r="B214" s="94">
        <v>198</v>
      </c>
      <c r="C214" s="94" t="s">
        <v>268</v>
      </c>
      <c r="D214" s="94" t="s">
        <v>85</v>
      </c>
      <c r="E214" s="94" t="s">
        <v>293</v>
      </c>
      <c r="F214" s="94" t="s">
        <v>257</v>
      </c>
      <c r="G214" s="95">
        <v>2021</v>
      </c>
      <c r="H214" s="94">
        <v>-59055</v>
      </c>
      <c r="I214" s="95">
        <v>2023</v>
      </c>
      <c r="J214" s="94">
        <v>1</v>
      </c>
      <c r="K214" s="95">
        <v>2023</v>
      </c>
    </row>
    <row r="215" spans="2:11" x14ac:dyDescent="0.2">
      <c r="B215" s="94">
        <v>199</v>
      </c>
      <c r="C215" s="94" t="s">
        <v>268</v>
      </c>
      <c r="D215" s="94" t="s">
        <v>85</v>
      </c>
      <c r="E215" s="94" t="s">
        <v>293</v>
      </c>
      <c r="F215" s="94" t="s">
        <v>251</v>
      </c>
      <c r="G215" s="95">
        <v>2017</v>
      </c>
      <c r="H215" s="94">
        <v>1599713</v>
      </c>
      <c r="I215" s="95">
        <v>2023</v>
      </c>
      <c r="J215" s="94">
        <v>1</v>
      </c>
      <c r="K215" s="95">
        <v>2023</v>
      </c>
    </row>
    <row r="216" spans="2:11" x14ac:dyDescent="0.2">
      <c r="B216" s="94">
        <v>200</v>
      </c>
      <c r="C216" s="94" t="s">
        <v>268</v>
      </c>
      <c r="D216" s="94" t="s">
        <v>85</v>
      </c>
      <c r="E216" s="94" t="s">
        <v>293</v>
      </c>
      <c r="F216" s="94" t="s">
        <v>251</v>
      </c>
      <c r="G216" s="95">
        <v>2020</v>
      </c>
      <c r="H216" s="94">
        <v>3768189</v>
      </c>
      <c r="I216" s="95">
        <v>2023</v>
      </c>
      <c r="J216" s="94">
        <v>1</v>
      </c>
      <c r="K216" s="95">
        <v>2023</v>
      </c>
    </row>
    <row r="217" spans="2:11" x14ac:dyDescent="0.2">
      <c r="B217" s="94">
        <v>201</v>
      </c>
      <c r="C217" s="94" t="s">
        <v>268</v>
      </c>
      <c r="D217" s="94" t="s">
        <v>85</v>
      </c>
      <c r="E217" s="94" t="s">
        <v>293</v>
      </c>
      <c r="F217" s="94" t="s">
        <v>251</v>
      </c>
      <c r="G217" s="95">
        <v>2023</v>
      </c>
      <c r="H217" s="94">
        <v>-1160</v>
      </c>
      <c r="I217" s="95">
        <v>2023</v>
      </c>
      <c r="J217" s="94">
        <v>1</v>
      </c>
      <c r="K217" s="95">
        <v>2023</v>
      </c>
    </row>
    <row r="218" spans="2:11" x14ac:dyDescent="0.2">
      <c r="B218" s="94">
        <v>202</v>
      </c>
      <c r="C218" s="94" t="s">
        <v>268</v>
      </c>
      <c r="D218" s="94" t="s">
        <v>85</v>
      </c>
      <c r="E218" s="94" t="s">
        <v>293</v>
      </c>
      <c r="F218" s="94" t="s">
        <v>251</v>
      </c>
      <c r="G218" s="95">
        <v>2021</v>
      </c>
      <c r="H218" s="94">
        <v>119150</v>
      </c>
      <c r="I218" s="95">
        <v>2023</v>
      </c>
      <c r="J218" s="94">
        <v>1</v>
      </c>
      <c r="K218" s="95">
        <v>2023</v>
      </c>
    </row>
    <row r="219" spans="2:11" x14ac:dyDescent="0.2">
      <c r="B219" s="94">
        <v>203</v>
      </c>
      <c r="C219" s="94" t="s">
        <v>268</v>
      </c>
      <c r="D219" s="94" t="s">
        <v>85</v>
      </c>
      <c r="E219" s="94" t="s">
        <v>293</v>
      </c>
      <c r="F219" s="94" t="s">
        <v>254</v>
      </c>
      <c r="G219" s="95">
        <v>2021</v>
      </c>
      <c r="H219" s="94">
        <v>37412</v>
      </c>
      <c r="I219" s="95">
        <v>2023</v>
      </c>
      <c r="J219" s="94">
        <v>1</v>
      </c>
      <c r="K219" s="95">
        <v>2023</v>
      </c>
    </row>
    <row r="220" spans="2:11" x14ac:dyDescent="0.2">
      <c r="B220" s="94">
        <v>204</v>
      </c>
      <c r="C220" s="94" t="s">
        <v>268</v>
      </c>
      <c r="D220" s="94" t="s">
        <v>85</v>
      </c>
      <c r="E220" s="94" t="s">
        <v>293</v>
      </c>
      <c r="F220" s="94" t="s">
        <v>254</v>
      </c>
      <c r="G220" s="95">
        <v>2017</v>
      </c>
      <c r="H220" s="94">
        <v>1157671</v>
      </c>
      <c r="I220" s="95">
        <v>2023</v>
      </c>
      <c r="J220" s="94">
        <v>1</v>
      </c>
      <c r="K220" s="95">
        <v>2023</v>
      </c>
    </row>
    <row r="221" spans="2:11" x14ac:dyDescent="0.2">
      <c r="B221" s="94">
        <v>205</v>
      </c>
      <c r="C221" s="94" t="s">
        <v>268</v>
      </c>
      <c r="D221" s="94" t="s">
        <v>85</v>
      </c>
      <c r="E221" s="94" t="s">
        <v>293</v>
      </c>
      <c r="F221" s="94" t="s">
        <v>254</v>
      </c>
      <c r="G221" s="95">
        <v>2020</v>
      </c>
      <c r="H221" s="94">
        <v>1906135</v>
      </c>
      <c r="I221" s="95">
        <v>2023</v>
      </c>
      <c r="J221" s="94">
        <v>1</v>
      </c>
      <c r="K221" s="95">
        <v>2023</v>
      </c>
    </row>
    <row r="222" spans="2:11" x14ac:dyDescent="0.2">
      <c r="B222" s="94">
        <v>206</v>
      </c>
      <c r="C222" s="94" t="s">
        <v>268</v>
      </c>
      <c r="D222" s="94" t="s">
        <v>85</v>
      </c>
      <c r="E222" s="94" t="s">
        <v>293</v>
      </c>
      <c r="F222" s="94" t="s">
        <v>254</v>
      </c>
      <c r="G222" s="95">
        <v>2023</v>
      </c>
      <c r="H222" s="94">
        <v>-31006</v>
      </c>
      <c r="I222" s="95">
        <v>2023</v>
      </c>
      <c r="J222" s="94">
        <v>1</v>
      </c>
      <c r="K222" s="95">
        <v>2023</v>
      </c>
    </row>
    <row r="223" spans="2:11" x14ac:dyDescent="0.2">
      <c r="B223" s="94">
        <v>207</v>
      </c>
      <c r="C223" s="94" t="s">
        <v>268</v>
      </c>
      <c r="D223" s="94" t="s">
        <v>85</v>
      </c>
      <c r="E223" s="94" t="s">
        <v>293</v>
      </c>
      <c r="F223" s="94" t="s">
        <v>255</v>
      </c>
      <c r="G223" s="95">
        <v>2016</v>
      </c>
      <c r="H223" s="94">
        <v>375421</v>
      </c>
      <c r="I223" s="95">
        <v>2023</v>
      </c>
      <c r="J223" s="94">
        <v>1</v>
      </c>
      <c r="K223" s="95">
        <v>2023</v>
      </c>
    </row>
    <row r="224" spans="2:11" x14ac:dyDescent="0.2">
      <c r="B224" s="94">
        <v>208</v>
      </c>
      <c r="C224" s="94" t="s">
        <v>268</v>
      </c>
      <c r="D224" s="94" t="s">
        <v>85</v>
      </c>
      <c r="E224" s="94" t="s">
        <v>293</v>
      </c>
      <c r="F224" s="94" t="s">
        <v>255</v>
      </c>
      <c r="G224" s="95">
        <v>2017</v>
      </c>
      <c r="H224" s="94">
        <v>2396064</v>
      </c>
      <c r="I224" s="95">
        <v>2023</v>
      </c>
      <c r="J224" s="94">
        <v>1</v>
      </c>
      <c r="K224" s="95">
        <v>2023</v>
      </c>
    </row>
    <row r="225" spans="2:11" x14ac:dyDescent="0.2">
      <c r="B225" s="94">
        <v>209</v>
      </c>
      <c r="C225" s="94" t="s">
        <v>268</v>
      </c>
      <c r="D225" s="94" t="s">
        <v>85</v>
      </c>
      <c r="E225" s="94" t="s">
        <v>293</v>
      </c>
      <c r="F225" s="94" t="s">
        <v>255</v>
      </c>
      <c r="G225" s="95">
        <v>2020</v>
      </c>
      <c r="H225" s="94">
        <v>2731837</v>
      </c>
      <c r="I225" s="95">
        <v>2023</v>
      </c>
      <c r="J225" s="94">
        <v>1</v>
      </c>
      <c r="K225" s="95">
        <v>2023</v>
      </c>
    </row>
    <row r="226" spans="2:11" x14ac:dyDescent="0.2">
      <c r="B226" s="94">
        <v>210</v>
      </c>
      <c r="C226" s="94" t="s">
        <v>268</v>
      </c>
      <c r="D226" s="94" t="s">
        <v>85</v>
      </c>
      <c r="E226" s="94" t="s">
        <v>293</v>
      </c>
      <c r="F226" s="94" t="s">
        <v>255</v>
      </c>
      <c r="G226" s="95">
        <v>2023</v>
      </c>
      <c r="H226" s="94">
        <v>-5945</v>
      </c>
      <c r="I226" s="95">
        <v>2023</v>
      </c>
      <c r="J226" s="94">
        <v>1</v>
      </c>
      <c r="K226" s="95">
        <v>2023</v>
      </c>
    </row>
    <row r="227" spans="2:11" x14ac:dyDescent="0.2">
      <c r="B227" s="94">
        <v>211</v>
      </c>
      <c r="C227" s="94" t="s">
        <v>268</v>
      </c>
      <c r="D227" s="94" t="s">
        <v>85</v>
      </c>
      <c r="E227" s="94" t="s">
        <v>293</v>
      </c>
      <c r="F227" s="94" t="s">
        <v>255</v>
      </c>
      <c r="G227" s="95">
        <v>2021</v>
      </c>
      <c r="H227" s="94">
        <v>50889</v>
      </c>
      <c r="I227" s="95">
        <v>2023</v>
      </c>
      <c r="J227" s="94">
        <v>1</v>
      </c>
      <c r="K227" s="95">
        <v>2023</v>
      </c>
    </row>
    <row r="228" spans="2:11" x14ac:dyDescent="0.2">
      <c r="B228" s="94">
        <v>212</v>
      </c>
      <c r="C228" s="94" t="s">
        <v>268</v>
      </c>
      <c r="D228" s="94" t="s">
        <v>85</v>
      </c>
      <c r="E228" s="94" t="s">
        <v>293</v>
      </c>
      <c r="F228" s="94" t="s">
        <v>256</v>
      </c>
      <c r="G228" s="95">
        <v>2021</v>
      </c>
      <c r="H228" s="94">
        <v>118175</v>
      </c>
      <c r="I228" s="95">
        <v>2023</v>
      </c>
      <c r="J228" s="94">
        <v>1</v>
      </c>
      <c r="K228" s="95">
        <v>2023</v>
      </c>
    </row>
    <row r="229" spans="2:11" x14ac:dyDescent="0.2">
      <c r="B229" s="94">
        <v>213</v>
      </c>
      <c r="C229" s="94" t="s">
        <v>268</v>
      </c>
      <c r="D229" s="94" t="s">
        <v>85</v>
      </c>
      <c r="E229" s="94" t="s">
        <v>293</v>
      </c>
      <c r="F229" s="94" t="s">
        <v>256</v>
      </c>
      <c r="G229" s="95">
        <v>2017</v>
      </c>
      <c r="H229" s="94">
        <v>2640144</v>
      </c>
      <c r="I229" s="95">
        <v>2023</v>
      </c>
      <c r="J229" s="94">
        <v>1</v>
      </c>
      <c r="K229" s="95">
        <v>2023</v>
      </c>
    </row>
    <row r="230" spans="2:11" x14ac:dyDescent="0.2">
      <c r="B230" s="94">
        <v>214</v>
      </c>
      <c r="C230" s="94" t="s">
        <v>268</v>
      </c>
      <c r="D230" s="94" t="s">
        <v>85</v>
      </c>
      <c r="E230" s="94" t="s">
        <v>293</v>
      </c>
      <c r="F230" s="94" t="s">
        <v>256</v>
      </c>
      <c r="G230" s="95">
        <v>2020</v>
      </c>
      <c r="H230" s="94">
        <v>323014</v>
      </c>
      <c r="I230" s="95">
        <v>2023</v>
      </c>
      <c r="J230" s="94">
        <v>1</v>
      </c>
      <c r="K230" s="95">
        <v>2023</v>
      </c>
    </row>
    <row r="231" spans="2:11" x14ac:dyDescent="0.2">
      <c r="B231" s="94">
        <v>215</v>
      </c>
      <c r="C231" s="94" t="s">
        <v>268</v>
      </c>
      <c r="D231" s="94" t="s">
        <v>85</v>
      </c>
      <c r="E231" s="94" t="s">
        <v>293</v>
      </c>
      <c r="F231" s="94" t="s">
        <v>256</v>
      </c>
      <c r="G231" s="95">
        <v>2023</v>
      </c>
      <c r="H231" s="94">
        <v>0</v>
      </c>
      <c r="I231" s="95">
        <v>2023</v>
      </c>
      <c r="J231" s="94">
        <v>1</v>
      </c>
      <c r="K231" s="95">
        <v>2023</v>
      </c>
    </row>
    <row r="232" spans="2:11" x14ac:dyDescent="0.2">
      <c r="B232" s="94">
        <v>216</v>
      </c>
      <c r="C232" s="94" t="s">
        <v>268</v>
      </c>
      <c r="D232" s="94" t="s">
        <v>85</v>
      </c>
      <c r="E232" s="94" t="s">
        <v>293</v>
      </c>
      <c r="F232" s="94" t="s">
        <v>250</v>
      </c>
      <c r="G232" s="95">
        <v>2017</v>
      </c>
      <c r="H232" s="94">
        <v>32213</v>
      </c>
      <c r="I232" s="95">
        <v>2023</v>
      </c>
      <c r="J232" s="94">
        <v>1</v>
      </c>
      <c r="K232" s="95">
        <v>2023</v>
      </c>
    </row>
    <row r="233" spans="2:11" x14ac:dyDescent="0.2">
      <c r="B233" s="94">
        <v>217</v>
      </c>
      <c r="C233" s="94" t="s">
        <v>268</v>
      </c>
      <c r="D233" s="94" t="s">
        <v>85</v>
      </c>
      <c r="E233" s="94" t="s">
        <v>293</v>
      </c>
      <c r="F233" s="94" t="s">
        <v>250</v>
      </c>
      <c r="G233" s="95">
        <v>2020</v>
      </c>
      <c r="H233" s="94">
        <v>35073</v>
      </c>
      <c r="I233" s="95">
        <v>2023</v>
      </c>
      <c r="J233" s="94">
        <v>1</v>
      </c>
      <c r="K233" s="95">
        <v>2023</v>
      </c>
    </row>
    <row r="234" spans="2:11" x14ac:dyDescent="0.2">
      <c r="B234" s="94">
        <v>218</v>
      </c>
      <c r="C234" s="94" t="s">
        <v>268</v>
      </c>
      <c r="D234" s="94" t="s">
        <v>85</v>
      </c>
      <c r="E234" s="94" t="s">
        <v>293</v>
      </c>
      <c r="F234" s="94" t="s">
        <v>250</v>
      </c>
      <c r="G234" s="95">
        <v>2021</v>
      </c>
      <c r="H234" s="94">
        <v>654</v>
      </c>
      <c r="I234" s="95">
        <v>2023</v>
      </c>
      <c r="J234" s="94">
        <v>1</v>
      </c>
      <c r="K234" s="95">
        <v>2023</v>
      </c>
    </row>
    <row r="235" spans="2:11" x14ac:dyDescent="0.2">
      <c r="B235" s="94">
        <v>219</v>
      </c>
      <c r="C235" s="94" t="s">
        <v>268</v>
      </c>
      <c r="D235" s="94" t="s">
        <v>85</v>
      </c>
      <c r="E235" s="94" t="s">
        <v>293</v>
      </c>
      <c r="F235" s="94" t="s">
        <v>259</v>
      </c>
      <c r="G235" s="95">
        <v>2020</v>
      </c>
      <c r="H235" s="94">
        <v>59257</v>
      </c>
      <c r="I235" s="95">
        <v>2023</v>
      </c>
      <c r="J235" s="94">
        <v>1</v>
      </c>
      <c r="K235" s="95">
        <v>2023</v>
      </c>
    </row>
    <row r="236" spans="2:11" x14ac:dyDescent="0.2">
      <c r="B236" s="94">
        <v>220</v>
      </c>
      <c r="C236" s="94" t="s">
        <v>268</v>
      </c>
      <c r="D236" s="94" t="s">
        <v>85</v>
      </c>
      <c r="E236" s="94" t="s">
        <v>293</v>
      </c>
      <c r="F236" s="94" t="s">
        <v>259</v>
      </c>
      <c r="G236" s="95">
        <v>2023</v>
      </c>
      <c r="H236" s="94">
        <v>140979</v>
      </c>
      <c r="I236" s="95">
        <v>2023</v>
      </c>
      <c r="J236" s="94">
        <v>1</v>
      </c>
      <c r="K236" s="95">
        <v>2023</v>
      </c>
    </row>
    <row r="237" spans="2:11" x14ac:dyDescent="0.2">
      <c r="B237" s="94">
        <v>221</v>
      </c>
      <c r="C237" s="94" t="s">
        <v>268</v>
      </c>
      <c r="D237" s="94" t="s">
        <v>85</v>
      </c>
      <c r="E237" s="94" t="s">
        <v>293</v>
      </c>
      <c r="F237" s="94" t="s">
        <v>252</v>
      </c>
      <c r="G237" s="95">
        <v>2020</v>
      </c>
      <c r="H237" s="94">
        <v>21964</v>
      </c>
      <c r="I237" s="95">
        <v>2023</v>
      </c>
      <c r="J237" s="94">
        <v>1</v>
      </c>
      <c r="K237" s="95">
        <v>2023</v>
      </c>
    </row>
    <row r="238" spans="2:11" x14ac:dyDescent="0.2">
      <c r="B238" s="94">
        <v>222</v>
      </c>
      <c r="C238" s="94" t="s">
        <v>268</v>
      </c>
      <c r="D238" s="94" t="s">
        <v>85</v>
      </c>
      <c r="E238" s="94" t="s">
        <v>293</v>
      </c>
      <c r="F238" s="94" t="s">
        <v>260</v>
      </c>
      <c r="G238" s="95">
        <v>2018</v>
      </c>
      <c r="H238" s="94">
        <v>197447</v>
      </c>
      <c r="I238" s="95">
        <v>2023</v>
      </c>
      <c r="J238" s="94">
        <v>12</v>
      </c>
      <c r="K238" s="95">
        <v>2023</v>
      </c>
    </row>
    <row r="239" spans="2:11" x14ac:dyDescent="0.2">
      <c r="B239" s="94">
        <v>223</v>
      </c>
      <c r="C239" s="94" t="s">
        <v>268</v>
      </c>
      <c r="D239" s="94" t="s">
        <v>85</v>
      </c>
      <c r="E239" s="94" t="s">
        <v>293</v>
      </c>
      <c r="F239" s="94" t="s">
        <v>255</v>
      </c>
      <c r="G239" s="95">
        <v>2011</v>
      </c>
      <c r="H239" s="94">
        <v>3014</v>
      </c>
      <c r="I239" s="95">
        <v>2023</v>
      </c>
      <c r="J239" s="94">
        <v>1</v>
      </c>
      <c r="K239" s="95">
        <v>2023</v>
      </c>
    </row>
    <row r="240" spans="2:11" x14ac:dyDescent="0.2">
      <c r="B240" s="94">
        <v>224</v>
      </c>
      <c r="C240" s="94" t="s">
        <v>268</v>
      </c>
      <c r="D240" s="94" t="s">
        <v>86</v>
      </c>
      <c r="E240" s="94" t="s">
        <v>293</v>
      </c>
      <c r="F240" s="94" t="s">
        <v>249</v>
      </c>
      <c r="G240" s="95">
        <v>2005</v>
      </c>
      <c r="H240" s="94">
        <v>1793</v>
      </c>
      <c r="I240" s="95">
        <v>2023</v>
      </c>
      <c r="J240" s="94">
        <v>12</v>
      </c>
      <c r="K240" s="95">
        <v>2023</v>
      </c>
    </row>
    <row r="241" spans="2:11" x14ac:dyDescent="0.2">
      <c r="B241" s="94">
        <v>225</v>
      </c>
      <c r="C241" s="94" t="s">
        <v>268</v>
      </c>
      <c r="D241" s="94" t="s">
        <v>86</v>
      </c>
      <c r="E241" s="94" t="s">
        <v>293</v>
      </c>
      <c r="F241" s="94" t="s">
        <v>249</v>
      </c>
      <c r="G241" s="95">
        <v>2006</v>
      </c>
      <c r="H241" s="94">
        <v>5257</v>
      </c>
      <c r="I241" s="95">
        <v>2023</v>
      </c>
      <c r="J241" s="94">
        <v>12</v>
      </c>
      <c r="K241" s="95">
        <v>2023</v>
      </c>
    </row>
    <row r="242" spans="2:11" x14ac:dyDescent="0.2">
      <c r="B242" s="94">
        <v>226</v>
      </c>
      <c r="C242" s="94" t="s">
        <v>268</v>
      </c>
      <c r="D242" s="94" t="s">
        <v>86</v>
      </c>
      <c r="E242" s="94" t="s">
        <v>293</v>
      </c>
      <c r="F242" s="94" t="s">
        <v>249</v>
      </c>
      <c r="G242" s="95">
        <v>2006</v>
      </c>
      <c r="H242" s="94">
        <v>1084</v>
      </c>
      <c r="I242" s="95">
        <v>2023</v>
      </c>
      <c r="J242" s="94">
        <v>12</v>
      </c>
      <c r="K242" s="95">
        <v>2023</v>
      </c>
    </row>
    <row r="243" spans="2:11" x14ac:dyDescent="0.2">
      <c r="B243" s="94">
        <v>227</v>
      </c>
      <c r="C243" s="94" t="s">
        <v>268</v>
      </c>
      <c r="D243" s="94" t="s">
        <v>86</v>
      </c>
      <c r="E243" s="94" t="s">
        <v>293</v>
      </c>
      <c r="F243" s="94" t="s">
        <v>249</v>
      </c>
      <c r="G243" s="95">
        <v>2007</v>
      </c>
      <c r="H243" s="94">
        <v>3183</v>
      </c>
      <c r="I243" s="95">
        <v>2023</v>
      </c>
      <c r="J243" s="94">
        <v>12</v>
      </c>
      <c r="K243" s="95">
        <v>2023</v>
      </c>
    </row>
    <row r="244" spans="2:11" x14ac:dyDescent="0.2">
      <c r="B244" s="94">
        <v>228</v>
      </c>
      <c r="C244" s="94" t="s">
        <v>268</v>
      </c>
      <c r="D244" s="94" t="s">
        <v>86</v>
      </c>
      <c r="E244" s="94" t="s">
        <v>293</v>
      </c>
      <c r="F244" s="94" t="s">
        <v>249</v>
      </c>
      <c r="G244" s="95">
        <v>2005</v>
      </c>
      <c r="H244" s="94">
        <v>19793</v>
      </c>
      <c r="I244" s="95">
        <v>2023</v>
      </c>
      <c r="J244" s="94">
        <v>12</v>
      </c>
      <c r="K244" s="95">
        <v>2023</v>
      </c>
    </row>
    <row r="245" spans="2:11" x14ac:dyDescent="0.2">
      <c r="B245" s="94">
        <v>229</v>
      </c>
      <c r="C245" s="94" t="s">
        <v>268</v>
      </c>
      <c r="D245" s="94" t="s">
        <v>86</v>
      </c>
      <c r="E245" s="94" t="s">
        <v>293</v>
      </c>
      <c r="F245" s="94" t="s">
        <v>249</v>
      </c>
      <c r="G245" s="95">
        <v>2006</v>
      </c>
      <c r="H245" s="94">
        <v>23576</v>
      </c>
      <c r="I245" s="95">
        <v>2023</v>
      </c>
      <c r="J245" s="94">
        <v>12</v>
      </c>
      <c r="K245" s="95">
        <v>2023</v>
      </c>
    </row>
    <row r="246" spans="2:11" x14ac:dyDescent="0.2">
      <c r="B246" s="94">
        <v>230</v>
      </c>
      <c r="C246" s="94" t="s">
        <v>268</v>
      </c>
      <c r="D246" s="94" t="s">
        <v>86</v>
      </c>
      <c r="E246" s="94" t="s">
        <v>293</v>
      </c>
      <c r="F246" s="94" t="s">
        <v>249</v>
      </c>
      <c r="G246" s="95">
        <v>2006</v>
      </c>
      <c r="H246" s="94">
        <v>2656</v>
      </c>
      <c r="I246" s="95">
        <v>2023</v>
      </c>
      <c r="J246" s="94">
        <v>12</v>
      </c>
      <c r="K246" s="95">
        <v>2023</v>
      </c>
    </row>
    <row r="247" spans="2:11" x14ac:dyDescent="0.2">
      <c r="B247" s="94">
        <v>231</v>
      </c>
      <c r="C247" s="94" t="s">
        <v>268</v>
      </c>
      <c r="D247" s="94" t="s">
        <v>86</v>
      </c>
      <c r="E247" s="94" t="s">
        <v>293</v>
      </c>
      <c r="F247" s="94" t="s">
        <v>249</v>
      </c>
      <c r="G247" s="95">
        <v>2007</v>
      </c>
      <c r="H247" s="94">
        <v>58189</v>
      </c>
      <c r="I247" s="95">
        <v>2023</v>
      </c>
      <c r="J247" s="94">
        <v>12</v>
      </c>
      <c r="K247" s="95">
        <v>2023</v>
      </c>
    </row>
    <row r="248" spans="2:11" x14ac:dyDescent="0.2">
      <c r="B248" s="94">
        <v>232</v>
      </c>
      <c r="C248" s="94" t="s">
        <v>268</v>
      </c>
      <c r="D248" s="94" t="s">
        <v>86</v>
      </c>
      <c r="E248" s="94" t="s">
        <v>293</v>
      </c>
      <c r="F248" s="94" t="s">
        <v>253</v>
      </c>
      <c r="G248" s="95">
        <v>2016</v>
      </c>
      <c r="H248" s="94">
        <v>15621</v>
      </c>
      <c r="I248" s="95">
        <v>2023</v>
      </c>
      <c r="J248" s="94">
        <v>10</v>
      </c>
      <c r="K248" s="95">
        <v>2023</v>
      </c>
    </row>
    <row r="249" spans="2:11" x14ac:dyDescent="0.2">
      <c r="B249" s="94">
        <v>233</v>
      </c>
      <c r="C249" s="94" t="s">
        <v>268</v>
      </c>
      <c r="D249" s="94" t="s">
        <v>86</v>
      </c>
      <c r="E249" s="94" t="s">
        <v>293</v>
      </c>
      <c r="F249" s="94" t="s">
        <v>260</v>
      </c>
      <c r="G249" s="95">
        <v>2014</v>
      </c>
      <c r="H249" s="94">
        <v>1328817</v>
      </c>
      <c r="I249" s="95">
        <v>2023</v>
      </c>
      <c r="J249" s="94">
        <v>2</v>
      </c>
      <c r="K249" s="95">
        <v>2023</v>
      </c>
    </row>
    <row r="250" spans="2:11" x14ac:dyDescent="0.2">
      <c r="B250" s="94">
        <v>234</v>
      </c>
      <c r="C250" s="94" t="s">
        <v>268</v>
      </c>
      <c r="D250" s="94" t="s">
        <v>86</v>
      </c>
      <c r="E250" s="94" t="s">
        <v>293</v>
      </c>
      <c r="F250" s="94" t="s">
        <v>260</v>
      </c>
      <c r="G250" s="95">
        <v>2014</v>
      </c>
      <c r="H250" s="94">
        <v>50110</v>
      </c>
      <c r="I250" s="95">
        <v>2023</v>
      </c>
      <c r="J250" s="94">
        <v>2</v>
      </c>
      <c r="K250" s="95">
        <v>2023</v>
      </c>
    </row>
    <row r="251" spans="2:11" x14ac:dyDescent="0.2">
      <c r="B251" s="94">
        <v>235</v>
      </c>
      <c r="C251" s="94" t="s">
        <v>268</v>
      </c>
      <c r="D251" s="94" t="s">
        <v>86</v>
      </c>
      <c r="E251" s="94" t="s">
        <v>293</v>
      </c>
      <c r="F251" s="94" t="s">
        <v>257</v>
      </c>
      <c r="G251" s="95">
        <v>2011</v>
      </c>
      <c r="H251" s="94">
        <v>62010</v>
      </c>
      <c r="I251" s="95">
        <v>2023</v>
      </c>
      <c r="J251" s="94">
        <v>1</v>
      </c>
      <c r="K251" s="95">
        <v>2023</v>
      </c>
    </row>
    <row r="252" spans="2:11" x14ac:dyDescent="0.2">
      <c r="B252" s="94">
        <v>236</v>
      </c>
      <c r="C252" s="94" t="s">
        <v>268</v>
      </c>
      <c r="D252" s="94" t="s">
        <v>86</v>
      </c>
      <c r="E252" s="94" t="s">
        <v>293</v>
      </c>
      <c r="F252" s="94" t="s">
        <v>254</v>
      </c>
      <c r="G252" s="95">
        <v>2016</v>
      </c>
      <c r="H252" s="94">
        <v>9571</v>
      </c>
      <c r="I252" s="95">
        <v>2023</v>
      </c>
      <c r="J252" s="94">
        <v>4</v>
      </c>
      <c r="K252" s="95">
        <v>2023</v>
      </c>
    </row>
    <row r="253" spans="2:11" x14ac:dyDescent="0.2">
      <c r="B253" s="94">
        <v>237</v>
      </c>
      <c r="C253" s="94" t="s">
        <v>268</v>
      </c>
      <c r="D253" s="94" t="s">
        <v>86</v>
      </c>
      <c r="E253" s="94" t="s">
        <v>293</v>
      </c>
      <c r="F253" s="94" t="s">
        <v>260</v>
      </c>
      <c r="G253" s="95">
        <v>2018</v>
      </c>
      <c r="H253" s="94">
        <v>662435</v>
      </c>
      <c r="I253" s="95">
        <v>2023</v>
      </c>
      <c r="J253" s="94">
        <v>12</v>
      </c>
      <c r="K253" s="95">
        <v>2023</v>
      </c>
    </row>
    <row r="254" spans="2:11" x14ac:dyDescent="0.2">
      <c r="B254" s="94">
        <v>238</v>
      </c>
      <c r="C254" s="94" t="s">
        <v>268</v>
      </c>
      <c r="D254" s="94" t="s">
        <v>86</v>
      </c>
      <c r="E254" s="94" t="s">
        <v>293</v>
      </c>
      <c r="F254" s="94" t="s">
        <v>255</v>
      </c>
      <c r="G254" s="95">
        <v>2018</v>
      </c>
      <c r="H254" s="94">
        <v>135691</v>
      </c>
      <c r="I254" s="95">
        <v>2023</v>
      </c>
      <c r="J254" s="94">
        <v>10</v>
      </c>
      <c r="K254" s="95">
        <v>2023</v>
      </c>
    </row>
    <row r="255" spans="2:11" x14ac:dyDescent="0.2">
      <c r="B255" s="94">
        <v>239</v>
      </c>
      <c r="C255" s="94" t="s">
        <v>268</v>
      </c>
      <c r="D255" s="94" t="s">
        <v>85</v>
      </c>
      <c r="E255" s="94" t="s">
        <v>293</v>
      </c>
      <c r="F255" s="94" t="s">
        <v>228</v>
      </c>
      <c r="G255" s="95">
        <v>2000</v>
      </c>
      <c r="H255" s="94">
        <v>1815375</v>
      </c>
      <c r="I255" s="95">
        <v>2024</v>
      </c>
      <c r="J255" s="94">
        <v>1</v>
      </c>
      <c r="K255" s="95">
        <v>2024</v>
      </c>
    </row>
    <row r="256" spans="2:11" x14ac:dyDescent="0.2">
      <c r="B256" s="94">
        <v>240</v>
      </c>
      <c r="C256" s="94" t="s">
        <v>268</v>
      </c>
      <c r="D256" s="94" t="s">
        <v>85</v>
      </c>
      <c r="E256" s="94" t="s">
        <v>293</v>
      </c>
      <c r="F256" s="94" t="s">
        <v>228</v>
      </c>
      <c r="G256" s="95">
        <v>2000</v>
      </c>
      <c r="H256" s="94">
        <v>40602</v>
      </c>
      <c r="I256" s="95">
        <v>2024</v>
      </c>
      <c r="J256" s="94">
        <v>2</v>
      </c>
      <c r="K256" s="95">
        <v>2024</v>
      </c>
    </row>
    <row r="257" spans="2:11" x14ac:dyDescent="0.2">
      <c r="B257" s="94">
        <v>241</v>
      </c>
      <c r="C257" s="94" t="s">
        <v>268</v>
      </c>
      <c r="D257" s="94" t="s">
        <v>85</v>
      </c>
      <c r="E257" s="94" t="s">
        <v>293</v>
      </c>
      <c r="F257" s="94" t="s">
        <v>228</v>
      </c>
      <c r="G257" s="95">
        <v>2000</v>
      </c>
      <c r="H257" s="94">
        <v>109970</v>
      </c>
      <c r="I257" s="95">
        <v>2024</v>
      </c>
      <c r="J257" s="94">
        <v>3</v>
      </c>
      <c r="K257" s="95">
        <v>2024</v>
      </c>
    </row>
    <row r="258" spans="2:11" x14ac:dyDescent="0.2">
      <c r="B258" s="94">
        <v>242</v>
      </c>
      <c r="C258" s="94" t="s">
        <v>268</v>
      </c>
      <c r="D258" s="94" t="s">
        <v>85</v>
      </c>
      <c r="E258" s="94" t="s">
        <v>293</v>
      </c>
      <c r="F258" s="94" t="s">
        <v>228</v>
      </c>
      <c r="G258" s="95">
        <v>2000</v>
      </c>
      <c r="H258" s="94">
        <v>486399</v>
      </c>
      <c r="I258" s="95">
        <v>2024</v>
      </c>
      <c r="J258" s="94">
        <v>4</v>
      </c>
      <c r="K258" s="95">
        <v>2024</v>
      </c>
    </row>
    <row r="259" spans="2:11" x14ac:dyDescent="0.2">
      <c r="B259" s="94">
        <v>243</v>
      </c>
      <c r="C259" s="94" t="s">
        <v>268</v>
      </c>
      <c r="D259" s="94" t="s">
        <v>85</v>
      </c>
      <c r="E259" s="94" t="s">
        <v>293</v>
      </c>
      <c r="F259" s="94" t="s">
        <v>228</v>
      </c>
      <c r="G259" s="95">
        <v>2000</v>
      </c>
      <c r="H259" s="94">
        <v>407978</v>
      </c>
      <c r="I259" s="95">
        <v>2024</v>
      </c>
      <c r="J259" s="94">
        <v>5</v>
      </c>
      <c r="K259" s="95">
        <v>2024</v>
      </c>
    </row>
    <row r="260" spans="2:11" x14ac:dyDescent="0.2">
      <c r="B260" s="94">
        <v>244</v>
      </c>
      <c r="C260" s="94" t="s">
        <v>268</v>
      </c>
      <c r="D260" s="94" t="s">
        <v>85</v>
      </c>
      <c r="E260" s="94" t="s">
        <v>293</v>
      </c>
      <c r="F260" s="94" t="s">
        <v>228</v>
      </c>
      <c r="G260" s="95">
        <v>2000</v>
      </c>
      <c r="H260" s="94">
        <v>3140326</v>
      </c>
      <c r="I260" s="95">
        <v>2024</v>
      </c>
      <c r="J260" s="94">
        <v>6</v>
      </c>
      <c r="K260" s="95">
        <v>2024</v>
      </c>
    </row>
    <row r="261" spans="2:11" x14ac:dyDescent="0.2">
      <c r="B261" s="94">
        <v>245</v>
      </c>
      <c r="C261" s="94" t="s">
        <v>268</v>
      </c>
      <c r="D261" s="94" t="s">
        <v>85</v>
      </c>
      <c r="E261" s="94" t="s">
        <v>293</v>
      </c>
      <c r="F261" s="94" t="s">
        <v>228</v>
      </c>
      <c r="G261" s="95">
        <v>2000</v>
      </c>
      <c r="H261" s="94">
        <v>12635295</v>
      </c>
      <c r="I261" s="95">
        <v>2024</v>
      </c>
      <c r="J261" s="94">
        <v>7</v>
      </c>
      <c r="K261" s="95">
        <v>2024</v>
      </c>
    </row>
    <row r="262" spans="2:11" x14ac:dyDescent="0.2">
      <c r="B262" s="94">
        <v>246</v>
      </c>
      <c r="C262" s="94" t="s">
        <v>268</v>
      </c>
      <c r="D262" s="94" t="s">
        <v>85</v>
      </c>
      <c r="E262" s="94" t="s">
        <v>293</v>
      </c>
      <c r="F262" s="94" t="s">
        <v>228</v>
      </c>
      <c r="G262" s="95">
        <v>2000</v>
      </c>
      <c r="H262" s="94">
        <v>1324804</v>
      </c>
      <c r="I262" s="95">
        <v>2024</v>
      </c>
      <c r="J262" s="94">
        <v>8</v>
      </c>
      <c r="K262" s="95">
        <v>2024</v>
      </c>
    </row>
    <row r="263" spans="2:11" x14ac:dyDescent="0.2">
      <c r="B263" s="94">
        <v>247</v>
      </c>
      <c r="C263" s="94" t="s">
        <v>268</v>
      </c>
      <c r="D263" s="94" t="s">
        <v>85</v>
      </c>
      <c r="E263" s="94" t="s">
        <v>293</v>
      </c>
      <c r="F263" s="94" t="s">
        <v>228</v>
      </c>
      <c r="G263" s="95">
        <v>2000</v>
      </c>
      <c r="H263" s="94">
        <v>112900</v>
      </c>
      <c r="I263" s="95">
        <v>2024</v>
      </c>
      <c r="J263" s="94">
        <v>9</v>
      </c>
      <c r="K263" s="95">
        <v>2024</v>
      </c>
    </row>
    <row r="264" spans="2:11" x14ac:dyDescent="0.2">
      <c r="B264" s="94">
        <v>248</v>
      </c>
      <c r="C264" s="94" t="s">
        <v>268</v>
      </c>
      <c r="D264" s="94" t="s">
        <v>85</v>
      </c>
      <c r="E264" s="94" t="s">
        <v>293</v>
      </c>
      <c r="F264" s="94" t="s">
        <v>228</v>
      </c>
      <c r="G264" s="95">
        <v>2000</v>
      </c>
      <c r="H264" s="94">
        <v>136839</v>
      </c>
      <c r="I264" s="95">
        <v>2024</v>
      </c>
      <c r="J264" s="94">
        <v>10</v>
      </c>
      <c r="K264" s="95">
        <v>2024</v>
      </c>
    </row>
    <row r="265" spans="2:11" x14ac:dyDescent="0.2">
      <c r="B265" s="94">
        <v>249</v>
      </c>
      <c r="C265" s="94" t="s">
        <v>268</v>
      </c>
      <c r="D265" s="94" t="s">
        <v>85</v>
      </c>
      <c r="E265" s="94" t="s">
        <v>293</v>
      </c>
      <c r="F265" s="94" t="s">
        <v>228</v>
      </c>
      <c r="G265" s="95">
        <v>2000</v>
      </c>
      <c r="H265" s="94">
        <v>3177544</v>
      </c>
      <c r="I265" s="95">
        <v>2024</v>
      </c>
      <c r="J265" s="94">
        <v>11</v>
      </c>
      <c r="K265" s="95">
        <v>2024</v>
      </c>
    </row>
    <row r="266" spans="2:11" x14ac:dyDescent="0.2">
      <c r="B266" s="94">
        <v>250</v>
      </c>
      <c r="C266" s="94" t="s">
        <v>268</v>
      </c>
      <c r="D266" s="94" t="s">
        <v>85</v>
      </c>
      <c r="E266" s="94" t="s">
        <v>293</v>
      </c>
      <c r="F266" s="94" t="s">
        <v>228</v>
      </c>
      <c r="G266" s="95">
        <v>2000</v>
      </c>
      <c r="H266" s="94">
        <v>375752</v>
      </c>
      <c r="I266" s="95">
        <v>2024</v>
      </c>
      <c r="J266" s="94">
        <v>12</v>
      </c>
      <c r="K266" s="95">
        <v>2024</v>
      </c>
    </row>
    <row r="267" spans="2:11" x14ac:dyDescent="0.2">
      <c r="B267" s="94">
        <v>251</v>
      </c>
      <c r="C267" s="94" t="s">
        <v>268</v>
      </c>
      <c r="D267" s="94" t="s">
        <v>85</v>
      </c>
      <c r="E267" s="94" t="s">
        <v>293</v>
      </c>
      <c r="F267" s="94" t="s">
        <v>228</v>
      </c>
      <c r="G267" s="95">
        <v>2000</v>
      </c>
      <c r="H267" s="94">
        <v>73254</v>
      </c>
      <c r="I267" s="95">
        <v>2024</v>
      </c>
      <c r="J267" s="94">
        <v>13</v>
      </c>
      <c r="K267" s="95">
        <v>2024</v>
      </c>
    </row>
    <row r="268" spans="2:11" x14ac:dyDescent="0.2">
      <c r="B268" s="94">
        <v>252</v>
      </c>
      <c r="C268" s="94" t="s">
        <v>268</v>
      </c>
      <c r="D268" s="94" t="s">
        <v>86</v>
      </c>
      <c r="E268" s="94" t="s">
        <v>293</v>
      </c>
      <c r="F268" s="94" t="s">
        <v>231</v>
      </c>
      <c r="G268" s="95">
        <v>2008</v>
      </c>
      <c r="H268" s="94">
        <v>338153</v>
      </c>
      <c r="I268" s="95">
        <v>2024</v>
      </c>
      <c r="J268" s="94">
        <v>1</v>
      </c>
      <c r="K268" s="95">
        <v>2024</v>
      </c>
    </row>
    <row r="269" spans="2:11" x14ac:dyDescent="0.2">
      <c r="B269" s="94">
        <v>253</v>
      </c>
      <c r="C269" s="94" t="s">
        <v>268</v>
      </c>
      <c r="D269" s="94" t="s">
        <v>86</v>
      </c>
      <c r="E269" s="94" t="s">
        <v>293</v>
      </c>
      <c r="F269" s="94" t="s">
        <v>231</v>
      </c>
      <c r="G269" s="95">
        <v>2008</v>
      </c>
      <c r="H269" s="94">
        <v>139415</v>
      </c>
      <c r="I269" s="95">
        <v>2024</v>
      </c>
      <c r="J269" s="94">
        <v>2</v>
      </c>
      <c r="K269" s="95">
        <v>2024</v>
      </c>
    </row>
    <row r="270" spans="2:11" x14ac:dyDescent="0.2">
      <c r="B270" s="94">
        <v>254</v>
      </c>
      <c r="C270" s="94" t="s">
        <v>268</v>
      </c>
      <c r="D270" s="94" t="s">
        <v>86</v>
      </c>
      <c r="E270" s="94" t="s">
        <v>293</v>
      </c>
      <c r="F270" s="94" t="s">
        <v>231</v>
      </c>
      <c r="G270" s="95">
        <v>2008</v>
      </c>
      <c r="H270" s="94">
        <v>174112</v>
      </c>
      <c r="I270" s="95">
        <v>2024</v>
      </c>
      <c r="J270" s="94">
        <v>3</v>
      </c>
      <c r="K270" s="95">
        <v>2024</v>
      </c>
    </row>
    <row r="271" spans="2:11" x14ac:dyDescent="0.2">
      <c r="B271" s="94">
        <v>255</v>
      </c>
      <c r="C271" s="94" t="s">
        <v>268</v>
      </c>
      <c r="D271" s="94" t="s">
        <v>86</v>
      </c>
      <c r="E271" s="94" t="s">
        <v>293</v>
      </c>
      <c r="F271" s="94" t="s">
        <v>231</v>
      </c>
      <c r="G271" s="95">
        <v>2008</v>
      </c>
      <c r="H271" s="94">
        <v>192142</v>
      </c>
      <c r="I271" s="95">
        <v>2024</v>
      </c>
      <c r="J271" s="94">
        <v>4</v>
      </c>
      <c r="K271" s="95">
        <v>2024</v>
      </c>
    </row>
    <row r="272" spans="2:11" x14ac:dyDescent="0.2">
      <c r="B272" s="94">
        <v>256</v>
      </c>
      <c r="C272" s="94" t="s">
        <v>268</v>
      </c>
      <c r="D272" s="94" t="s">
        <v>86</v>
      </c>
      <c r="E272" s="94" t="s">
        <v>293</v>
      </c>
      <c r="F272" s="94" t="s">
        <v>231</v>
      </c>
      <c r="G272" s="95">
        <v>2008</v>
      </c>
      <c r="H272" s="94">
        <v>7100</v>
      </c>
      <c r="I272" s="95">
        <v>2024</v>
      </c>
      <c r="J272" s="94">
        <v>5</v>
      </c>
      <c r="K272" s="95">
        <v>2024</v>
      </c>
    </row>
    <row r="273" spans="2:11" x14ac:dyDescent="0.2">
      <c r="B273" s="94">
        <v>257</v>
      </c>
      <c r="C273" s="94" t="s">
        <v>268</v>
      </c>
      <c r="D273" s="94" t="s">
        <v>86</v>
      </c>
      <c r="E273" s="94" t="s">
        <v>293</v>
      </c>
      <c r="F273" s="94" t="s">
        <v>231</v>
      </c>
      <c r="G273" s="95">
        <v>2008</v>
      </c>
      <c r="H273" s="94">
        <v>11315</v>
      </c>
      <c r="I273" s="95">
        <v>2024</v>
      </c>
      <c r="J273" s="94">
        <v>6</v>
      </c>
      <c r="K273" s="95">
        <v>2024</v>
      </c>
    </row>
    <row r="274" spans="2:11" x14ac:dyDescent="0.2">
      <c r="B274" s="94">
        <v>258</v>
      </c>
      <c r="C274" s="94" t="s">
        <v>268</v>
      </c>
      <c r="D274" s="94" t="s">
        <v>86</v>
      </c>
      <c r="E274" s="94" t="s">
        <v>293</v>
      </c>
      <c r="F274" s="94" t="s">
        <v>231</v>
      </c>
      <c r="G274" s="95">
        <v>2008</v>
      </c>
      <c r="H274" s="94">
        <v>4103491</v>
      </c>
      <c r="I274" s="95">
        <v>2024</v>
      </c>
      <c r="J274" s="94">
        <v>7</v>
      </c>
      <c r="K274" s="95">
        <v>2024</v>
      </c>
    </row>
    <row r="275" spans="2:11" x14ac:dyDescent="0.2">
      <c r="B275" s="94">
        <v>259</v>
      </c>
      <c r="C275" s="94" t="s">
        <v>268</v>
      </c>
      <c r="D275" s="94" t="s">
        <v>86</v>
      </c>
      <c r="E275" s="94" t="s">
        <v>293</v>
      </c>
      <c r="F275" s="94" t="s">
        <v>231</v>
      </c>
      <c r="G275" s="95">
        <v>2008</v>
      </c>
      <c r="H275" s="94">
        <v>18718</v>
      </c>
      <c r="I275" s="95">
        <v>2024</v>
      </c>
      <c r="J275" s="94">
        <v>8</v>
      </c>
      <c r="K275" s="95">
        <v>2024</v>
      </c>
    </row>
    <row r="276" spans="2:11" x14ac:dyDescent="0.2">
      <c r="B276" s="94">
        <v>260</v>
      </c>
      <c r="C276" s="94" t="s">
        <v>268</v>
      </c>
      <c r="D276" s="94" t="s">
        <v>86</v>
      </c>
      <c r="E276" s="94" t="s">
        <v>293</v>
      </c>
      <c r="F276" s="94" t="s">
        <v>231</v>
      </c>
      <c r="G276" s="95">
        <v>2008</v>
      </c>
      <c r="H276" s="94">
        <v>485638</v>
      </c>
      <c r="I276" s="95">
        <v>2024</v>
      </c>
      <c r="J276" s="94">
        <v>10</v>
      </c>
      <c r="K276" s="95">
        <v>2024</v>
      </c>
    </row>
    <row r="277" spans="2:11" x14ac:dyDescent="0.2">
      <c r="B277" s="94">
        <v>261</v>
      </c>
      <c r="C277" s="94" t="s">
        <v>268</v>
      </c>
      <c r="D277" s="94" t="s">
        <v>86</v>
      </c>
      <c r="E277" s="94" t="s">
        <v>293</v>
      </c>
      <c r="F277" s="94" t="s">
        <v>231</v>
      </c>
      <c r="G277" s="95">
        <v>2008</v>
      </c>
      <c r="H277" s="94">
        <v>586212</v>
      </c>
      <c r="I277" s="95">
        <v>2024</v>
      </c>
      <c r="J277" s="94">
        <v>11</v>
      </c>
      <c r="K277" s="95">
        <v>2024</v>
      </c>
    </row>
    <row r="278" spans="2:11" x14ac:dyDescent="0.2">
      <c r="B278" s="94">
        <v>262</v>
      </c>
      <c r="C278" s="94" t="s">
        <v>268</v>
      </c>
      <c r="D278" s="94" t="s">
        <v>86</v>
      </c>
      <c r="E278" s="94" t="s">
        <v>293</v>
      </c>
      <c r="F278" s="94" t="s">
        <v>231</v>
      </c>
      <c r="G278" s="95">
        <v>2008</v>
      </c>
      <c r="H278" s="94">
        <v>15561</v>
      </c>
      <c r="I278" s="95">
        <v>2024</v>
      </c>
      <c r="J278" s="94">
        <v>12</v>
      </c>
      <c r="K278" s="95">
        <v>2024</v>
      </c>
    </row>
    <row r="279" spans="2:11" x14ac:dyDescent="0.2">
      <c r="B279" s="94">
        <v>263</v>
      </c>
      <c r="C279" s="94" t="s">
        <v>268</v>
      </c>
      <c r="D279" s="94" t="s">
        <v>86</v>
      </c>
      <c r="E279" s="94" t="s">
        <v>293</v>
      </c>
      <c r="F279" s="94" t="s">
        <v>230</v>
      </c>
      <c r="G279" s="95">
        <v>2008</v>
      </c>
      <c r="H279" s="94">
        <v>4820</v>
      </c>
      <c r="I279" s="95">
        <v>2024</v>
      </c>
      <c r="J279" s="94">
        <v>2</v>
      </c>
      <c r="K279" s="95">
        <v>2024</v>
      </c>
    </row>
    <row r="280" spans="2:11" x14ac:dyDescent="0.2">
      <c r="B280" s="94">
        <v>264</v>
      </c>
      <c r="C280" s="94" t="s">
        <v>268</v>
      </c>
      <c r="D280" s="94" t="s">
        <v>86</v>
      </c>
      <c r="E280" s="94" t="s">
        <v>293</v>
      </c>
      <c r="F280" s="94" t="s">
        <v>230</v>
      </c>
      <c r="G280" s="95">
        <v>2008</v>
      </c>
      <c r="H280" s="94">
        <v>122893</v>
      </c>
      <c r="I280" s="95">
        <v>2024</v>
      </c>
      <c r="J280" s="94">
        <v>3</v>
      </c>
      <c r="K280" s="95">
        <v>2024</v>
      </c>
    </row>
    <row r="281" spans="2:11" x14ac:dyDescent="0.2">
      <c r="B281" s="94">
        <v>265</v>
      </c>
      <c r="C281" s="94" t="s">
        <v>268</v>
      </c>
      <c r="D281" s="94" t="s">
        <v>86</v>
      </c>
      <c r="E281" s="94" t="s">
        <v>293</v>
      </c>
      <c r="F281" s="94" t="s">
        <v>230</v>
      </c>
      <c r="G281" s="95">
        <v>2008</v>
      </c>
      <c r="H281" s="94">
        <v>100785</v>
      </c>
      <c r="I281" s="95">
        <v>2024</v>
      </c>
      <c r="J281" s="94">
        <v>5</v>
      </c>
      <c r="K281" s="95">
        <v>2024</v>
      </c>
    </row>
    <row r="282" spans="2:11" x14ac:dyDescent="0.2">
      <c r="B282" s="94">
        <v>266</v>
      </c>
      <c r="C282" s="94" t="s">
        <v>268</v>
      </c>
      <c r="D282" s="94" t="s">
        <v>86</v>
      </c>
      <c r="E282" s="94" t="s">
        <v>293</v>
      </c>
      <c r="F282" s="94" t="s">
        <v>230</v>
      </c>
      <c r="G282" s="95">
        <v>2008</v>
      </c>
      <c r="H282" s="94">
        <v>11429</v>
      </c>
      <c r="I282" s="95">
        <v>2024</v>
      </c>
      <c r="J282" s="94">
        <v>7</v>
      </c>
      <c r="K282" s="95">
        <v>2024</v>
      </c>
    </row>
    <row r="283" spans="2:11" x14ac:dyDescent="0.2">
      <c r="B283" s="94">
        <v>267</v>
      </c>
      <c r="C283" s="94" t="s">
        <v>268</v>
      </c>
      <c r="D283" s="94" t="s">
        <v>86</v>
      </c>
      <c r="E283" s="94" t="s">
        <v>293</v>
      </c>
      <c r="F283" s="94" t="s">
        <v>230</v>
      </c>
      <c r="G283" s="95">
        <v>2008</v>
      </c>
      <c r="H283" s="94">
        <v>7117</v>
      </c>
      <c r="I283" s="95">
        <v>2024</v>
      </c>
      <c r="J283" s="94">
        <v>8</v>
      </c>
      <c r="K283" s="95">
        <v>2024</v>
      </c>
    </row>
    <row r="284" spans="2:11" x14ac:dyDescent="0.2">
      <c r="B284" s="94">
        <v>268</v>
      </c>
      <c r="C284" s="94" t="s">
        <v>268</v>
      </c>
      <c r="D284" s="94" t="s">
        <v>86</v>
      </c>
      <c r="E284" s="94" t="s">
        <v>293</v>
      </c>
      <c r="F284" s="94" t="s">
        <v>230</v>
      </c>
      <c r="G284" s="95">
        <v>2008</v>
      </c>
      <c r="H284" s="94">
        <v>2064</v>
      </c>
      <c r="I284" s="95">
        <v>2024</v>
      </c>
      <c r="J284" s="94">
        <v>9</v>
      </c>
      <c r="K284" s="95">
        <v>2024</v>
      </c>
    </row>
    <row r="285" spans="2:11" x14ac:dyDescent="0.2">
      <c r="B285" s="94">
        <v>269</v>
      </c>
      <c r="C285" s="94" t="s">
        <v>268</v>
      </c>
      <c r="D285" s="94" t="s">
        <v>86</v>
      </c>
      <c r="E285" s="94" t="s">
        <v>293</v>
      </c>
      <c r="F285" s="94" t="s">
        <v>230</v>
      </c>
      <c r="G285" s="95">
        <v>2008</v>
      </c>
      <c r="H285" s="94">
        <v>17108</v>
      </c>
      <c r="I285" s="95">
        <v>2024</v>
      </c>
      <c r="J285" s="94">
        <v>10</v>
      </c>
      <c r="K285" s="95">
        <v>2024</v>
      </c>
    </row>
    <row r="286" spans="2:11" x14ac:dyDescent="0.2">
      <c r="B286" s="94">
        <v>270</v>
      </c>
      <c r="C286" s="94" t="s">
        <v>268</v>
      </c>
      <c r="D286" s="94" t="s">
        <v>86</v>
      </c>
      <c r="E286" s="94" t="s">
        <v>293</v>
      </c>
      <c r="F286" s="94" t="s">
        <v>230</v>
      </c>
      <c r="G286" s="95">
        <v>2008</v>
      </c>
      <c r="H286" s="94">
        <v>16914</v>
      </c>
      <c r="I286" s="95">
        <v>2024</v>
      </c>
      <c r="J286" s="94">
        <v>12</v>
      </c>
      <c r="K286" s="95">
        <v>2024</v>
      </c>
    </row>
    <row r="287" spans="2:11" x14ac:dyDescent="0.2">
      <c r="B287" s="94">
        <v>271</v>
      </c>
      <c r="C287" s="94" t="s">
        <v>268</v>
      </c>
      <c r="D287" s="94" t="s">
        <v>86</v>
      </c>
      <c r="E287" s="94" t="s">
        <v>293</v>
      </c>
      <c r="F287" s="94" t="s">
        <v>233</v>
      </c>
      <c r="G287" s="95">
        <v>2015</v>
      </c>
      <c r="H287" s="94">
        <v>18203</v>
      </c>
      <c r="I287" s="95">
        <v>2024</v>
      </c>
      <c r="J287" s="94">
        <v>1</v>
      </c>
      <c r="K287" s="95">
        <v>2024</v>
      </c>
    </row>
    <row r="288" spans="2:11" x14ac:dyDescent="0.2">
      <c r="B288" s="94">
        <v>272</v>
      </c>
      <c r="C288" s="94" t="s">
        <v>268</v>
      </c>
      <c r="D288" s="94" t="s">
        <v>86</v>
      </c>
      <c r="E288" s="94" t="s">
        <v>293</v>
      </c>
      <c r="F288" s="94" t="s">
        <v>232</v>
      </c>
      <c r="G288" s="95">
        <v>2008</v>
      </c>
      <c r="H288" s="94">
        <v>190275</v>
      </c>
      <c r="I288" s="95">
        <v>2024</v>
      </c>
      <c r="J288" s="94">
        <v>7</v>
      </c>
      <c r="K288" s="95">
        <v>2024</v>
      </c>
    </row>
    <row r="289" spans="2:11" x14ac:dyDescent="0.2">
      <c r="B289" s="94">
        <v>273</v>
      </c>
      <c r="C289" s="94" t="s">
        <v>268</v>
      </c>
      <c r="D289" s="94" t="s">
        <v>86</v>
      </c>
      <c r="E289" s="94" t="s">
        <v>293</v>
      </c>
      <c r="F289" s="94" t="s">
        <v>232</v>
      </c>
      <c r="G289" s="95">
        <v>2008</v>
      </c>
      <c r="H289" s="94">
        <v>430908</v>
      </c>
      <c r="I289" s="95">
        <v>2024</v>
      </c>
      <c r="J289" s="94">
        <v>11</v>
      </c>
      <c r="K289" s="95">
        <v>2024</v>
      </c>
    </row>
    <row r="290" spans="2:11" x14ac:dyDescent="0.2">
      <c r="B290" s="94">
        <v>274</v>
      </c>
      <c r="C290" s="94" t="s">
        <v>268</v>
      </c>
      <c r="D290" s="94" t="s">
        <v>86</v>
      </c>
      <c r="E290" s="94" t="s">
        <v>293</v>
      </c>
      <c r="F290" s="94" t="s">
        <v>232</v>
      </c>
      <c r="G290" s="95">
        <v>2008</v>
      </c>
      <c r="H290" s="94">
        <v>69755</v>
      </c>
      <c r="I290" s="95">
        <v>2024</v>
      </c>
      <c r="J290" s="94">
        <v>12</v>
      </c>
      <c r="K290" s="95">
        <v>2024</v>
      </c>
    </row>
    <row r="291" spans="2:11" x14ac:dyDescent="0.2">
      <c r="B291" s="94">
        <v>275</v>
      </c>
      <c r="C291" s="94" t="s">
        <v>268</v>
      </c>
      <c r="D291" s="94" t="s">
        <v>85</v>
      </c>
      <c r="E291" s="94" t="s">
        <v>293</v>
      </c>
      <c r="F291" s="94" t="s">
        <v>228</v>
      </c>
      <c r="G291" s="95">
        <v>2000</v>
      </c>
      <c r="H291" s="94">
        <v>4606094</v>
      </c>
      <c r="I291" s="95">
        <v>2024</v>
      </c>
      <c r="J291" s="94">
        <v>7</v>
      </c>
      <c r="K291" s="95">
        <v>2024</v>
      </c>
    </row>
    <row r="292" spans="2:11" x14ac:dyDescent="0.2">
      <c r="B292" s="94">
        <v>276</v>
      </c>
      <c r="C292" s="94" t="s">
        <v>268</v>
      </c>
      <c r="D292" s="94" t="s">
        <v>85</v>
      </c>
      <c r="E292" s="94" t="s">
        <v>293</v>
      </c>
      <c r="F292" s="94" t="s">
        <v>228</v>
      </c>
      <c r="G292" s="95">
        <v>2000</v>
      </c>
      <c r="H292" s="94">
        <v>43786</v>
      </c>
      <c r="I292" s="95">
        <v>2024</v>
      </c>
      <c r="J292" s="94">
        <v>10</v>
      </c>
      <c r="K292" s="95">
        <v>2024</v>
      </c>
    </row>
    <row r="293" spans="2:11" x14ac:dyDescent="0.2">
      <c r="B293" s="94">
        <v>277</v>
      </c>
      <c r="C293" s="94" t="s">
        <v>268</v>
      </c>
      <c r="D293" s="94" t="s">
        <v>85</v>
      </c>
      <c r="E293" s="94" t="s">
        <v>293</v>
      </c>
      <c r="F293" s="94" t="s">
        <v>228</v>
      </c>
      <c r="G293" s="95">
        <v>2000</v>
      </c>
      <c r="H293" s="94">
        <v>235728</v>
      </c>
      <c r="I293" s="95">
        <v>2024</v>
      </c>
      <c r="J293" s="94">
        <v>11</v>
      </c>
      <c r="K293" s="95">
        <v>2024</v>
      </c>
    </row>
    <row r="294" spans="2:11" x14ac:dyDescent="0.2">
      <c r="B294" s="94">
        <v>278</v>
      </c>
      <c r="C294" s="94" t="s">
        <v>268</v>
      </c>
      <c r="D294" s="94" t="s">
        <v>85</v>
      </c>
      <c r="E294" s="94" t="s">
        <v>293</v>
      </c>
      <c r="F294" s="94" t="s">
        <v>228</v>
      </c>
      <c r="G294" s="95">
        <v>2000</v>
      </c>
      <c r="H294" s="94">
        <v>2525776</v>
      </c>
      <c r="I294" s="95">
        <v>2024</v>
      </c>
      <c r="J294" s="94">
        <v>12</v>
      </c>
      <c r="K294" s="95">
        <v>2024</v>
      </c>
    </row>
    <row r="295" spans="2:11" x14ac:dyDescent="0.2">
      <c r="B295" s="94">
        <v>279</v>
      </c>
      <c r="C295" s="94" t="s">
        <v>268</v>
      </c>
      <c r="D295" s="94" t="s">
        <v>86</v>
      </c>
      <c r="E295" s="94" t="s">
        <v>293</v>
      </c>
      <c r="F295" s="94" t="s">
        <v>231</v>
      </c>
      <c r="G295" s="95">
        <v>2008</v>
      </c>
      <c r="H295" s="94">
        <v>68684</v>
      </c>
      <c r="I295" s="95">
        <v>2024</v>
      </c>
      <c r="J295" s="94">
        <v>6</v>
      </c>
      <c r="K295" s="95">
        <v>2024</v>
      </c>
    </row>
    <row r="296" spans="2:11" x14ac:dyDescent="0.2">
      <c r="B296" s="94">
        <v>280</v>
      </c>
      <c r="C296" s="94" t="s">
        <v>268</v>
      </c>
      <c r="D296" s="94" t="s">
        <v>86</v>
      </c>
      <c r="E296" s="94" t="s">
        <v>293</v>
      </c>
      <c r="F296" s="94" t="s">
        <v>231</v>
      </c>
      <c r="G296" s="95">
        <v>2008</v>
      </c>
      <c r="H296" s="94">
        <v>29559</v>
      </c>
      <c r="I296" s="95">
        <v>2024</v>
      </c>
      <c r="J296" s="94">
        <v>12</v>
      </c>
      <c r="K296" s="95">
        <v>2024</v>
      </c>
    </row>
    <row r="297" spans="2:11" x14ac:dyDescent="0.2">
      <c r="B297" s="94">
        <v>281</v>
      </c>
      <c r="C297" s="94" t="s">
        <v>268</v>
      </c>
      <c r="D297" s="94" t="s">
        <v>86</v>
      </c>
      <c r="E297" s="94" t="s">
        <v>293</v>
      </c>
      <c r="F297" s="94" t="s">
        <v>230</v>
      </c>
      <c r="G297" s="95">
        <v>2008</v>
      </c>
      <c r="H297" s="94">
        <v>10863</v>
      </c>
      <c r="I297" s="95">
        <v>2024</v>
      </c>
      <c r="J297" s="94">
        <v>12</v>
      </c>
      <c r="K297" s="95">
        <v>2024</v>
      </c>
    </row>
    <row r="298" spans="2:11" x14ac:dyDescent="0.2">
      <c r="B298" s="94">
        <v>282</v>
      </c>
      <c r="C298" s="94" t="s">
        <v>267</v>
      </c>
      <c r="D298" s="94" t="s">
        <v>85</v>
      </c>
      <c r="E298" s="94" t="s">
        <v>293</v>
      </c>
      <c r="F298" s="94" t="s">
        <v>253</v>
      </c>
      <c r="G298" s="95">
        <v>2011</v>
      </c>
      <c r="H298" s="94">
        <v>5204494</v>
      </c>
      <c r="I298" s="95">
        <v>2024</v>
      </c>
      <c r="J298" s="94">
        <v>6</v>
      </c>
      <c r="K298" s="95">
        <v>2024</v>
      </c>
    </row>
    <row r="299" spans="2:11" x14ac:dyDescent="0.2">
      <c r="B299" s="94">
        <v>283</v>
      </c>
      <c r="C299" s="94" t="s">
        <v>267</v>
      </c>
      <c r="D299" s="94" t="s">
        <v>85</v>
      </c>
      <c r="E299" s="94" t="s">
        <v>293</v>
      </c>
      <c r="F299" s="94" t="s">
        <v>249</v>
      </c>
      <c r="G299" s="95">
        <v>2005</v>
      </c>
      <c r="H299" s="94">
        <v>12021</v>
      </c>
      <c r="I299" s="95">
        <v>2024</v>
      </c>
      <c r="J299" s="94">
        <v>12</v>
      </c>
      <c r="K299" s="95">
        <v>2024</v>
      </c>
    </row>
    <row r="300" spans="2:11" x14ac:dyDescent="0.2">
      <c r="B300" s="94">
        <v>284</v>
      </c>
      <c r="C300" s="94" t="s">
        <v>267</v>
      </c>
      <c r="D300" s="94" t="s">
        <v>85</v>
      </c>
      <c r="E300" s="94" t="s">
        <v>293</v>
      </c>
      <c r="F300" s="94" t="s">
        <v>249</v>
      </c>
      <c r="G300" s="95">
        <v>2005</v>
      </c>
      <c r="H300" s="94">
        <v>126811</v>
      </c>
      <c r="I300" s="95">
        <v>2024</v>
      </c>
      <c r="J300" s="94">
        <v>12</v>
      </c>
      <c r="K300" s="95">
        <v>2024</v>
      </c>
    </row>
    <row r="301" spans="2:11" x14ac:dyDescent="0.2">
      <c r="B301" s="94">
        <v>285</v>
      </c>
      <c r="C301" s="94" t="s">
        <v>267</v>
      </c>
      <c r="D301" s="94" t="s">
        <v>85</v>
      </c>
      <c r="E301" s="94" t="s">
        <v>293</v>
      </c>
      <c r="F301" s="94" t="s">
        <v>253</v>
      </c>
      <c r="G301" s="95">
        <v>2015</v>
      </c>
      <c r="H301" s="94">
        <v>6510694</v>
      </c>
      <c r="I301" s="95">
        <v>2024</v>
      </c>
      <c r="J301" s="94">
        <v>6</v>
      </c>
      <c r="K301" s="95">
        <v>2024</v>
      </c>
    </row>
    <row r="302" spans="2:11" x14ac:dyDescent="0.2">
      <c r="B302" s="94">
        <v>286</v>
      </c>
      <c r="C302" s="94" t="s">
        <v>267</v>
      </c>
      <c r="D302" s="94" t="s">
        <v>85</v>
      </c>
      <c r="E302" s="94" t="s">
        <v>293</v>
      </c>
      <c r="F302" s="94" t="s">
        <v>253</v>
      </c>
      <c r="G302" s="95">
        <v>2015</v>
      </c>
      <c r="H302" s="94">
        <v>3615292</v>
      </c>
      <c r="I302" s="95">
        <v>2024</v>
      </c>
      <c r="J302" s="94">
        <v>6</v>
      </c>
      <c r="K302" s="95">
        <v>2024</v>
      </c>
    </row>
    <row r="303" spans="2:11" x14ac:dyDescent="0.2">
      <c r="B303" s="94">
        <v>287</v>
      </c>
      <c r="C303" s="94" t="s">
        <v>268</v>
      </c>
      <c r="D303" s="94" t="s">
        <v>85</v>
      </c>
      <c r="E303" s="94" t="s">
        <v>293</v>
      </c>
      <c r="F303" s="94" t="s">
        <v>254</v>
      </c>
      <c r="G303" s="95">
        <v>2001</v>
      </c>
      <c r="H303" s="94">
        <v>193892</v>
      </c>
      <c r="I303" s="95">
        <v>2024</v>
      </c>
      <c r="J303" s="94">
        <v>1</v>
      </c>
      <c r="K303" s="95">
        <v>2024</v>
      </c>
    </row>
    <row r="304" spans="2:11" x14ac:dyDescent="0.2">
      <c r="B304" s="94">
        <v>288</v>
      </c>
      <c r="C304" s="94" t="s">
        <v>268</v>
      </c>
      <c r="D304" s="94" t="s">
        <v>85</v>
      </c>
      <c r="E304" s="94" t="s">
        <v>293</v>
      </c>
      <c r="F304" s="94" t="s">
        <v>255</v>
      </c>
      <c r="G304" s="95">
        <v>2005</v>
      </c>
      <c r="H304" s="94">
        <v>19683</v>
      </c>
      <c r="I304" s="95">
        <v>2024</v>
      </c>
      <c r="J304" s="94">
        <v>8</v>
      </c>
      <c r="K304" s="95">
        <v>2024</v>
      </c>
    </row>
    <row r="305" spans="2:11" x14ac:dyDescent="0.2">
      <c r="B305" s="94">
        <v>289</v>
      </c>
      <c r="C305" s="94" t="s">
        <v>268</v>
      </c>
      <c r="D305" s="94" t="s">
        <v>85</v>
      </c>
      <c r="E305" s="94" t="s">
        <v>293</v>
      </c>
      <c r="F305" s="94" t="s">
        <v>255</v>
      </c>
      <c r="G305" s="95">
        <v>2009</v>
      </c>
      <c r="H305" s="94">
        <v>46550</v>
      </c>
      <c r="I305" s="95">
        <v>2024</v>
      </c>
      <c r="J305" s="94">
        <v>8</v>
      </c>
      <c r="K305" s="95">
        <v>2024</v>
      </c>
    </row>
    <row r="306" spans="2:11" x14ac:dyDescent="0.2">
      <c r="B306" s="94">
        <v>290</v>
      </c>
      <c r="C306" s="94" t="s">
        <v>268</v>
      </c>
      <c r="D306" s="94" t="s">
        <v>85</v>
      </c>
      <c r="E306" s="94" t="s">
        <v>293</v>
      </c>
      <c r="F306" s="94" t="s">
        <v>249</v>
      </c>
      <c r="G306" s="95">
        <v>2005</v>
      </c>
      <c r="H306" s="94">
        <v>22858</v>
      </c>
      <c r="I306" s="95">
        <v>2024</v>
      </c>
      <c r="J306" s="94">
        <v>12</v>
      </c>
      <c r="K306" s="95">
        <v>2024</v>
      </c>
    </row>
    <row r="307" spans="2:11" x14ac:dyDescent="0.2">
      <c r="B307" s="94">
        <v>291</v>
      </c>
      <c r="C307" s="94" t="s">
        <v>268</v>
      </c>
      <c r="D307" s="94" t="s">
        <v>85</v>
      </c>
      <c r="E307" s="94" t="s">
        <v>293</v>
      </c>
      <c r="F307" s="94" t="s">
        <v>249</v>
      </c>
      <c r="G307" s="95">
        <v>2005</v>
      </c>
      <c r="H307" s="94">
        <v>643</v>
      </c>
      <c r="I307" s="95">
        <v>2024</v>
      </c>
      <c r="J307" s="94">
        <v>12</v>
      </c>
      <c r="K307" s="95">
        <v>2024</v>
      </c>
    </row>
    <row r="308" spans="2:11" x14ac:dyDescent="0.2">
      <c r="B308" s="94">
        <v>292</v>
      </c>
      <c r="C308" s="94" t="s">
        <v>268</v>
      </c>
      <c r="D308" s="94" t="s">
        <v>85</v>
      </c>
      <c r="E308" s="94" t="s">
        <v>293</v>
      </c>
      <c r="F308" s="94" t="s">
        <v>249</v>
      </c>
      <c r="G308" s="95">
        <v>2005</v>
      </c>
      <c r="H308" s="94">
        <v>241126</v>
      </c>
      <c r="I308" s="95">
        <v>2024</v>
      </c>
      <c r="J308" s="94">
        <v>12</v>
      </c>
      <c r="K308" s="95">
        <v>2024</v>
      </c>
    </row>
    <row r="309" spans="2:11" x14ac:dyDescent="0.2">
      <c r="B309" s="94">
        <v>293</v>
      </c>
      <c r="C309" s="94" t="s">
        <v>268</v>
      </c>
      <c r="D309" s="94" t="s">
        <v>85</v>
      </c>
      <c r="E309" s="94" t="s">
        <v>293</v>
      </c>
      <c r="F309" s="94" t="s">
        <v>255</v>
      </c>
      <c r="G309" s="95">
        <v>2017</v>
      </c>
      <c r="H309" s="94">
        <v>136881</v>
      </c>
      <c r="I309" s="95">
        <v>2024</v>
      </c>
      <c r="J309" s="94">
        <v>8</v>
      </c>
      <c r="K309" s="95">
        <v>2024</v>
      </c>
    </row>
    <row r="310" spans="2:11" x14ac:dyDescent="0.2">
      <c r="B310" s="94">
        <v>294</v>
      </c>
      <c r="C310" s="94" t="s">
        <v>268</v>
      </c>
      <c r="D310" s="94" t="s">
        <v>85</v>
      </c>
      <c r="E310" s="94" t="s">
        <v>293</v>
      </c>
      <c r="F310" s="94" t="s">
        <v>255</v>
      </c>
      <c r="G310" s="95">
        <v>2017</v>
      </c>
      <c r="H310" s="94">
        <v>792370</v>
      </c>
      <c r="I310" s="95">
        <v>2024</v>
      </c>
      <c r="J310" s="94">
        <v>8</v>
      </c>
      <c r="K310" s="95">
        <v>2024</v>
      </c>
    </row>
    <row r="311" spans="2:11" x14ac:dyDescent="0.2">
      <c r="B311" s="94">
        <v>295</v>
      </c>
      <c r="C311" s="94" t="s">
        <v>268</v>
      </c>
      <c r="D311" s="94" t="s">
        <v>85</v>
      </c>
      <c r="E311" s="94" t="s">
        <v>293</v>
      </c>
      <c r="F311" s="94" t="s">
        <v>260</v>
      </c>
      <c r="G311" s="95">
        <v>2019</v>
      </c>
      <c r="H311" s="94">
        <v>250528</v>
      </c>
      <c r="I311" s="95">
        <v>2024</v>
      </c>
      <c r="J311" s="94">
        <v>12</v>
      </c>
      <c r="K311" s="95">
        <v>2024</v>
      </c>
    </row>
    <row r="312" spans="2:11" x14ac:dyDescent="0.2">
      <c r="B312" s="94">
        <v>296</v>
      </c>
      <c r="C312" s="94" t="s">
        <v>268</v>
      </c>
      <c r="D312" s="94" t="s">
        <v>85</v>
      </c>
      <c r="E312" s="94" t="s">
        <v>293</v>
      </c>
      <c r="F312" s="94" t="s">
        <v>255</v>
      </c>
      <c r="G312" s="95">
        <v>2011</v>
      </c>
      <c r="H312" s="94">
        <v>5275</v>
      </c>
      <c r="I312" s="95">
        <v>2024</v>
      </c>
      <c r="J312" s="94">
        <v>8</v>
      </c>
      <c r="K312" s="95">
        <v>2024</v>
      </c>
    </row>
    <row r="313" spans="2:11" x14ac:dyDescent="0.2">
      <c r="B313" s="94">
        <v>297</v>
      </c>
      <c r="C313" s="94" t="s">
        <v>268</v>
      </c>
      <c r="D313" s="94" t="s">
        <v>85</v>
      </c>
      <c r="E313" s="94" t="s">
        <v>293</v>
      </c>
      <c r="F313" s="94" t="s">
        <v>255</v>
      </c>
      <c r="G313" s="95">
        <v>2015</v>
      </c>
      <c r="H313" s="94">
        <v>83625</v>
      </c>
      <c r="I313" s="95">
        <v>2024</v>
      </c>
      <c r="J313" s="94">
        <v>8</v>
      </c>
      <c r="K313" s="95">
        <v>2024</v>
      </c>
    </row>
    <row r="314" spans="2:11" x14ac:dyDescent="0.2">
      <c r="B314" s="94">
        <v>298</v>
      </c>
      <c r="C314" s="94" t="s">
        <v>268</v>
      </c>
      <c r="D314" s="94" t="s">
        <v>86</v>
      </c>
      <c r="E314" s="94" t="s">
        <v>293</v>
      </c>
      <c r="F314" s="94" t="s">
        <v>249</v>
      </c>
      <c r="G314" s="95">
        <v>2005</v>
      </c>
      <c r="H314" s="94">
        <v>8994</v>
      </c>
      <c r="I314" s="95">
        <v>2024</v>
      </c>
      <c r="J314" s="94">
        <v>12</v>
      </c>
      <c r="K314" s="95">
        <v>2024</v>
      </c>
    </row>
    <row r="315" spans="2:11" x14ac:dyDescent="0.2">
      <c r="B315" s="94">
        <v>299</v>
      </c>
      <c r="C315" s="94" t="s">
        <v>268</v>
      </c>
      <c r="D315" s="94" t="s">
        <v>86</v>
      </c>
      <c r="E315" s="94" t="s">
        <v>293</v>
      </c>
      <c r="F315" s="94" t="s">
        <v>249</v>
      </c>
      <c r="G315" s="95">
        <v>2005</v>
      </c>
      <c r="H315" s="94">
        <v>94877</v>
      </c>
      <c r="I315" s="95">
        <v>2024</v>
      </c>
      <c r="J315" s="94">
        <v>12</v>
      </c>
      <c r="K315" s="95">
        <v>2024</v>
      </c>
    </row>
    <row r="316" spans="2:11" x14ac:dyDescent="0.2">
      <c r="B316" s="94">
        <v>300</v>
      </c>
      <c r="C316" s="94" t="s">
        <v>268</v>
      </c>
      <c r="D316" s="94" t="s">
        <v>86</v>
      </c>
      <c r="E316" s="94" t="s">
        <v>293</v>
      </c>
      <c r="F316" s="94" t="s">
        <v>251</v>
      </c>
      <c r="G316" s="95">
        <v>2017</v>
      </c>
      <c r="H316" s="94">
        <v>300179</v>
      </c>
      <c r="I316" s="95">
        <v>2024</v>
      </c>
      <c r="J316" s="94">
        <v>7</v>
      </c>
      <c r="K316" s="95">
        <v>2024</v>
      </c>
    </row>
    <row r="317" spans="2:11" x14ac:dyDescent="0.2">
      <c r="B317" s="94">
        <v>301</v>
      </c>
      <c r="C317" s="94" t="s">
        <v>268</v>
      </c>
      <c r="D317" s="94" t="s">
        <v>86</v>
      </c>
      <c r="E317" s="94" t="s">
        <v>293</v>
      </c>
      <c r="F317" s="94" t="s">
        <v>254</v>
      </c>
      <c r="G317" s="95">
        <v>2015</v>
      </c>
      <c r="H317" s="94">
        <v>112533</v>
      </c>
      <c r="I317" s="95">
        <v>2024</v>
      </c>
      <c r="J317" s="94">
        <v>5</v>
      </c>
      <c r="K317" s="95">
        <v>2024</v>
      </c>
    </row>
    <row r="318" spans="2:11" x14ac:dyDescent="0.2">
      <c r="B318" s="94">
        <v>302</v>
      </c>
      <c r="C318" s="94" t="s">
        <v>268</v>
      </c>
      <c r="D318" s="94" t="s">
        <v>86</v>
      </c>
      <c r="E318" s="94" t="s">
        <v>293</v>
      </c>
      <c r="F318" s="94" t="s">
        <v>254</v>
      </c>
      <c r="G318" s="95">
        <v>2018</v>
      </c>
      <c r="H318" s="94">
        <v>273</v>
      </c>
      <c r="I318" s="95">
        <v>2024</v>
      </c>
      <c r="J318" s="94">
        <v>4</v>
      </c>
      <c r="K318" s="95">
        <v>2024</v>
      </c>
    </row>
    <row r="319" spans="2:11" x14ac:dyDescent="0.2">
      <c r="B319" s="94">
        <v>303</v>
      </c>
      <c r="C319" s="94" t="s">
        <v>268</v>
      </c>
      <c r="D319" s="94" t="s">
        <v>86</v>
      </c>
      <c r="E319" s="94" t="s">
        <v>293</v>
      </c>
      <c r="F319" s="94" t="s">
        <v>250</v>
      </c>
      <c r="G319" s="95">
        <v>2015</v>
      </c>
      <c r="H319" s="94">
        <v>77048</v>
      </c>
      <c r="I319" s="95">
        <v>2024</v>
      </c>
      <c r="J319" s="94">
        <v>10</v>
      </c>
      <c r="K319" s="95">
        <v>2024</v>
      </c>
    </row>
    <row r="320" spans="2:11" x14ac:dyDescent="0.2">
      <c r="B320" s="94">
        <v>304</v>
      </c>
      <c r="C320" s="94" t="s">
        <v>268</v>
      </c>
      <c r="D320" s="94" t="s">
        <v>86</v>
      </c>
      <c r="E320" s="94" t="s">
        <v>293</v>
      </c>
      <c r="F320" s="94" t="s">
        <v>250</v>
      </c>
      <c r="G320" s="95">
        <v>2015</v>
      </c>
      <c r="H320" s="94">
        <v>70171</v>
      </c>
      <c r="I320" s="95">
        <v>2024</v>
      </c>
      <c r="J320" s="94">
        <v>7</v>
      </c>
      <c r="K320" s="95">
        <v>2024</v>
      </c>
    </row>
    <row r="321" spans="2:11" x14ac:dyDescent="0.2">
      <c r="B321" s="94">
        <v>305</v>
      </c>
      <c r="C321" s="94" t="s">
        <v>268</v>
      </c>
      <c r="D321" s="94" t="s">
        <v>86</v>
      </c>
      <c r="E321" s="94" t="s">
        <v>293</v>
      </c>
      <c r="F321" s="94" t="s">
        <v>250</v>
      </c>
      <c r="G321" s="95">
        <v>2018</v>
      </c>
      <c r="H321" s="94">
        <v>84</v>
      </c>
      <c r="I321" s="95">
        <v>2024</v>
      </c>
      <c r="J321" s="94">
        <v>4</v>
      </c>
      <c r="K321" s="95">
        <v>2024</v>
      </c>
    </row>
    <row r="322" spans="2:11" x14ac:dyDescent="0.2">
      <c r="B322" s="94">
        <v>306</v>
      </c>
      <c r="C322" s="94" t="s">
        <v>268</v>
      </c>
      <c r="D322" s="94" t="s">
        <v>86</v>
      </c>
      <c r="E322" s="94" t="s">
        <v>293</v>
      </c>
      <c r="F322" s="94" t="s">
        <v>253</v>
      </c>
      <c r="G322" s="95">
        <v>2015</v>
      </c>
      <c r="H322" s="94">
        <v>1020846</v>
      </c>
      <c r="I322" s="95">
        <v>2024</v>
      </c>
      <c r="J322" s="94">
        <v>6</v>
      </c>
      <c r="K322" s="95">
        <v>2024</v>
      </c>
    </row>
    <row r="323" spans="2:11" x14ac:dyDescent="0.2">
      <c r="B323" s="94">
        <v>307</v>
      </c>
      <c r="C323" s="94" t="s">
        <v>268</v>
      </c>
      <c r="D323" s="94" t="s">
        <v>86</v>
      </c>
      <c r="E323" s="94" t="s">
        <v>293</v>
      </c>
      <c r="F323" s="94" t="s">
        <v>260</v>
      </c>
      <c r="G323" s="95">
        <v>2019</v>
      </c>
      <c r="H323" s="94">
        <v>3709638</v>
      </c>
      <c r="I323" s="95">
        <v>2024</v>
      </c>
      <c r="J323" s="94">
        <v>12</v>
      </c>
      <c r="K323" s="95">
        <v>2024</v>
      </c>
    </row>
    <row r="324" spans="2:11" x14ac:dyDescent="0.2">
      <c r="B324" s="94">
        <v>308</v>
      </c>
      <c r="C324" s="94" t="s">
        <v>268</v>
      </c>
      <c r="D324" s="94" t="s">
        <v>86</v>
      </c>
      <c r="E324" s="94" t="s">
        <v>293</v>
      </c>
      <c r="F324" s="94" t="s">
        <v>260</v>
      </c>
      <c r="G324" s="95">
        <v>2020</v>
      </c>
      <c r="H324" s="94">
        <v>2861016</v>
      </c>
      <c r="I324" s="95">
        <v>2024</v>
      </c>
      <c r="J324" s="94">
        <v>6</v>
      </c>
      <c r="K324" s="95">
        <v>2024</v>
      </c>
    </row>
    <row r="325" spans="2:11" x14ac:dyDescent="0.2">
      <c r="B325" s="94">
        <v>309</v>
      </c>
      <c r="C325" s="94" t="s">
        <v>268</v>
      </c>
      <c r="D325" s="94" t="s">
        <v>86</v>
      </c>
      <c r="E325" s="94" t="s">
        <v>293</v>
      </c>
      <c r="F325" s="94" t="s">
        <v>251</v>
      </c>
      <c r="G325" s="95">
        <v>2015</v>
      </c>
      <c r="H325" s="94">
        <v>340</v>
      </c>
      <c r="I325" s="95">
        <v>2024</v>
      </c>
      <c r="J325" s="94">
        <v>7</v>
      </c>
      <c r="K325" s="95">
        <v>2024</v>
      </c>
    </row>
    <row r="326" spans="2:11" x14ac:dyDescent="0.2">
      <c r="B326" s="94">
        <v>310</v>
      </c>
      <c r="C326" s="94" t="s">
        <v>268</v>
      </c>
      <c r="D326" s="94" t="s">
        <v>86</v>
      </c>
      <c r="E326" s="94" t="s">
        <v>293</v>
      </c>
      <c r="F326" s="94" t="s">
        <v>251</v>
      </c>
      <c r="G326" s="95">
        <v>2015</v>
      </c>
      <c r="H326" s="94">
        <v>3665</v>
      </c>
      <c r="I326" s="95">
        <v>2024</v>
      </c>
      <c r="J326" s="94">
        <v>10</v>
      </c>
      <c r="K326" s="95">
        <v>2024</v>
      </c>
    </row>
    <row r="327" spans="2:11" x14ac:dyDescent="0.2">
      <c r="B327" s="94">
        <v>311</v>
      </c>
      <c r="C327" s="94" t="s">
        <v>268</v>
      </c>
      <c r="D327" s="94" t="s">
        <v>86</v>
      </c>
      <c r="E327" s="94" t="s">
        <v>293</v>
      </c>
      <c r="F327" s="94" t="s">
        <v>251</v>
      </c>
      <c r="G327" s="95">
        <v>2015</v>
      </c>
      <c r="H327" s="94">
        <v>2823</v>
      </c>
      <c r="I327" s="95">
        <v>2024</v>
      </c>
      <c r="J327" s="94">
        <v>7</v>
      </c>
      <c r="K327" s="95">
        <v>2024</v>
      </c>
    </row>
    <row r="328" spans="2:11" x14ac:dyDescent="0.2">
      <c r="B328" s="94">
        <v>312</v>
      </c>
      <c r="C328" s="94" t="s">
        <v>268</v>
      </c>
      <c r="D328" s="94" t="s">
        <v>86</v>
      </c>
      <c r="E328" s="94" t="s">
        <v>293</v>
      </c>
      <c r="F328" s="94" t="s">
        <v>251</v>
      </c>
      <c r="G328" s="95">
        <v>2016</v>
      </c>
      <c r="H328" s="94">
        <v>155812</v>
      </c>
      <c r="I328" s="95">
        <v>2024</v>
      </c>
      <c r="J328" s="94">
        <v>12</v>
      </c>
      <c r="K328" s="95">
        <v>2024</v>
      </c>
    </row>
    <row r="329" spans="2:11" x14ac:dyDescent="0.2">
      <c r="B329" s="94">
        <v>313</v>
      </c>
      <c r="C329" s="94" t="s">
        <v>268</v>
      </c>
      <c r="D329" s="94" t="s">
        <v>86</v>
      </c>
      <c r="E329" s="94" t="s">
        <v>293</v>
      </c>
      <c r="F329" s="94" t="s">
        <v>251</v>
      </c>
      <c r="G329" s="95">
        <v>2017</v>
      </c>
      <c r="H329" s="94">
        <v>3289</v>
      </c>
      <c r="I329" s="95">
        <v>2024</v>
      </c>
      <c r="J329" s="94">
        <v>7</v>
      </c>
      <c r="K329" s="95">
        <v>2024</v>
      </c>
    </row>
    <row r="330" spans="2:11" x14ac:dyDescent="0.2">
      <c r="B330" s="94">
        <v>314</v>
      </c>
      <c r="C330" s="94" t="s">
        <v>268</v>
      </c>
      <c r="D330" s="94" t="s">
        <v>86</v>
      </c>
      <c r="E330" s="94" t="s">
        <v>293</v>
      </c>
      <c r="F330" s="94" t="s">
        <v>251</v>
      </c>
      <c r="G330" s="95">
        <v>2020</v>
      </c>
      <c r="H330" s="94">
        <v>32480</v>
      </c>
      <c r="I330" s="95">
        <v>2024</v>
      </c>
      <c r="J330" s="94">
        <v>10</v>
      </c>
      <c r="K330" s="95">
        <v>2024</v>
      </c>
    </row>
    <row r="331" spans="2:11" x14ac:dyDescent="0.2">
      <c r="B331" s="94">
        <v>315</v>
      </c>
      <c r="C331" s="94" t="s">
        <v>268</v>
      </c>
      <c r="D331" s="94" t="s">
        <v>86</v>
      </c>
      <c r="E331" s="94" t="s">
        <v>293</v>
      </c>
      <c r="F331" s="94" t="s">
        <v>254</v>
      </c>
      <c r="G331" s="95">
        <v>2012</v>
      </c>
      <c r="H331" s="94">
        <v>220267</v>
      </c>
      <c r="I331" s="95">
        <v>2024</v>
      </c>
      <c r="J331" s="94">
        <v>12</v>
      </c>
      <c r="K331" s="95">
        <v>2024</v>
      </c>
    </row>
    <row r="332" spans="2:11" x14ac:dyDescent="0.2">
      <c r="B332" s="94">
        <v>316</v>
      </c>
      <c r="C332" s="94" t="s">
        <v>268</v>
      </c>
      <c r="D332" s="94" t="s">
        <v>86</v>
      </c>
      <c r="E332" s="94" t="s">
        <v>293</v>
      </c>
      <c r="F332" s="94" t="s">
        <v>254</v>
      </c>
      <c r="G332" s="95">
        <v>2013</v>
      </c>
      <c r="H332" s="94">
        <v>424332</v>
      </c>
      <c r="I332" s="95">
        <v>2024</v>
      </c>
      <c r="J332" s="94">
        <v>7</v>
      </c>
      <c r="K332" s="95">
        <v>2024</v>
      </c>
    </row>
    <row r="333" spans="2:11" x14ac:dyDescent="0.2">
      <c r="B333" s="94">
        <v>317</v>
      </c>
      <c r="C333" s="94" t="s">
        <v>268</v>
      </c>
      <c r="D333" s="94" t="s">
        <v>86</v>
      </c>
      <c r="E333" s="94" t="s">
        <v>293</v>
      </c>
      <c r="F333" s="94" t="s">
        <v>254</v>
      </c>
      <c r="G333" s="95">
        <v>2014</v>
      </c>
      <c r="H333" s="94">
        <v>54441</v>
      </c>
      <c r="I333" s="95">
        <v>2024</v>
      </c>
      <c r="J333" s="94">
        <v>4</v>
      </c>
      <c r="K333" s="95">
        <v>2024</v>
      </c>
    </row>
    <row r="334" spans="2:11" x14ac:dyDescent="0.2">
      <c r="B334" s="94">
        <v>318</v>
      </c>
      <c r="C334" s="94" t="s">
        <v>268</v>
      </c>
      <c r="D334" s="94" t="s">
        <v>86</v>
      </c>
      <c r="E334" s="94" t="s">
        <v>293</v>
      </c>
      <c r="F334" s="94" t="s">
        <v>254</v>
      </c>
      <c r="G334" s="95">
        <v>2016</v>
      </c>
      <c r="H334" s="94">
        <v>519560</v>
      </c>
      <c r="I334" s="95">
        <v>2024</v>
      </c>
      <c r="J334" s="94">
        <v>12</v>
      </c>
      <c r="K334" s="95">
        <v>2024</v>
      </c>
    </row>
    <row r="335" spans="2:11" x14ac:dyDescent="0.2">
      <c r="B335" s="94">
        <v>319</v>
      </c>
      <c r="C335" s="94" t="s">
        <v>268</v>
      </c>
      <c r="D335" s="94" t="s">
        <v>86</v>
      </c>
      <c r="E335" s="94" t="s">
        <v>293</v>
      </c>
      <c r="F335" s="94" t="s">
        <v>254</v>
      </c>
      <c r="G335" s="95">
        <v>2016</v>
      </c>
      <c r="H335" s="94">
        <v>273369</v>
      </c>
      <c r="I335" s="95">
        <v>2024</v>
      </c>
      <c r="J335" s="94">
        <v>7</v>
      </c>
      <c r="K335" s="95">
        <v>2024</v>
      </c>
    </row>
    <row r="336" spans="2:11" x14ac:dyDescent="0.2">
      <c r="B336" s="94">
        <v>320</v>
      </c>
      <c r="C336" s="94" t="s">
        <v>268</v>
      </c>
      <c r="D336" s="94" t="s">
        <v>86</v>
      </c>
      <c r="E336" s="94" t="s">
        <v>293</v>
      </c>
      <c r="F336" s="94" t="s">
        <v>254</v>
      </c>
      <c r="G336" s="95">
        <v>2017</v>
      </c>
      <c r="H336" s="94">
        <v>116820</v>
      </c>
      <c r="I336" s="95">
        <v>2024</v>
      </c>
      <c r="J336" s="94">
        <v>10</v>
      </c>
      <c r="K336" s="95">
        <v>2024</v>
      </c>
    </row>
    <row r="337" spans="2:11" x14ac:dyDescent="0.2">
      <c r="B337" s="94">
        <v>321</v>
      </c>
      <c r="C337" s="94" t="s">
        <v>268</v>
      </c>
      <c r="D337" s="94" t="s">
        <v>86</v>
      </c>
      <c r="E337" s="94" t="s">
        <v>293</v>
      </c>
      <c r="F337" s="94" t="s">
        <v>255</v>
      </c>
      <c r="G337" s="95">
        <v>2014</v>
      </c>
      <c r="H337" s="94">
        <v>8114</v>
      </c>
      <c r="I337" s="95">
        <v>2024</v>
      </c>
      <c r="J337" s="94">
        <v>8</v>
      </c>
      <c r="K337" s="95">
        <v>2024</v>
      </c>
    </row>
    <row r="338" spans="2:11" x14ac:dyDescent="0.2">
      <c r="B338" s="94">
        <v>322</v>
      </c>
      <c r="C338" s="94" t="s">
        <v>268</v>
      </c>
      <c r="D338" s="94" t="s">
        <v>86</v>
      </c>
      <c r="E338" s="94" t="s">
        <v>293</v>
      </c>
      <c r="F338" s="94" t="s">
        <v>255</v>
      </c>
      <c r="G338" s="95">
        <v>2014</v>
      </c>
      <c r="H338" s="94">
        <v>32535</v>
      </c>
      <c r="I338" s="95">
        <v>2024</v>
      </c>
      <c r="J338" s="94">
        <v>10</v>
      </c>
      <c r="K338" s="95">
        <v>2024</v>
      </c>
    </row>
    <row r="339" spans="2:11" x14ac:dyDescent="0.2">
      <c r="B339" s="94">
        <v>323</v>
      </c>
      <c r="C339" s="94" t="s">
        <v>268</v>
      </c>
      <c r="D339" s="94" t="s">
        <v>86</v>
      </c>
      <c r="E339" s="94" t="s">
        <v>293</v>
      </c>
      <c r="F339" s="94" t="s">
        <v>255</v>
      </c>
      <c r="G339" s="95">
        <v>2015</v>
      </c>
      <c r="H339" s="94">
        <v>82016</v>
      </c>
      <c r="I339" s="95">
        <v>2024</v>
      </c>
      <c r="J339" s="94">
        <v>10</v>
      </c>
      <c r="K339" s="95">
        <v>2024</v>
      </c>
    </row>
    <row r="340" spans="2:11" x14ac:dyDescent="0.2">
      <c r="B340" s="94">
        <v>324</v>
      </c>
      <c r="C340" s="94" t="s">
        <v>268</v>
      </c>
      <c r="D340" s="94" t="s">
        <v>86</v>
      </c>
      <c r="E340" s="94" t="s">
        <v>293</v>
      </c>
      <c r="F340" s="94" t="s">
        <v>255</v>
      </c>
      <c r="G340" s="95">
        <v>2015</v>
      </c>
      <c r="H340" s="94">
        <v>4815</v>
      </c>
      <c r="I340" s="95">
        <v>2024</v>
      </c>
      <c r="J340" s="94">
        <v>10</v>
      </c>
      <c r="K340" s="95">
        <v>2024</v>
      </c>
    </row>
    <row r="341" spans="2:11" x14ac:dyDescent="0.2">
      <c r="B341" s="94">
        <v>325</v>
      </c>
      <c r="C341" s="94" t="s">
        <v>268</v>
      </c>
      <c r="D341" s="94" t="s">
        <v>86</v>
      </c>
      <c r="E341" s="94" t="s">
        <v>293</v>
      </c>
      <c r="F341" s="94" t="s">
        <v>255</v>
      </c>
      <c r="G341" s="95">
        <v>2015</v>
      </c>
      <c r="H341" s="94">
        <v>152732</v>
      </c>
      <c r="I341" s="95">
        <v>2024</v>
      </c>
      <c r="J341" s="94">
        <v>4</v>
      </c>
      <c r="K341" s="95">
        <v>2024</v>
      </c>
    </row>
    <row r="342" spans="2:11" x14ac:dyDescent="0.2">
      <c r="B342" s="94">
        <v>326</v>
      </c>
      <c r="C342" s="94" t="s">
        <v>268</v>
      </c>
      <c r="D342" s="94" t="s">
        <v>86</v>
      </c>
      <c r="E342" s="94" t="s">
        <v>293</v>
      </c>
      <c r="F342" s="94" t="s">
        <v>255</v>
      </c>
      <c r="G342" s="95">
        <v>2015</v>
      </c>
      <c r="H342" s="94">
        <v>24035</v>
      </c>
      <c r="I342" s="95">
        <v>2024</v>
      </c>
      <c r="J342" s="94">
        <v>4</v>
      </c>
      <c r="K342" s="95">
        <v>2024</v>
      </c>
    </row>
    <row r="343" spans="2:11" x14ac:dyDescent="0.2">
      <c r="B343" s="94">
        <v>327</v>
      </c>
      <c r="C343" s="94" t="s">
        <v>268</v>
      </c>
      <c r="D343" s="94" t="s">
        <v>86</v>
      </c>
      <c r="E343" s="94" t="s">
        <v>293</v>
      </c>
      <c r="F343" s="94" t="s">
        <v>255</v>
      </c>
      <c r="G343" s="95">
        <v>2016</v>
      </c>
      <c r="H343" s="94">
        <v>110569</v>
      </c>
      <c r="I343" s="95">
        <v>2024</v>
      </c>
      <c r="J343" s="94">
        <v>5</v>
      </c>
      <c r="K343" s="95">
        <v>2024</v>
      </c>
    </row>
    <row r="344" spans="2:11" x14ac:dyDescent="0.2">
      <c r="B344" s="94">
        <v>328</v>
      </c>
      <c r="C344" s="94" t="s">
        <v>268</v>
      </c>
      <c r="D344" s="94" t="s">
        <v>86</v>
      </c>
      <c r="E344" s="94" t="s">
        <v>293</v>
      </c>
      <c r="F344" s="94" t="s">
        <v>255</v>
      </c>
      <c r="G344" s="95">
        <v>2017</v>
      </c>
      <c r="H344" s="94">
        <v>117370</v>
      </c>
      <c r="I344" s="95">
        <v>2024</v>
      </c>
      <c r="J344" s="94">
        <v>10</v>
      </c>
      <c r="K344" s="95">
        <v>2024</v>
      </c>
    </row>
    <row r="345" spans="2:11" x14ac:dyDescent="0.2">
      <c r="B345" s="94">
        <v>329</v>
      </c>
      <c r="C345" s="94" t="s">
        <v>268</v>
      </c>
      <c r="D345" s="94" t="s">
        <v>86</v>
      </c>
      <c r="E345" s="94" t="s">
        <v>293</v>
      </c>
      <c r="F345" s="94" t="s">
        <v>256</v>
      </c>
      <c r="G345" s="95">
        <v>2012</v>
      </c>
      <c r="H345" s="94">
        <v>3732</v>
      </c>
      <c r="I345" s="95">
        <v>2024</v>
      </c>
      <c r="J345" s="94">
        <v>11</v>
      </c>
      <c r="K345" s="95">
        <v>2024</v>
      </c>
    </row>
    <row r="346" spans="2:11" x14ac:dyDescent="0.2">
      <c r="B346" s="94">
        <v>330</v>
      </c>
      <c r="C346" s="94" t="s">
        <v>268</v>
      </c>
      <c r="D346" s="94" t="s">
        <v>86</v>
      </c>
      <c r="E346" s="94" t="s">
        <v>293</v>
      </c>
      <c r="F346" s="94" t="s">
        <v>256</v>
      </c>
      <c r="G346" s="95">
        <v>2016</v>
      </c>
      <c r="H346" s="94">
        <v>10000</v>
      </c>
      <c r="I346" s="95">
        <v>2024</v>
      </c>
      <c r="J346" s="94">
        <v>11</v>
      </c>
      <c r="K346" s="95">
        <v>2024</v>
      </c>
    </row>
    <row r="347" spans="2:11" x14ac:dyDescent="0.2">
      <c r="B347" s="94">
        <v>331</v>
      </c>
      <c r="C347" s="94" t="s">
        <v>268</v>
      </c>
      <c r="D347" s="94" t="s">
        <v>86</v>
      </c>
      <c r="E347" s="94" t="s">
        <v>293</v>
      </c>
      <c r="F347" s="94" t="s">
        <v>256</v>
      </c>
      <c r="G347" s="95">
        <v>2019</v>
      </c>
      <c r="H347" s="94">
        <v>78114</v>
      </c>
      <c r="I347" s="95">
        <v>2024</v>
      </c>
      <c r="J347" s="94">
        <v>6</v>
      </c>
      <c r="K347" s="95">
        <v>2024</v>
      </c>
    </row>
    <row r="348" spans="2:11" x14ac:dyDescent="0.2">
      <c r="B348" s="94">
        <v>332</v>
      </c>
      <c r="C348" s="94" t="s">
        <v>268</v>
      </c>
      <c r="D348" s="94" t="s">
        <v>86</v>
      </c>
      <c r="E348" s="94" t="s">
        <v>293</v>
      </c>
      <c r="F348" s="94" t="s">
        <v>250</v>
      </c>
      <c r="G348" s="95">
        <v>2016</v>
      </c>
      <c r="H348" s="94">
        <v>5074</v>
      </c>
      <c r="I348" s="95">
        <v>2024</v>
      </c>
      <c r="J348" s="94">
        <v>10</v>
      </c>
      <c r="K348" s="95">
        <v>2024</v>
      </c>
    </row>
    <row r="349" spans="2:11" x14ac:dyDescent="0.2">
      <c r="B349" s="94">
        <v>333</v>
      </c>
      <c r="C349" s="94" t="s">
        <v>268</v>
      </c>
      <c r="D349" s="94" t="s">
        <v>86</v>
      </c>
      <c r="E349" s="94" t="s">
        <v>293</v>
      </c>
      <c r="F349" s="94" t="s">
        <v>250</v>
      </c>
      <c r="G349" s="95">
        <v>2016</v>
      </c>
      <c r="H349" s="94">
        <v>5074</v>
      </c>
      <c r="I349" s="95">
        <v>2024</v>
      </c>
      <c r="J349" s="94">
        <v>7</v>
      </c>
      <c r="K349" s="95">
        <v>2024</v>
      </c>
    </row>
    <row r="350" spans="2:11" x14ac:dyDescent="0.2">
      <c r="B350" s="94">
        <v>334</v>
      </c>
      <c r="C350" s="94" t="s">
        <v>268</v>
      </c>
      <c r="D350" s="94" t="s">
        <v>85</v>
      </c>
      <c r="E350" s="94" t="s">
        <v>293</v>
      </c>
      <c r="F350" s="94" t="s">
        <v>228</v>
      </c>
      <c r="G350" s="95">
        <v>2000</v>
      </c>
      <c r="H350" s="94">
        <v>1849921</v>
      </c>
      <c r="I350" s="95">
        <v>2025</v>
      </c>
      <c r="J350" s="94">
        <v>1</v>
      </c>
      <c r="K350" s="95">
        <v>2025</v>
      </c>
    </row>
    <row r="351" spans="2:11" x14ac:dyDescent="0.2">
      <c r="B351" s="94">
        <v>335</v>
      </c>
      <c r="C351" s="94" t="s">
        <v>268</v>
      </c>
      <c r="D351" s="94" t="s">
        <v>85</v>
      </c>
      <c r="E351" s="94" t="s">
        <v>293</v>
      </c>
      <c r="F351" s="94" t="s">
        <v>228</v>
      </c>
      <c r="G351" s="95">
        <v>2000</v>
      </c>
      <c r="H351" s="94">
        <v>187450</v>
      </c>
      <c r="I351" s="95">
        <v>2025</v>
      </c>
      <c r="J351" s="94">
        <v>3</v>
      </c>
      <c r="K351" s="95">
        <v>2025</v>
      </c>
    </row>
    <row r="352" spans="2:11" x14ac:dyDescent="0.2">
      <c r="B352" s="94">
        <v>336</v>
      </c>
      <c r="C352" s="94" t="s">
        <v>268</v>
      </c>
      <c r="D352" s="94" t="s">
        <v>85</v>
      </c>
      <c r="E352" s="94" t="s">
        <v>293</v>
      </c>
      <c r="F352" s="94" t="s">
        <v>228</v>
      </c>
      <c r="G352" s="95">
        <v>2000</v>
      </c>
      <c r="H352" s="94">
        <v>243650</v>
      </c>
      <c r="I352" s="95">
        <v>2025</v>
      </c>
      <c r="J352" s="94">
        <v>2</v>
      </c>
      <c r="K352" s="95">
        <v>2025</v>
      </c>
    </row>
    <row r="353" spans="2:11" x14ac:dyDescent="0.2">
      <c r="B353" s="94">
        <v>337</v>
      </c>
      <c r="C353" s="94" t="s">
        <v>268</v>
      </c>
      <c r="D353" s="94" t="s">
        <v>85</v>
      </c>
      <c r="E353" s="94" t="s">
        <v>293</v>
      </c>
      <c r="F353" s="94" t="s">
        <v>228</v>
      </c>
      <c r="G353" s="95">
        <v>2000</v>
      </c>
      <c r="H353" s="94">
        <v>281108</v>
      </c>
      <c r="I353" s="95">
        <v>2025</v>
      </c>
      <c r="J353" s="94">
        <v>4</v>
      </c>
      <c r="K353" s="95">
        <v>2025</v>
      </c>
    </row>
    <row r="354" spans="2:11" x14ac:dyDescent="0.2">
      <c r="B354" s="94">
        <v>338</v>
      </c>
      <c r="C354" s="94" t="s">
        <v>268</v>
      </c>
      <c r="D354" s="94" t="s">
        <v>85</v>
      </c>
      <c r="E354" s="94" t="s">
        <v>293</v>
      </c>
      <c r="F354" s="94" t="s">
        <v>228</v>
      </c>
      <c r="G354" s="95">
        <v>2000</v>
      </c>
      <c r="H354" s="94">
        <v>1352135</v>
      </c>
      <c r="I354" s="95">
        <v>2025</v>
      </c>
      <c r="J354" s="94">
        <v>6</v>
      </c>
      <c r="K354" s="95">
        <v>2025</v>
      </c>
    </row>
    <row r="355" spans="2:11" x14ac:dyDescent="0.2">
      <c r="B355" s="94">
        <v>339</v>
      </c>
      <c r="C355" s="94" t="s">
        <v>268</v>
      </c>
      <c r="D355" s="94" t="s">
        <v>85</v>
      </c>
      <c r="E355" s="94" t="s">
        <v>293</v>
      </c>
      <c r="F355" s="94" t="s">
        <v>228</v>
      </c>
      <c r="G355" s="95">
        <v>2000</v>
      </c>
      <c r="H355" s="94">
        <v>2343700</v>
      </c>
      <c r="I355" s="95">
        <v>2025</v>
      </c>
      <c r="J355" s="94">
        <v>5</v>
      </c>
      <c r="K355" s="95">
        <v>2025</v>
      </c>
    </row>
    <row r="356" spans="2:11" x14ac:dyDescent="0.2">
      <c r="B356" s="94">
        <v>340</v>
      </c>
      <c r="C356" s="94" t="s">
        <v>268</v>
      </c>
      <c r="D356" s="94" t="s">
        <v>85</v>
      </c>
      <c r="E356" s="94" t="s">
        <v>293</v>
      </c>
      <c r="F356" s="94" t="s">
        <v>228</v>
      </c>
      <c r="G356" s="95">
        <v>2000</v>
      </c>
      <c r="H356" s="94">
        <v>175474</v>
      </c>
      <c r="I356" s="95">
        <v>2025</v>
      </c>
      <c r="J356" s="94">
        <v>7</v>
      </c>
      <c r="K356" s="95">
        <v>2025</v>
      </c>
    </row>
    <row r="357" spans="2:11" x14ac:dyDescent="0.2">
      <c r="B357" s="94">
        <v>341</v>
      </c>
      <c r="C357" s="94" t="s">
        <v>268</v>
      </c>
      <c r="D357" s="94" t="s">
        <v>85</v>
      </c>
      <c r="E357" s="94" t="s">
        <v>293</v>
      </c>
      <c r="F357" s="94" t="s">
        <v>228</v>
      </c>
      <c r="G357" s="95">
        <v>2000</v>
      </c>
      <c r="H357" s="94">
        <v>137779</v>
      </c>
      <c r="I357" s="95">
        <v>2025</v>
      </c>
      <c r="J357" s="94">
        <v>8</v>
      </c>
      <c r="K357" s="95">
        <v>2025</v>
      </c>
    </row>
    <row r="358" spans="2:11" x14ac:dyDescent="0.2">
      <c r="B358" s="94">
        <v>342</v>
      </c>
      <c r="C358" s="94" t="s">
        <v>268</v>
      </c>
      <c r="D358" s="94" t="s">
        <v>85</v>
      </c>
      <c r="E358" s="94" t="s">
        <v>293</v>
      </c>
      <c r="F358" s="94" t="s">
        <v>228</v>
      </c>
      <c r="G358" s="95">
        <v>2000</v>
      </c>
      <c r="H358" s="94">
        <v>103247</v>
      </c>
      <c r="I358" s="95">
        <v>2025</v>
      </c>
      <c r="J358" s="94">
        <v>9</v>
      </c>
      <c r="K358" s="95">
        <v>2025</v>
      </c>
    </row>
    <row r="359" spans="2:11" x14ac:dyDescent="0.2">
      <c r="B359" s="94">
        <v>343</v>
      </c>
      <c r="C359" s="94" t="s">
        <v>268</v>
      </c>
      <c r="D359" s="94" t="s">
        <v>85</v>
      </c>
      <c r="E359" s="94" t="s">
        <v>293</v>
      </c>
      <c r="F359" s="94" t="s">
        <v>228</v>
      </c>
      <c r="G359" s="95">
        <v>2000</v>
      </c>
      <c r="H359" s="94">
        <v>94272</v>
      </c>
      <c r="I359" s="95">
        <v>2025</v>
      </c>
      <c r="J359" s="94">
        <v>10</v>
      </c>
      <c r="K359" s="95">
        <v>2025</v>
      </c>
    </row>
    <row r="360" spans="2:11" x14ac:dyDescent="0.2">
      <c r="B360" s="94">
        <v>344</v>
      </c>
      <c r="C360" s="94" t="s">
        <v>268</v>
      </c>
      <c r="D360" s="94" t="s">
        <v>85</v>
      </c>
      <c r="E360" s="94" t="s">
        <v>293</v>
      </c>
      <c r="F360" s="94" t="s">
        <v>228</v>
      </c>
      <c r="G360" s="95">
        <v>2000</v>
      </c>
      <c r="H360" s="94">
        <v>192336</v>
      </c>
      <c r="I360" s="95">
        <v>2025</v>
      </c>
      <c r="J360" s="94">
        <v>11</v>
      </c>
      <c r="K360" s="95">
        <v>2025</v>
      </c>
    </row>
    <row r="361" spans="2:11" x14ac:dyDescent="0.2">
      <c r="B361" s="94">
        <v>345</v>
      </c>
      <c r="C361" s="94" t="s">
        <v>268</v>
      </c>
      <c r="D361" s="94" t="s">
        <v>85</v>
      </c>
      <c r="E361" s="94" t="s">
        <v>293</v>
      </c>
      <c r="F361" s="94" t="s">
        <v>228</v>
      </c>
      <c r="G361" s="95">
        <v>2000</v>
      </c>
      <c r="H361" s="94">
        <v>476740</v>
      </c>
      <c r="I361" s="95">
        <v>2025</v>
      </c>
      <c r="J361" s="94">
        <v>12</v>
      </c>
      <c r="K361" s="95">
        <v>2025</v>
      </c>
    </row>
    <row r="362" spans="2:11" x14ac:dyDescent="0.2">
      <c r="B362" s="94">
        <v>346</v>
      </c>
      <c r="C362" s="94" t="s">
        <v>268</v>
      </c>
      <c r="D362" s="94" t="s">
        <v>85</v>
      </c>
      <c r="E362" s="94" t="s">
        <v>293</v>
      </c>
      <c r="F362" s="94" t="s">
        <v>228</v>
      </c>
      <c r="G362" s="95">
        <v>2000</v>
      </c>
      <c r="H362" s="94">
        <v>98585</v>
      </c>
      <c r="I362" s="95">
        <v>2025</v>
      </c>
      <c r="J362" s="94">
        <v>13</v>
      </c>
      <c r="K362" s="95">
        <v>2025</v>
      </c>
    </row>
    <row r="363" spans="2:11" x14ac:dyDescent="0.2">
      <c r="B363" s="94">
        <v>347</v>
      </c>
      <c r="C363" s="94" t="s">
        <v>268</v>
      </c>
      <c r="D363" s="94" t="s">
        <v>86</v>
      </c>
      <c r="E363" s="94" t="s">
        <v>293</v>
      </c>
      <c r="F363" s="94" t="s">
        <v>230</v>
      </c>
      <c r="G363" s="95">
        <v>2008</v>
      </c>
      <c r="H363" s="94">
        <v>270124</v>
      </c>
      <c r="I363" s="95">
        <v>2025</v>
      </c>
      <c r="J363" s="94">
        <v>1</v>
      </c>
      <c r="K363" s="95">
        <v>2025</v>
      </c>
    </row>
    <row r="364" spans="2:11" x14ac:dyDescent="0.2">
      <c r="B364" s="94">
        <v>348</v>
      </c>
      <c r="C364" s="94" t="s">
        <v>268</v>
      </c>
      <c r="D364" s="94" t="s">
        <v>86</v>
      </c>
      <c r="E364" s="94" t="s">
        <v>293</v>
      </c>
      <c r="F364" s="94" t="s">
        <v>230</v>
      </c>
      <c r="G364" s="95">
        <v>2008</v>
      </c>
      <c r="H364" s="94">
        <v>1117</v>
      </c>
      <c r="I364" s="95">
        <v>2025</v>
      </c>
      <c r="J364" s="94">
        <v>3</v>
      </c>
      <c r="K364" s="95">
        <v>2025</v>
      </c>
    </row>
    <row r="365" spans="2:11" x14ac:dyDescent="0.2">
      <c r="B365" s="94">
        <v>349</v>
      </c>
      <c r="C365" s="94" t="s">
        <v>268</v>
      </c>
      <c r="D365" s="94" t="s">
        <v>86</v>
      </c>
      <c r="E365" s="94" t="s">
        <v>293</v>
      </c>
      <c r="F365" s="94" t="s">
        <v>230</v>
      </c>
      <c r="G365" s="95">
        <v>2008</v>
      </c>
      <c r="H365" s="94">
        <v>4135</v>
      </c>
      <c r="I365" s="95">
        <v>2025</v>
      </c>
      <c r="J365" s="94">
        <v>2</v>
      </c>
      <c r="K365" s="95">
        <v>2025</v>
      </c>
    </row>
    <row r="366" spans="2:11" x14ac:dyDescent="0.2">
      <c r="B366" s="94">
        <v>350</v>
      </c>
      <c r="C366" s="94" t="s">
        <v>268</v>
      </c>
      <c r="D366" s="94" t="s">
        <v>86</v>
      </c>
      <c r="E366" s="94" t="s">
        <v>293</v>
      </c>
      <c r="F366" s="94" t="s">
        <v>230</v>
      </c>
      <c r="G366" s="95">
        <v>2008</v>
      </c>
      <c r="H366" s="94">
        <v>841</v>
      </c>
      <c r="I366" s="95">
        <v>2025</v>
      </c>
      <c r="J366" s="94">
        <v>6</v>
      </c>
      <c r="K366" s="95">
        <v>2025</v>
      </c>
    </row>
    <row r="367" spans="2:11" x14ac:dyDescent="0.2">
      <c r="B367" s="94">
        <v>351</v>
      </c>
      <c r="C367" s="94" t="s">
        <v>268</v>
      </c>
      <c r="D367" s="94" t="s">
        <v>86</v>
      </c>
      <c r="E367" s="94" t="s">
        <v>293</v>
      </c>
      <c r="F367" s="94" t="s">
        <v>230</v>
      </c>
      <c r="G367" s="95">
        <v>2008</v>
      </c>
      <c r="H367" s="94">
        <v>108977</v>
      </c>
      <c r="I367" s="95">
        <v>2025</v>
      </c>
      <c r="J367" s="94">
        <v>5</v>
      </c>
      <c r="K367" s="95">
        <v>2025</v>
      </c>
    </row>
    <row r="368" spans="2:11" x14ac:dyDescent="0.2">
      <c r="B368" s="94">
        <v>352</v>
      </c>
      <c r="C368" s="94" t="s">
        <v>268</v>
      </c>
      <c r="D368" s="94" t="s">
        <v>86</v>
      </c>
      <c r="E368" s="94" t="s">
        <v>293</v>
      </c>
      <c r="F368" s="94" t="s">
        <v>230</v>
      </c>
      <c r="G368" s="95">
        <v>2008</v>
      </c>
      <c r="H368" s="94">
        <v>222668</v>
      </c>
      <c r="I368" s="95">
        <v>2025</v>
      </c>
      <c r="J368" s="94">
        <v>7</v>
      </c>
      <c r="K368" s="95">
        <v>2025</v>
      </c>
    </row>
    <row r="369" spans="2:11" x14ac:dyDescent="0.2">
      <c r="B369" s="94">
        <v>353</v>
      </c>
      <c r="C369" s="94" t="s">
        <v>268</v>
      </c>
      <c r="D369" s="94" t="s">
        <v>86</v>
      </c>
      <c r="E369" s="94" t="s">
        <v>293</v>
      </c>
      <c r="F369" s="94" t="s">
        <v>230</v>
      </c>
      <c r="G369" s="95">
        <v>2008</v>
      </c>
      <c r="H369" s="94">
        <v>100137</v>
      </c>
      <c r="I369" s="95">
        <v>2025</v>
      </c>
      <c r="J369" s="94">
        <v>9</v>
      </c>
      <c r="K369" s="95">
        <v>2025</v>
      </c>
    </row>
    <row r="370" spans="2:11" x14ac:dyDescent="0.2">
      <c r="B370" s="94">
        <v>354</v>
      </c>
      <c r="C370" s="94" t="s">
        <v>268</v>
      </c>
      <c r="D370" s="94" t="s">
        <v>86</v>
      </c>
      <c r="E370" s="94" t="s">
        <v>293</v>
      </c>
      <c r="F370" s="94" t="s">
        <v>231</v>
      </c>
      <c r="G370" s="95">
        <v>2008</v>
      </c>
      <c r="H370" s="94">
        <v>278188</v>
      </c>
      <c r="I370" s="95">
        <v>2025</v>
      </c>
      <c r="J370" s="94">
        <v>1</v>
      </c>
      <c r="K370" s="95">
        <v>2025</v>
      </c>
    </row>
    <row r="371" spans="2:11" x14ac:dyDescent="0.2">
      <c r="B371" s="94">
        <v>355</v>
      </c>
      <c r="C371" s="94" t="s">
        <v>268</v>
      </c>
      <c r="D371" s="94" t="s">
        <v>86</v>
      </c>
      <c r="E371" s="94" t="s">
        <v>293</v>
      </c>
      <c r="F371" s="94" t="s">
        <v>231</v>
      </c>
      <c r="G371" s="95">
        <v>2008</v>
      </c>
      <c r="H371" s="94">
        <v>87600</v>
      </c>
      <c r="I371" s="95">
        <v>2025</v>
      </c>
      <c r="J371" s="94">
        <v>2</v>
      </c>
      <c r="K371" s="95">
        <v>2025</v>
      </c>
    </row>
    <row r="372" spans="2:11" x14ac:dyDescent="0.2">
      <c r="B372" s="94">
        <v>356</v>
      </c>
      <c r="C372" s="94" t="s">
        <v>268</v>
      </c>
      <c r="D372" s="94" t="s">
        <v>86</v>
      </c>
      <c r="E372" s="94" t="s">
        <v>293</v>
      </c>
      <c r="F372" s="94" t="s">
        <v>231</v>
      </c>
      <c r="G372" s="95">
        <v>2008</v>
      </c>
      <c r="H372" s="94">
        <v>71513</v>
      </c>
      <c r="I372" s="95">
        <v>2025</v>
      </c>
      <c r="J372" s="94">
        <v>4</v>
      </c>
      <c r="K372" s="95">
        <v>2025</v>
      </c>
    </row>
    <row r="373" spans="2:11" x14ac:dyDescent="0.2">
      <c r="B373" s="94">
        <v>357</v>
      </c>
      <c r="C373" s="94" t="s">
        <v>268</v>
      </c>
      <c r="D373" s="94" t="s">
        <v>86</v>
      </c>
      <c r="E373" s="94" t="s">
        <v>293</v>
      </c>
      <c r="F373" s="94" t="s">
        <v>231</v>
      </c>
      <c r="G373" s="95">
        <v>2008</v>
      </c>
      <c r="H373" s="94">
        <v>1689300</v>
      </c>
      <c r="I373" s="95">
        <v>2025</v>
      </c>
      <c r="J373" s="94">
        <v>7</v>
      </c>
      <c r="K373" s="95">
        <v>2025</v>
      </c>
    </row>
    <row r="374" spans="2:11" x14ac:dyDescent="0.2">
      <c r="B374" s="94">
        <v>358</v>
      </c>
      <c r="C374" s="94" t="s">
        <v>268</v>
      </c>
      <c r="D374" s="94" t="s">
        <v>86</v>
      </c>
      <c r="E374" s="94" t="s">
        <v>293</v>
      </c>
      <c r="F374" s="94" t="s">
        <v>231</v>
      </c>
      <c r="G374" s="95">
        <v>2008</v>
      </c>
      <c r="H374" s="94">
        <v>297685</v>
      </c>
      <c r="I374" s="95">
        <v>2025</v>
      </c>
      <c r="J374" s="94">
        <v>9</v>
      </c>
      <c r="K374" s="95">
        <v>2025</v>
      </c>
    </row>
    <row r="375" spans="2:11" x14ac:dyDescent="0.2">
      <c r="B375" s="94">
        <v>359</v>
      </c>
      <c r="C375" s="94" t="s">
        <v>268</v>
      </c>
      <c r="D375" s="94" t="s">
        <v>86</v>
      </c>
      <c r="E375" s="94" t="s">
        <v>293</v>
      </c>
      <c r="F375" s="94" t="s">
        <v>231</v>
      </c>
      <c r="G375" s="95">
        <v>2008</v>
      </c>
      <c r="H375" s="94">
        <v>29230</v>
      </c>
      <c r="I375" s="95">
        <v>2025</v>
      </c>
      <c r="J375" s="94">
        <v>10</v>
      </c>
      <c r="K375" s="95">
        <v>2025</v>
      </c>
    </row>
    <row r="376" spans="2:11" x14ac:dyDescent="0.2">
      <c r="B376" s="94">
        <v>360</v>
      </c>
      <c r="C376" s="94" t="s">
        <v>268</v>
      </c>
      <c r="D376" s="94" t="s">
        <v>86</v>
      </c>
      <c r="E376" s="94" t="s">
        <v>293</v>
      </c>
      <c r="F376" s="94" t="s">
        <v>231</v>
      </c>
      <c r="G376" s="95">
        <v>2008</v>
      </c>
      <c r="H376" s="94">
        <v>1713</v>
      </c>
      <c r="I376" s="95">
        <v>2025</v>
      </c>
      <c r="J376" s="94">
        <v>11</v>
      </c>
      <c r="K376" s="95">
        <v>2025</v>
      </c>
    </row>
    <row r="377" spans="2:11" x14ac:dyDescent="0.2">
      <c r="B377" s="94">
        <v>361</v>
      </c>
      <c r="C377" s="94" t="s">
        <v>268</v>
      </c>
      <c r="D377" s="94" t="s">
        <v>86</v>
      </c>
      <c r="E377" s="94" t="s">
        <v>293</v>
      </c>
      <c r="F377" s="94" t="s">
        <v>231</v>
      </c>
      <c r="G377" s="95">
        <v>2008</v>
      </c>
      <c r="H377" s="94">
        <v>718681</v>
      </c>
      <c r="I377" s="95">
        <v>2025</v>
      </c>
      <c r="J377" s="94">
        <v>12</v>
      </c>
      <c r="K377" s="95">
        <v>2025</v>
      </c>
    </row>
    <row r="378" spans="2:11" x14ac:dyDescent="0.2">
      <c r="B378" s="94">
        <v>362</v>
      </c>
      <c r="C378" s="94" t="s">
        <v>268</v>
      </c>
      <c r="D378" s="94" t="s">
        <v>86</v>
      </c>
      <c r="E378" s="94" t="s">
        <v>293</v>
      </c>
      <c r="F378" s="94" t="s">
        <v>232</v>
      </c>
      <c r="G378" s="95">
        <v>2008</v>
      </c>
      <c r="H378" s="94">
        <v>349206</v>
      </c>
      <c r="I378" s="95">
        <v>2025</v>
      </c>
      <c r="J378" s="94">
        <v>5</v>
      </c>
      <c r="K378" s="95">
        <v>2025</v>
      </c>
    </row>
    <row r="379" spans="2:11" x14ac:dyDescent="0.2">
      <c r="B379" s="94">
        <v>363</v>
      </c>
      <c r="C379" s="94" t="s">
        <v>268</v>
      </c>
      <c r="D379" s="94" t="s">
        <v>86</v>
      </c>
      <c r="E379" s="94" t="s">
        <v>293</v>
      </c>
      <c r="F379" s="94" t="s">
        <v>232</v>
      </c>
      <c r="G379" s="95">
        <v>2008</v>
      </c>
      <c r="H379" s="94">
        <v>122116</v>
      </c>
      <c r="I379" s="95">
        <v>2025</v>
      </c>
      <c r="J379" s="94">
        <v>10</v>
      </c>
      <c r="K379" s="95">
        <v>2025</v>
      </c>
    </row>
    <row r="380" spans="2:11" x14ac:dyDescent="0.2">
      <c r="B380" s="94">
        <v>364</v>
      </c>
      <c r="C380" s="94" t="s">
        <v>268</v>
      </c>
      <c r="D380" s="94" t="s">
        <v>86</v>
      </c>
      <c r="E380" s="94" t="s">
        <v>293</v>
      </c>
      <c r="F380" s="94" t="s">
        <v>232</v>
      </c>
      <c r="G380" s="95">
        <v>2008</v>
      </c>
      <c r="H380" s="94">
        <v>112878</v>
      </c>
      <c r="I380" s="95">
        <v>2025</v>
      </c>
      <c r="J380" s="94">
        <v>11</v>
      </c>
      <c r="K380" s="95">
        <v>2025</v>
      </c>
    </row>
    <row r="381" spans="2:11" x14ac:dyDescent="0.2">
      <c r="B381" s="94">
        <v>365</v>
      </c>
      <c r="C381" s="94" t="s">
        <v>268</v>
      </c>
      <c r="D381" s="94" t="s">
        <v>86</v>
      </c>
      <c r="E381" s="94" t="s">
        <v>293</v>
      </c>
      <c r="F381" s="94" t="s">
        <v>232</v>
      </c>
      <c r="G381" s="95">
        <v>2008</v>
      </c>
      <c r="H381" s="94">
        <v>166537</v>
      </c>
      <c r="I381" s="95">
        <v>2025</v>
      </c>
      <c r="J381" s="94">
        <v>12</v>
      </c>
      <c r="K381" s="95">
        <v>2025</v>
      </c>
    </row>
    <row r="382" spans="2:11" x14ac:dyDescent="0.2">
      <c r="B382" s="94">
        <v>366</v>
      </c>
      <c r="C382" s="94" t="s">
        <v>268</v>
      </c>
      <c r="D382" s="94" t="s">
        <v>86</v>
      </c>
      <c r="E382" s="94" t="s">
        <v>293</v>
      </c>
      <c r="F382" s="94" t="s">
        <v>234</v>
      </c>
      <c r="G382" s="95">
        <v>2015</v>
      </c>
      <c r="H382" s="94">
        <v>53213</v>
      </c>
      <c r="I382" s="95">
        <v>2025</v>
      </c>
      <c r="J382" s="94">
        <v>8</v>
      </c>
      <c r="K382" s="95">
        <v>2025</v>
      </c>
    </row>
    <row r="383" spans="2:11" x14ac:dyDescent="0.2">
      <c r="B383" s="94">
        <v>367</v>
      </c>
      <c r="C383" s="94" t="s">
        <v>268</v>
      </c>
      <c r="D383" s="94" t="s">
        <v>86</v>
      </c>
      <c r="E383" s="94" t="s">
        <v>293</v>
      </c>
      <c r="F383" s="94" t="s">
        <v>229</v>
      </c>
      <c r="G383" s="95">
        <v>2008</v>
      </c>
      <c r="H383" s="94">
        <v>517300</v>
      </c>
      <c r="I383" s="95">
        <v>2025</v>
      </c>
      <c r="J383" s="94">
        <v>5</v>
      </c>
      <c r="K383" s="95">
        <v>2025</v>
      </c>
    </row>
    <row r="384" spans="2:11" x14ac:dyDescent="0.2">
      <c r="B384" s="94">
        <v>368</v>
      </c>
      <c r="C384" s="94" t="s">
        <v>268</v>
      </c>
      <c r="D384" s="94" t="s">
        <v>85</v>
      </c>
      <c r="E384" s="94" t="s">
        <v>293</v>
      </c>
      <c r="F384" s="94" t="s">
        <v>228</v>
      </c>
      <c r="G384" s="95">
        <v>2000</v>
      </c>
      <c r="H384" s="94">
        <v>100235</v>
      </c>
      <c r="I384" s="95">
        <v>2025</v>
      </c>
      <c r="J384" s="94">
        <v>5</v>
      </c>
      <c r="K384" s="95">
        <v>2025</v>
      </c>
    </row>
    <row r="385" spans="2:11" x14ac:dyDescent="0.2">
      <c r="B385" s="94">
        <v>369</v>
      </c>
      <c r="C385" s="94" t="s">
        <v>268</v>
      </c>
      <c r="D385" s="94" t="s">
        <v>85</v>
      </c>
      <c r="E385" s="94" t="s">
        <v>293</v>
      </c>
      <c r="F385" s="94" t="s">
        <v>228</v>
      </c>
      <c r="G385" s="95">
        <v>2000</v>
      </c>
      <c r="H385" s="94">
        <v>229442</v>
      </c>
      <c r="I385" s="95">
        <v>2025</v>
      </c>
      <c r="J385" s="94">
        <v>3</v>
      </c>
      <c r="K385" s="95">
        <v>2025</v>
      </c>
    </row>
    <row r="386" spans="2:11" x14ac:dyDescent="0.2">
      <c r="B386" s="94">
        <v>370</v>
      </c>
      <c r="C386" s="94" t="s">
        <v>268</v>
      </c>
      <c r="D386" s="94" t="s">
        <v>86</v>
      </c>
      <c r="E386" s="94" t="s">
        <v>293</v>
      </c>
      <c r="F386" s="94" t="s">
        <v>230</v>
      </c>
      <c r="G386" s="95">
        <v>2008</v>
      </c>
      <c r="H386" s="94">
        <v>48602</v>
      </c>
      <c r="I386" s="95">
        <v>2025</v>
      </c>
      <c r="J386" s="94">
        <v>12</v>
      </c>
      <c r="K386" s="95">
        <v>2025</v>
      </c>
    </row>
    <row r="387" spans="2:11" x14ac:dyDescent="0.2">
      <c r="B387" s="94">
        <v>371</v>
      </c>
      <c r="C387" s="94" t="s">
        <v>268</v>
      </c>
      <c r="D387" s="94" t="s">
        <v>86</v>
      </c>
      <c r="E387" s="94" t="s">
        <v>293</v>
      </c>
      <c r="F387" s="94" t="s">
        <v>234</v>
      </c>
      <c r="G387" s="95">
        <v>2015</v>
      </c>
      <c r="H387" s="94">
        <v>1007996</v>
      </c>
      <c r="I387" s="95">
        <v>2025</v>
      </c>
      <c r="J387" s="94">
        <v>12</v>
      </c>
      <c r="K387" s="95">
        <v>2025</v>
      </c>
    </row>
    <row r="388" spans="2:11" x14ac:dyDescent="0.2">
      <c r="B388" s="94">
        <v>372</v>
      </c>
      <c r="C388" s="94" t="s">
        <v>267</v>
      </c>
      <c r="D388" s="94" t="s">
        <v>85</v>
      </c>
      <c r="E388" s="94" t="s">
        <v>293</v>
      </c>
      <c r="F388" s="94" t="s">
        <v>253</v>
      </c>
      <c r="G388" s="95">
        <v>2020</v>
      </c>
      <c r="H388" s="94">
        <v>123527</v>
      </c>
      <c r="I388" s="95">
        <v>2025</v>
      </c>
      <c r="J388" s="94">
        <v>12</v>
      </c>
      <c r="K388" s="95">
        <v>2025</v>
      </c>
    </row>
    <row r="389" spans="2:11" x14ac:dyDescent="0.2">
      <c r="B389" s="94">
        <v>373</v>
      </c>
      <c r="C389" s="94" t="s">
        <v>267</v>
      </c>
      <c r="D389" s="94" t="s">
        <v>85</v>
      </c>
      <c r="E389" s="94" t="s">
        <v>293</v>
      </c>
      <c r="F389" s="94" t="s">
        <v>253</v>
      </c>
      <c r="G389" s="95">
        <v>2020</v>
      </c>
      <c r="H389" s="94">
        <v>90613</v>
      </c>
      <c r="I389" s="95">
        <v>2025</v>
      </c>
      <c r="J389" s="94">
        <v>12</v>
      </c>
      <c r="K389" s="95">
        <v>2025</v>
      </c>
    </row>
    <row r="390" spans="2:11" x14ac:dyDescent="0.2">
      <c r="B390" s="94">
        <v>374</v>
      </c>
      <c r="C390" s="94" t="s">
        <v>267</v>
      </c>
      <c r="D390" s="94" t="s">
        <v>85</v>
      </c>
      <c r="E390" s="94" t="s">
        <v>293</v>
      </c>
      <c r="F390" s="94" t="s">
        <v>260</v>
      </c>
      <c r="G390" s="95">
        <v>2020</v>
      </c>
      <c r="H390" s="94">
        <v>645138</v>
      </c>
      <c r="I390" s="95">
        <v>2025</v>
      </c>
      <c r="J390" s="94">
        <v>12</v>
      </c>
      <c r="K390" s="95">
        <v>2025</v>
      </c>
    </row>
    <row r="391" spans="2:11" x14ac:dyDescent="0.2">
      <c r="B391" s="94">
        <v>375</v>
      </c>
      <c r="C391" s="94" t="s">
        <v>268</v>
      </c>
      <c r="D391" s="94" t="s">
        <v>85</v>
      </c>
      <c r="E391" s="94" t="s">
        <v>293</v>
      </c>
      <c r="F391" s="94" t="s">
        <v>254</v>
      </c>
      <c r="G391" s="95">
        <v>2006</v>
      </c>
      <c r="H391" s="94">
        <v>603881</v>
      </c>
      <c r="I391" s="95">
        <v>2025</v>
      </c>
      <c r="J391" s="94">
        <v>12</v>
      </c>
      <c r="K391" s="95">
        <v>2025</v>
      </c>
    </row>
    <row r="392" spans="2:11" x14ac:dyDescent="0.2">
      <c r="B392" s="94">
        <v>376</v>
      </c>
      <c r="C392" s="94" t="s">
        <v>268</v>
      </c>
      <c r="D392" s="94" t="s">
        <v>85</v>
      </c>
      <c r="E392" s="94" t="s">
        <v>293</v>
      </c>
      <c r="F392" s="94" t="s">
        <v>254</v>
      </c>
      <c r="G392" s="95">
        <v>2007</v>
      </c>
      <c r="H392" s="94">
        <v>176834</v>
      </c>
      <c r="I392" s="95">
        <v>2025</v>
      </c>
      <c r="J392" s="94">
        <v>12</v>
      </c>
      <c r="K392" s="95">
        <v>2025</v>
      </c>
    </row>
    <row r="393" spans="2:11" x14ac:dyDescent="0.2">
      <c r="B393" s="94">
        <v>377</v>
      </c>
      <c r="C393" s="94" t="s">
        <v>268</v>
      </c>
      <c r="D393" s="94" t="s">
        <v>85</v>
      </c>
      <c r="E393" s="94" t="s">
        <v>293</v>
      </c>
      <c r="F393" s="94" t="s">
        <v>253</v>
      </c>
      <c r="G393" s="95">
        <v>2016</v>
      </c>
      <c r="H393" s="94">
        <v>15621</v>
      </c>
      <c r="I393" s="95">
        <v>2025</v>
      </c>
      <c r="J393" s="94">
        <v>7</v>
      </c>
      <c r="K393" s="95">
        <v>2025</v>
      </c>
    </row>
    <row r="394" spans="2:11" x14ac:dyDescent="0.2">
      <c r="B394" s="94">
        <v>378</v>
      </c>
      <c r="C394" s="94" t="s">
        <v>268</v>
      </c>
      <c r="D394" s="94" t="s">
        <v>85</v>
      </c>
      <c r="E394" s="94" t="s">
        <v>293</v>
      </c>
      <c r="F394" s="94" t="s">
        <v>260</v>
      </c>
      <c r="G394" s="95">
        <v>2020</v>
      </c>
      <c r="H394" s="94">
        <v>862711</v>
      </c>
      <c r="I394" s="95">
        <v>2025</v>
      </c>
      <c r="J394" s="94">
        <v>12</v>
      </c>
      <c r="K394" s="95">
        <v>2025</v>
      </c>
    </row>
    <row r="395" spans="2:11" x14ac:dyDescent="0.2">
      <c r="B395" s="94">
        <v>379</v>
      </c>
      <c r="C395" s="94" t="s">
        <v>268</v>
      </c>
      <c r="D395" s="94" t="s">
        <v>85</v>
      </c>
      <c r="E395" s="94" t="s">
        <v>293</v>
      </c>
      <c r="F395" s="94" t="s">
        <v>251</v>
      </c>
      <c r="G395" s="95">
        <v>2015</v>
      </c>
      <c r="H395" s="94">
        <v>12064</v>
      </c>
      <c r="I395" s="95">
        <v>2025</v>
      </c>
      <c r="J395" s="94">
        <v>12</v>
      </c>
      <c r="K395" s="95">
        <v>2025</v>
      </c>
    </row>
    <row r="396" spans="2:11" x14ac:dyDescent="0.2">
      <c r="B396" s="94">
        <v>380</v>
      </c>
      <c r="C396" s="94" t="s">
        <v>268</v>
      </c>
      <c r="D396" s="94" t="s">
        <v>85</v>
      </c>
      <c r="E396" s="94" t="s">
        <v>293</v>
      </c>
      <c r="F396" s="94" t="s">
        <v>255</v>
      </c>
      <c r="G396" s="95">
        <v>2015</v>
      </c>
      <c r="H396" s="94">
        <v>241749</v>
      </c>
      <c r="I396" s="95">
        <v>2025</v>
      </c>
      <c r="J396" s="94">
        <v>12</v>
      </c>
      <c r="K396" s="95">
        <v>2025</v>
      </c>
    </row>
    <row r="397" spans="2:11" x14ac:dyDescent="0.2">
      <c r="B397" s="94">
        <v>381</v>
      </c>
      <c r="C397" s="94" t="s">
        <v>268</v>
      </c>
      <c r="D397" s="94" t="s">
        <v>85</v>
      </c>
      <c r="E397" s="94" t="s">
        <v>293</v>
      </c>
      <c r="F397" s="94" t="s">
        <v>251</v>
      </c>
      <c r="G397" s="95">
        <v>2010</v>
      </c>
      <c r="H397" s="94">
        <v>27504</v>
      </c>
      <c r="I397" s="95">
        <v>2025</v>
      </c>
      <c r="J397" s="94">
        <v>1</v>
      </c>
      <c r="K397" s="95">
        <v>2025</v>
      </c>
    </row>
    <row r="398" spans="2:11" x14ac:dyDescent="0.2">
      <c r="B398" s="94">
        <v>382</v>
      </c>
      <c r="C398" s="94" t="s">
        <v>268</v>
      </c>
      <c r="D398" s="94" t="s">
        <v>85</v>
      </c>
      <c r="E398" s="94" t="s">
        <v>293</v>
      </c>
      <c r="F398" s="94" t="s">
        <v>254</v>
      </c>
      <c r="G398" s="95">
        <v>2006</v>
      </c>
      <c r="H398" s="94">
        <v>25228</v>
      </c>
      <c r="I398" s="95">
        <v>2025</v>
      </c>
      <c r="J398" s="94">
        <v>12</v>
      </c>
      <c r="K398" s="95">
        <v>2025</v>
      </c>
    </row>
    <row r="399" spans="2:11" x14ac:dyDescent="0.2">
      <c r="B399" s="94">
        <v>383</v>
      </c>
      <c r="C399" s="94" t="s">
        <v>268</v>
      </c>
      <c r="D399" s="94" t="s">
        <v>85</v>
      </c>
      <c r="E399" s="94" t="s">
        <v>293</v>
      </c>
      <c r="F399" s="94" t="s">
        <v>254</v>
      </c>
      <c r="G399" s="95">
        <v>2010</v>
      </c>
      <c r="H399" s="94">
        <v>28951</v>
      </c>
      <c r="I399" s="95">
        <v>2025</v>
      </c>
      <c r="J399" s="94">
        <v>12</v>
      </c>
      <c r="K399" s="95">
        <v>2025</v>
      </c>
    </row>
    <row r="400" spans="2:11" x14ac:dyDescent="0.2">
      <c r="B400" s="94">
        <v>384</v>
      </c>
      <c r="C400" s="94" t="s">
        <v>268</v>
      </c>
      <c r="D400" s="94" t="s">
        <v>85</v>
      </c>
      <c r="E400" s="94" t="s">
        <v>293</v>
      </c>
      <c r="F400" s="94" t="s">
        <v>256</v>
      </c>
      <c r="G400" s="95">
        <v>2023</v>
      </c>
      <c r="H400" s="94">
        <v>81266</v>
      </c>
      <c r="I400" s="95">
        <v>2025</v>
      </c>
      <c r="J400" s="94">
        <v>11</v>
      </c>
      <c r="K400" s="95">
        <v>2025</v>
      </c>
    </row>
    <row r="401" spans="2:11" x14ac:dyDescent="0.2">
      <c r="B401" s="94">
        <v>385</v>
      </c>
      <c r="C401" s="94" t="s">
        <v>268</v>
      </c>
      <c r="D401" s="94" t="s">
        <v>85</v>
      </c>
      <c r="E401" s="94" t="s">
        <v>293</v>
      </c>
      <c r="F401" s="94" t="s">
        <v>257</v>
      </c>
      <c r="G401" s="95">
        <v>2023</v>
      </c>
      <c r="H401" s="94">
        <v>3608223</v>
      </c>
      <c r="I401" s="95">
        <v>2025</v>
      </c>
      <c r="J401" s="94">
        <v>11</v>
      </c>
      <c r="K401" s="95">
        <v>2025</v>
      </c>
    </row>
    <row r="402" spans="2:11" x14ac:dyDescent="0.2">
      <c r="B402" s="94">
        <v>386</v>
      </c>
      <c r="C402" s="94" t="s">
        <v>268</v>
      </c>
      <c r="D402" s="94" t="s">
        <v>85</v>
      </c>
      <c r="E402" s="94" t="s">
        <v>472</v>
      </c>
      <c r="F402" s="94" t="s">
        <v>251</v>
      </c>
      <c r="G402" s="95">
        <v>2015</v>
      </c>
      <c r="H402" s="94">
        <v>21577</v>
      </c>
      <c r="I402" s="95">
        <v>2025</v>
      </c>
      <c r="J402" s="94">
        <v>1</v>
      </c>
      <c r="K402" s="95">
        <v>2025</v>
      </c>
    </row>
    <row r="403" spans="2:11" x14ac:dyDescent="0.2">
      <c r="B403" s="94">
        <v>387</v>
      </c>
      <c r="C403" s="94" t="s">
        <v>268</v>
      </c>
      <c r="D403" s="94" t="s">
        <v>86</v>
      </c>
      <c r="E403" s="94" t="s">
        <v>293</v>
      </c>
      <c r="F403" s="94" t="s">
        <v>251</v>
      </c>
      <c r="G403" s="95">
        <v>2019</v>
      </c>
      <c r="H403" s="94">
        <v>149697</v>
      </c>
      <c r="I403" s="95">
        <v>2025</v>
      </c>
      <c r="J403" s="94">
        <v>7</v>
      </c>
      <c r="K403" s="95">
        <v>2025</v>
      </c>
    </row>
    <row r="404" spans="2:11" x14ac:dyDescent="0.2">
      <c r="B404" s="94">
        <v>388</v>
      </c>
      <c r="C404" s="94" t="s">
        <v>268</v>
      </c>
      <c r="D404" s="94" t="s">
        <v>86</v>
      </c>
      <c r="E404" s="94" t="s">
        <v>293</v>
      </c>
      <c r="F404" s="94" t="s">
        <v>251</v>
      </c>
      <c r="G404" s="95">
        <v>2019</v>
      </c>
      <c r="H404" s="94">
        <v>880770</v>
      </c>
      <c r="I404" s="95">
        <v>2025</v>
      </c>
      <c r="J404" s="94">
        <v>7</v>
      </c>
      <c r="K404" s="95">
        <v>2025</v>
      </c>
    </row>
    <row r="405" spans="2:11" x14ac:dyDescent="0.2">
      <c r="B405" s="94">
        <v>389</v>
      </c>
      <c r="C405" s="94" t="s">
        <v>268</v>
      </c>
      <c r="D405" s="94" t="s">
        <v>86</v>
      </c>
      <c r="E405" s="94" t="s">
        <v>293</v>
      </c>
      <c r="F405" s="94" t="s">
        <v>254</v>
      </c>
      <c r="G405" s="95">
        <v>2019</v>
      </c>
      <c r="H405" s="94">
        <v>880208</v>
      </c>
      <c r="I405" s="95">
        <v>2025</v>
      </c>
      <c r="J405" s="94">
        <v>7</v>
      </c>
      <c r="K405" s="95">
        <v>2025</v>
      </c>
    </row>
    <row r="406" spans="2:11" x14ac:dyDescent="0.2">
      <c r="B406" s="94">
        <v>390</v>
      </c>
      <c r="C406" s="94" t="s">
        <v>268</v>
      </c>
      <c r="D406" s="94" t="s">
        <v>86</v>
      </c>
      <c r="E406" s="94" t="s">
        <v>293</v>
      </c>
      <c r="F406" s="94" t="s">
        <v>254</v>
      </c>
      <c r="G406" s="95">
        <v>2015</v>
      </c>
      <c r="H406" s="94">
        <v>88742</v>
      </c>
      <c r="I406" s="95">
        <v>2025</v>
      </c>
      <c r="J406" s="94">
        <v>11</v>
      </c>
      <c r="K406" s="95">
        <v>2025</v>
      </c>
    </row>
    <row r="407" spans="2:11" x14ac:dyDescent="0.2">
      <c r="B407" s="94">
        <v>391</v>
      </c>
      <c r="C407" s="94" t="s">
        <v>268</v>
      </c>
      <c r="D407" s="94" t="s">
        <v>86</v>
      </c>
      <c r="E407" s="94" t="s">
        <v>293</v>
      </c>
      <c r="F407" s="94" t="s">
        <v>255</v>
      </c>
      <c r="G407" s="95">
        <v>2019</v>
      </c>
      <c r="H407" s="94">
        <v>23651</v>
      </c>
      <c r="I407" s="95">
        <v>2025</v>
      </c>
      <c r="J407" s="94">
        <v>7</v>
      </c>
      <c r="K407" s="95">
        <v>2025</v>
      </c>
    </row>
    <row r="408" spans="2:11" x14ac:dyDescent="0.2">
      <c r="B408" s="94">
        <v>392</v>
      </c>
      <c r="C408" s="94" t="s">
        <v>268</v>
      </c>
      <c r="D408" s="94" t="s">
        <v>86</v>
      </c>
      <c r="E408" s="94" t="s">
        <v>293</v>
      </c>
      <c r="F408" s="94" t="s">
        <v>255</v>
      </c>
      <c r="G408" s="95">
        <v>2019</v>
      </c>
      <c r="H408" s="94">
        <v>662051</v>
      </c>
      <c r="I408" s="95">
        <v>2025</v>
      </c>
      <c r="J408" s="94">
        <v>7</v>
      </c>
      <c r="K408" s="95">
        <v>2025</v>
      </c>
    </row>
    <row r="409" spans="2:11" x14ac:dyDescent="0.2">
      <c r="B409" s="94">
        <v>393</v>
      </c>
      <c r="C409" s="94" t="s">
        <v>268</v>
      </c>
      <c r="D409" s="94" t="s">
        <v>86</v>
      </c>
      <c r="E409" s="94" t="s">
        <v>293</v>
      </c>
      <c r="F409" s="94" t="s">
        <v>250</v>
      </c>
      <c r="G409" s="95">
        <v>2015</v>
      </c>
      <c r="H409" s="94">
        <v>78467</v>
      </c>
      <c r="I409" s="95">
        <v>2025</v>
      </c>
      <c r="J409" s="94">
        <v>7</v>
      </c>
      <c r="K409" s="95">
        <v>2025</v>
      </c>
    </row>
    <row r="410" spans="2:11" x14ac:dyDescent="0.2">
      <c r="B410" s="94">
        <v>394</v>
      </c>
      <c r="C410" s="94" t="s">
        <v>268</v>
      </c>
      <c r="D410" s="94" t="s">
        <v>86</v>
      </c>
      <c r="E410" s="94" t="s">
        <v>293</v>
      </c>
      <c r="F410" s="94" t="s">
        <v>260</v>
      </c>
      <c r="G410" s="95">
        <v>2020</v>
      </c>
      <c r="H410" s="94">
        <v>2728325</v>
      </c>
      <c r="I410" s="95">
        <v>2025</v>
      </c>
      <c r="J410" s="94">
        <v>12</v>
      </c>
      <c r="K410" s="95">
        <v>2025</v>
      </c>
    </row>
    <row r="411" spans="2:11" x14ac:dyDescent="0.2">
      <c r="B411" s="94">
        <v>395</v>
      </c>
      <c r="C411" s="94" t="s">
        <v>268</v>
      </c>
      <c r="D411" s="94" t="s">
        <v>86</v>
      </c>
      <c r="E411" s="94" t="s">
        <v>293</v>
      </c>
      <c r="F411" s="94" t="s">
        <v>251</v>
      </c>
      <c r="G411" s="95">
        <v>2019</v>
      </c>
      <c r="H411" s="94">
        <v>2005</v>
      </c>
      <c r="I411" s="95">
        <v>2025</v>
      </c>
      <c r="J411" s="94">
        <v>7</v>
      </c>
      <c r="K411" s="95">
        <v>2025</v>
      </c>
    </row>
    <row r="412" spans="2:11" x14ac:dyDescent="0.2">
      <c r="B412" s="94">
        <v>396</v>
      </c>
      <c r="C412" s="94" t="s">
        <v>268</v>
      </c>
      <c r="D412" s="94" t="s">
        <v>86</v>
      </c>
      <c r="E412" s="94" t="s">
        <v>293</v>
      </c>
      <c r="F412" s="94" t="s">
        <v>251</v>
      </c>
      <c r="G412" s="95">
        <v>2015</v>
      </c>
      <c r="H412" s="94">
        <v>4547</v>
      </c>
      <c r="I412" s="95">
        <v>2025</v>
      </c>
      <c r="J412" s="94">
        <v>7</v>
      </c>
      <c r="K412" s="95">
        <v>2025</v>
      </c>
    </row>
    <row r="413" spans="2:11" x14ac:dyDescent="0.2">
      <c r="B413" s="94">
        <v>397</v>
      </c>
      <c r="C413" s="94" t="s">
        <v>268</v>
      </c>
      <c r="D413" s="94" t="s">
        <v>86</v>
      </c>
      <c r="E413" s="94" t="s">
        <v>293</v>
      </c>
      <c r="F413" s="94" t="s">
        <v>254</v>
      </c>
      <c r="G413" s="95">
        <v>2018</v>
      </c>
      <c r="H413" s="94">
        <v>112533</v>
      </c>
      <c r="I413" s="95">
        <v>2025</v>
      </c>
      <c r="J413" s="94">
        <v>7</v>
      </c>
      <c r="K413" s="95">
        <v>2025</v>
      </c>
    </row>
    <row r="414" spans="2:11" x14ac:dyDescent="0.2">
      <c r="B414" s="94">
        <v>398</v>
      </c>
      <c r="C414" s="94" t="s">
        <v>268</v>
      </c>
      <c r="D414" s="94" t="s">
        <v>86</v>
      </c>
      <c r="E414" s="94" t="s">
        <v>293</v>
      </c>
      <c r="F414" s="94" t="s">
        <v>254</v>
      </c>
      <c r="G414" s="95">
        <v>2019</v>
      </c>
      <c r="H414" s="94">
        <v>192622</v>
      </c>
      <c r="I414" s="95">
        <v>2025</v>
      </c>
      <c r="J414" s="94">
        <v>7</v>
      </c>
      <c r="K414" s="95">
        <v>2025</v>
      </c>
    </row>
    <row r="415" spans="2:11" x14ac:dyDescent="0.2">
      <c r="B415" s="94">
        <v>399</v>
      </c>
      <c r="C415" s="94" t="s">
        <v>268</v>
      </c>
      <c r="D415" s="94" t="s">
        <v>86</v>
      </c>
      <c r="E415" s="94" t="s">
        <v>293</v>
      </c>
      <c r="F415" s="94" t="s">
        <v>254</v>
      </c>
      <c r="G415" s="95">
        <v>2014</v>
      </c>
      <c r="H415" s="94">
        <v>124</v>
      </c>
      <c r="I415" s="95">
        <v>2025</v>
      </c>
      <c r="J415" s="94">
        <v>7</v>
      </c>
      <c r="K415" s="95">
        <v>2025</v>
      </c>
    </row>
    <row r="416" spans="2:11" x14ac:dyDescent="0.2">
      <c r="B416" s="94">
        <v>400</v>
      </c>
      <c r="C416" s="94" t="s">
        <v>268</v>
      </c>
      <c r="D416" s="94" t="s">
        <v>86</v>
      </c>
      <c r="E416" s="94" t="s">
        <v>293</v>
      </c>
      <c r="F416" s="94" t="s">
        <v>254</v>
      </c>
      <c r="G416" s="95">
        <v>2014</v>
      </c>
      <c r="H416" s="94">
        <v>68407</v>
      </c>
      <c r="I416" s="95">
        <v>2025</v>
      </c>
      <c r="J416" s="94">
        <v>7</v>
      </c>
      <c r="K416" s="95">
        <v>2025</v>
      </c>
    </row>
    <row r="417" spans="2:11" x14ac:dyDescent="0.2">
      <c r="B417" s="94">
        <v>401</v>
      </c>
      <c r="C417" s="94" t="s">
        <v>268</v>
      </c>
      <c r="D417" s="94" t="s">
        <v>86</v>
      </c>
      <c r="E417" s="94" t="s">
        <v>293</v>
      </c>
      <c r="F417" s="94" t="s">
        <v>254</v>
      </c>
      <c r="G417" s="95">
        <v>2015</v>
      </c>
      <c r="H417" s="94">
        <v>128919</v>
      </c>
      <c r="I417" s="95">
        <v>2025</v>
      </c>
      <c r="J417" s="94">
        <v>7</v>
      </c>
      <c r="K417" s="95">
        <v>2025</v>
      </c>
    </row>
    <row r="418" spans="2:11" x14ac:dyDescent="0.2">
      <c r="B418" s="94">
        <v>402</v>
      </c>
      <c r="C418" s="94" t="s">
        <v>268</v>
      </c>
      <c r="D418" s="94" t="s">
        <v>86</v>
      </c>
      <c r="E418" s="94" t="s">
        <v>293</v>
      </c>
      <c r="F418" s="94" t="s">
        <v>255</v>
      </c>
      <c r="G418" s="95">
        <v>2015</v>
      </c>
      <c r="H418" s="94">
        <v>6752</v>
      </c>
      <c r="I418" s="95">
        <v>2025</v>
      </c>
      <c r="J418" s="94">
        <v>7</v>
      </c>
      <c r="K418" s="95">
        <v>2025</v>
      </c>
    </row>
    <row r="419" spans="2:11" x14ac:dyDescent="0.2">
      <c r="B419" s="94">
        <v>403</v>
      </c>
      <c r="C419" s="94" t="s">
        <v>268</v>
      </c>
      <c r="D419" s="94" t="s">
        <v>86</v>
      </c>
      <c r="E419" s="94" t="s">
        <v>293</v>
      </c>
      <c r="F419" s="94" t="s">
        <v>255</v>
      </c>
      <c r="G419" s="95">
        <v>2016</v>
      </c>
      <c r="H419" s="94">
        <v>68446</v>
      </c>
      <c r="I419" s="95">
        <v>2025</v>
      </c>
      <c r="J419" s="94">
        <v>7</v>
      </c>
      <c r="K419" s="95">
        <v>2025</v>
      </c>
    </row>
    <row r="420" spans="2:11" x14ac:dyDescent="0.2">
      <c r="B420" s="94">
        <v>404</v>
      </c>
      <c r="C420" s="94" t="s">
        <v>268</v>
      </c>
      <c r="D420" s="94" t="s">
        <v>86</v>
      </c>
      <c r="E420" s="94" t="s">
        <v>293</v>
      </c>
      <c r="F420" s="94" t="s">
        <v>255</v>
      </c>
      <c r="G420" s="95">
        <v>2016</v>
      </c>
      <c r="H420" s="94">
        <v>6640</v>
      </c>
      <c r="I420" s="95">
        <v>2025</v>
      </c>
      <c r="J420" s="94">
        <v>7</v>
      </c>
      <c r="K420" s="95">
        <v>2025</v>
      </c>
    </row>
    <row r="421" spans="2:11" x14ac:dyDescent="0.2">
      <c r="B421" s="94">
        <v>405</v>
      </c>
      <c r="C421" s="94" t="s">
        <v>268</v>
      </c>
      <c r="D421" s="94" t="s">
        <v>86</v>
      </c>
      <c r="E421" s="94" t="s">
        <v>293</v>
      </c>
      <c r="F421" s="94" t="s">
        <v>255</v>
      </c>
      <c r="G421" s="95">
        <v>2014</v>
      </c>
      <c r="H421" s="94">
        <v>584</v>
      </c>
      <c r="I421" s="95">
        <v>2025</v>
      </c>
      <c r="J421" s="94">
        <v>7</v>
      </c>
      <c r="K421" s="95">
        <v>2025</v>
      </c>
    </row>
    <row r="422" spans="2:11" x14ac:dyDescent="0.2">
      <c r="B422" s="94">
        <v>406</v>
      </c>
      <c r="C422" s="94" t="s">
        <v>268</v>
      </c>
      <c r="D422" s="94" t="s">
        <v>86</v>
      </c>
      <c r="E422" s="94" t="s">
        <v>293</v>
      </c>
      <c r="F422" s="94" t="s">
        <v>255</v>
      </c>
      <c r="G422" s="95">
        <v>2012</v>
      </c>
      <c r="H422" s="94">
        <v>6021</v>
      </c>
      <c r="I422" s="95">
        <v>2025</v>
      </c>
      <c r="J422" s="94">
        <v>7</v>
      </c>
      <c r="K422" s="95">
        <v>2025</v>
      </c>
    </row>
    <row r="423" spans="2:11" x14ac:dyDescent="0.2">
      <c r="B423" s="94">
        <v>407</v>
      </c>
      <c r="C423" s="94" t="s">
        <v>268</v>
      </c>
      <c r="D423" s="94" t="s">
        <v>86</v>
      </c>
      <c r="E423" s="94" t="s">
        <v>293</v>
      </c>
      <c r="F423" s="94" t="s">
        <v>256</v>
      </c>
      <c r="G423" s="95">
        <v>2014</v>
      </c>
      <c r="H423" s="94">
        <v>50246</v>
      </c>
      <c r="I423" s="95">
        <v>2025</v>
      </c>
      <c r="J423" s="94">
        <v>10</v>
      </c>
      <c r="K423" s="95">
        <v>2025</v>
      </c>
    </row>
    <row r="424" spans="2:11" x14ac:dyDescent="0.2">
      <c r="B424" s="94">
        <v>408</v>
      </c>
      <c r="C424" s="94" t="s">
        <v>268</v>
      </c>
      <c r="D424" s="94" t="s">
        <v>86</v>
      </c>
      <c r="E424" s="94" t="s">
        <v>293</v>
      </c>
      <c r="F424" s="94" t="s">
        <v>256</v>
      </c>
      <c r="G424" s="95">
        <v>2018</v>
      </c>
      <c r="H424" s="94">
        <v>81513</v>
      </c>
      <c r="I424" s="95">
        <v>2025</v>
      </c>
      <c r="J424" s="94">
        <v>10</v>
      </c>
      <c r="K424" s="95">
        <v>2025</v>
      </c>
    </row>
    <row r="425" spans="2:11" x14ac:dyDescent="0.2">
      <c r="B425" s="94">
        <v>409</v>
      </c>
      <c r="C425" s="94" t="s">
        <v>268</v>
      </c>
      <c r="D425" s="94" t="s">
        <v>86</v>
      </c>
      <c r="E425" s="94" t="s">
        <v>293</v>
      </c>
      <c r="F425" s="94" t="s">
        <v>250</v>
      </c>
      <c r="G425" s="95">
        <v>2016</v>
      </c>
      <c r="H425" s="94">
        <v>5074</v>
      </c>
      <c r="I425" s="95">
        <v>2025</v>
      </c>
      <c r="J425" s="94">
        <v>7</v>
      </c>
      <c r="K425" s="95">
        <v>2025</v>
      </c>
    </row>
    <row r="426" spans="2:11" x14ac:dyDescent="0.2">
      <c r="B426" s="94">
        <v>410</v>
      </c>
      <c r="C426" s="94" t="s">
        <v>268</v>
      </c>
      <c r="D426" s="94" t="s">
        <v>86</v>
      </c>
      <c r="E426" s="94" t="s">
        <v>293</v>
      </c>
      <c r="F426" s="94" t="s">
        <v>258</v>
      </c>
      <c r="G426" s="95">
        <v>2019</v>
      </c>
      <c r="H426" s="94">
        <v>438549</v>
      </c>
      <c r="I426" s="95">
        <v>2025</v>
      </c>
      <c r="J426" s="94">
        <v>7</v>
      </c>
      <c r="K426" s="95">
        <v>2025</v>
      </c>
    </row>
    <row r="427" spans="2:11" x14ac:dyDescent="0.2">
      <c r="B427" s="94">
        <v>411</v>
      </c>
      <c r="C427" s="94" t="s">
        <v>268</v>
      </c>
      <c r="D427" s="94" t="s">
        <v>86</v>
      </c>
      <c r="E427" s="94" t="s">
        <v>293</v>
      </c>
      <c r="F427" s="94" t="s">
        <v>258</v>
      </c>
      <c r="G427" s="95">
        <v>2014</v>
      </c>
      <c r="H427" s="94">
        <v>14</v>
      </c>
      <c r="I427" s="95">
        <v>2025</v>
      </c>
      <c r="J427" s="94">
        <v>7</v>
      </c>
      <c r="K427" s="95">
        <v>2025</v>
      </c>
    </row>
    <row r="433" spans="8:8" x14ac:dyDescent="0.2">
      <c r="H433" s="75"/>
    </row>
  </sheetData>
  <mergeCells count="3">
    <mergeCell ref="B14:F14"/>
    <mergeCell ref="B5:F5"/>
    <mergeCell ref="B8:F8"/>
  </mergeCells>
  <phoneticPr fontId="30" type="noConversion"/>
  <pageMargins left="0.7" right="0.7" top="0.75" bottom="0.75" header="0.3" footer="0.3"/>
  <pageSetup paperSize="9"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9A7B8-44BF-46ED-BC2C-8EBCA5C4343F}">
  <sheetPr>
    <tabColor rgb="FFCCCCFF"/>
  </sheetPr>
  <dimension ref="A1:W173"/>
  <sheetViews>
    <sheetView showGridLines="0" zoomScale="85" zoomScaleNormal="85" workbookViewId="0">
      <pane ySplit="16" topLeftCell="A65" activePane="bottomLeft" state="frozen"/>
      <selection activeCell="P579" sqref="P579"/>
      <selection pane="bottomLeft"/>
    </sheetView>
  </sheetViews>
  <sheetFormatPr defaultColWidth="13.7109375" defaultRowHeight="12.75" x14ac:dyDescent="0.2"/>
  <cols>
    <col min="1" max="1" width="5.7109375" customWidth="1"/>
    <col min="2" max="2" width="9.5703125" style="2" bestFit="1" customWidth="1"/>
    <col min="3" max="3" width="10" style="2" bestFit="1" customWidth="1"/>
    <col min="4" max="4" width="6" style="2" bestFit="1" customWidth="1"/>
    <col min="5" max="5" width="28.42578125" style="2" bestFit="1" customWidth="1"/>
    <col min="6" max="6" width="12.28515625" style="2" bestFit="1" customWidth="1"/>
    <col min="7" max="7" width="2.7109375" style="2" customWidth="1"/>
    <col min="8" max="8" width="35.7109375" style="2" customWidth="1"/>
    <col min="9" max="9" width="2.7109375" style="2" customWidth="1"/>
    <col min="10" max="23" width="13.7109375" customWidth="1"/>
    <col min="24" max="16384" width="13.7109375" style="2"/>
  </cols>
  <sheetData>
    <row r="1" spans="1:12" x14ac:dyDescent="0.2">
      <c r="A1" s="2"/>
    </row>
    <row r="2" spans="1:12" s="13" customFormat="1" ht="18" x14ac:dyDescent="0.2">
      <c r="B2" s="13" t="s">
        <v>1053</v>
      </c>
    </row>
    <row r="4" spans="1:12" x14ac:dyDescent="0.2">
      <c r="B4" s="21" t="s">
        <v>26</v>
      </c>
      <c r="C4" s="1"/>
      <c r="D4" s="1"/>
    </row>
    <row r="5" spans="1:12" ht="37.5" customHeight="1" x14ac:dyDescent="0.2">
      <c r="B5" s="163" t="s">
        <v>453</v>
      </c>
      <c r="C5" s="163"/>
      <c r="D5" s="163"/>
      <c r="E5" s="163"/>
      <c r="F5" s="163"/>
      <c r="H5" s="14"/>
    </row>
    <row r="6" spans="1:12" ht="12.75" customHeight="1" x14ac:dyDescent="0.2">
      <c r="B6" s="87"/>
      <c r="C6" s="87"/>
      <c r="D6" s="87"/>
      <c r="E6" s="87"/>
      <c r="H6" s="14"/>
    </row>
    <row r="7" spans="1:12" ht="12.75" customHeight="1" x14ac:dyDescent="0.2">
      <c r="B7" s="21" t="s">
        <v>227</v>
      </c>
      <c r="C7" s="87"/>
      <c r="D7" s="87"/>
      <c r="E7" s="87"/>
      <c r="H7" s="14"/>
    </row>
    <row r="8" spans="1:12" ht="51.75" customHeight="1" x14ac:dyDescent="0.2">
      <c r="B8" s="163" t="s">
        <v>833</v>
      </c>
      <c r="C8" s="163"/>
      <c r="D8" s="163"/>
      <c r="E8" s="163"/>
      <c r="F8" s="163"/>
      <c r="H8" s="14"/>
    </row>
    <row r="9" spans="1:12" ht="12.75" customHeight="1" x14ac:dyDescent="0.2">
      <c r="B9" s="87"/>
      <c r="C9" s="87"/>
      <c r="D9" s="87"/>
      <c r="E9" s="87"/>
      <c r="H9" s="14"/>
    </row>
    <row r="10" spans="1:12" ht="12.75" customHeight="1" x14ac:dyDescent="0.2">
      <c r="B10" s="21" t="s">
        <v>345</v>
      </c>
      <c r="C10" s="87"/>
      <c r="D10" s="87"/>
      <c r="E10" s="87"/>
      <c r="H10" s="14"/>
      <c r="J10" s="100"/>
      <c r="K10" s="100"/>
      <c r="L10" s="100"/>
    </row>
    <row r="11" spans="1:12" ht="12.75" customHeight="1" x14ac:dyDescent="0.2">
      <c r="B11" s="108">
        <v>46247</v>
      </c>
      <c r="C11" s="87"/>
      <c r="D11" s="87"/>
      <c r="E11" s="87"/>
      <c r="H11" s="14"/>
    </row>
    <row r="12" spans="1:12" ht="12.75" customHeight="1" x14ac:dyDescent="0.2">
      <c r="B12" s="87"/>
      <c r="C12" s="87"/>
      <c r="D12" s="87"/>
      <c r="E12" s="87"/>
      <c r="H12" s="14"/>
    </row>
    <row r="13" spans="1:12" ht="12.75" customHeight="1" x14ac:dyDescent="0.2">
      <c r="B13" s="21" t="s">
        <v>346</v>
      </c>
      <c r="C13" s="87"/>
      <c r="D13" s="87"/>
      <c r="E13" s="87"/>
      <c r="H13" s="14"/>
    </row>
    <row r="14" spans="1:12" ht="88.5" customHeight="1" x14ac:dyDescent="0.2">
      <c r="B14" s="163" t="s">
        <v>830</v>
      </c>
      <c r="C14" s="163"/>
      <c r="D14" s="163"/>
      <c r="E14" s="163"/>
      <c r="F14" s="163"/>
      <c r="H14" s="14"/>
    </row>
    <row r="15" spans="1:12" ht="12.75" customHeight="1" x14ac:dyDescent="0.2">
      <c r="B15" s="87"/>
      <c r="C15" s="87"/>
      <c r="D15" s="87"/>
      <c r="E15" s="87"/>
      <c r="H15" s="14"/>
    </row>
    <row r="16" spans="1:12" s="7" customFormat="1" x14ac:dyDescent="0.2">
      <c r="B16" s="7" t="s">
        <v>353</v>
      </c>
      <c r="C16" s="7" t="s">
        <v>262</v>
      </c>
      <c r="D16" s="7" t="s">
        <v>831</v>
      </c>
      <c r="E16" s="7" t="s">
        <v>354</v>
      </c>
      <c r="F16" s="7" t="s">
        <v>355</v>
      </c>
      <c r="H16" s="7" t="s">
        <v>28</v>
      </c>
    </row>
    <row r="17" spans="2:18" s="2" customFormat="1" x14ac:dyDescent="0.2">
      <c r="B17" s="95">
        <v>2018</v>
      </c>
      <c r="C17" s="94" t="s">
        <v>268</v>
      </c>
      <c r="D17" s="94" t="s">
        <v>85</v>
      </c>
      <c r="E17" s="94" t="s">
        <v>356</v>
      </c>
      <c r="F17" s="158"/>
      <c r="G17"/>
      <c r="H17"/>
      <c r="I17"/>
      <c r="J17"/>
      <c r="K17"/>
      <c r="L17"/>
      <c r="M17"/>
      <c r="N17"/>
      <c r="O17"/>
      <c r="P17"/>
      <c r="Q17"/>
      <c r="R17"/>
    </row>
    <row r="18" spans="2:18" s="2" customFormat="1" x14ac:dyDescent="0.2">
      <c r="B18" s="95">
        <v>2018</v>
      </c>
      <c r="C18" s="94" t="s">
        <v>268</v>
      </c>
      <c r="D18" s="94" t="s">
        <v>85</v>
      </c>
      <c r="E18" s="94" t="s">
        <v>357</v>
      </c>
      <c r="F18" s="158"/>
      <c r="G18"/>
      <c r="H18"/>
      <c r="I18"/>
      <c r="J18"/>
      <c r="K18"/>
      <c r="L18"/>
      <c r="M18"/>
      <c r="N18"/>
      <c r="O18"/>
      <c r="P18"/>
      <c r="Q18"/>
      <c r="R18"/>
    </row>
    <row r="19" spans="2:18" s="2" customFormat="1" x14ac:dyDescent="0.2">
      <c r="B19" s="95">
        <v>2018</v>
      </c>
      <c r="C19" s="94" t="s">
        <v>268</v>
      </c>
      <c r="D19" s="94" t="s">
        <v>85</v>
      </c>
      <c r="E19" s="94" t="s">
        <v>358</v>
      </c>
      <c r="F19" s="158"/>
      <c r="G19"/>
      <c r="H19"/>
      <c r="I19"/>
      <c r="J19"/>
      <c r="K19"/>
      <c r="L19"/>
      <c r="M19"/>
      <c r="N19"/>
      <c r="O19"/>
      <c r="P19"/>
      <c r="Q19"/>
      <c r="R19"/>
    </row>
    <row r="20" spans="2:18" s="2" customFormat="1" x14ac:dyDescent="0.2">
      <c r="B20" s="95">
        <v>2018</v>
      </c>
      <c r="C20" s="94" t="s">
        <v>268</v>
      </c>
      <c r="D20" s="94" t="s">
        <v>86</v>
      </c>
      <c r="E20" s="94" t="s">
        <v>356</v>
      </c>
      <c r="F20" s="158"/>
      <c r="G20"/>
      <c r="H20"/>
      <c r="I20"/>
      <c r="J20"/>
      <c r="K20"/>
      <c r="L20"/>
      <c r="M20"/>
      <c r="N20"/>
      <c r="O20"/>
      <c r="P20"/>
      <c r="Q20"/>
      <c r="R20"/>
    </row>
    <row r="21" spans="2:18" s="2" customFormat="1" x14ac:dyDescent="0.2">
      <c r="B21" s="95">
        <v>2018</v>
      </c>
      <c r="C21" s="94" t="s">
        <v>268</v>
      </c>
      <c r="D21" s="94" t="s">
        <v>86</v>
      </c>
      <c r="E21" s="94" t="s">
        <v>357</v>
      </c>
      <c r="F21" s="158"/>
      <c r="G21"/>
      <c r="H21"/>
      <c r="I21"/>
      <c r="J21"/>
      <c r="K21"/>
      <c r="L21"/>
      <c r="M21"/>
      <c r="N21"/>
      <c r="O21"/>
      <c r="P21"/>
      <c r="Q21"/>
      <c r="R21"/>
    </row>
    <row r="22" spans="2:18" s="2" customFormat="1" x14ac:dyDescent="0.2">
      <c r="B22" s="95">
        <v>2018</v>
      </c>
      <c r="C22" s="94" t="s">
        <v>268</v>
      </c>
      <c r="D22" s="94" t="s">
        <v>86</v>
      </c>
      <c r="E22" s="94" t="s">
        <v>358</v>
      </c>
      <c r="F22" s="158"/>
      <c r="G22"/>
      <c r="H22"/>
      <c r="I22"/>
      <c r="J22"/>
      <c r="K22"/>
      <c r="L22"/>
      <c r="M22"/>
      <c r="N22"/>
      <c r="O22"/>
      <c r="P22"/>
      <c r="Q22"/>
      <c r="R22"/>
    </row>
    <row r="23" spans="2:18" s="2" customFormat="1" x14ac:dyDescent="0.2">
      <c r="B23" s="95">
        <v>2018</v>
      </c>
      <c r="C23" s="94" t="s">
        <v>267</v>
      </c>
      <c r="D23" s="94" t="s">
        <v>85</v>
      </c>
      <c r="E23" s="94" t="s">
        <v>338</v>
      </c>
      <c r="F23" s="158"/>
      <c r="G23"/>
      <c r="H23"/>
      <c r="I23"/>
      <c r="J23"/>
      <c r="K23"/>
      <c r="L23"/>
      <c r="M23"/>
      <c r="N23"/>
      <c r="O23"/>
      <c r="P23"/>
      <c r="Q23"/>
      <c r="R23"/>
    </row>
    <row r="24" spans="2:18" s="2" customFormat="1" x14ac:dyDescent="0.2">
      <c r="B24" s="95">
        <v>2018</v>
      </c>
      <c r="C24" s="94" t="s">
        <v>267</v>
      </c>
      <c r="D24" s="94" t="s">
        <v>85</v>
      </c>
      <c r="E24" s="94" t="s">
        <v>339</v>
      </c>
      <c r="F24" s="158"/>
      <c r="G24"/>
      <c r="H24"/>
      <c r="I24"/>
      <c r="J24"/>
      <c r="K24"/>
      <c r="L24"/>
      <c r="M24"/>
      <c r="N24"/>
      <c r="O24"/>
      <c r="P24"/>
      <c r="Q24"/>
      <c r="R24"/>
    </row>
    <row r="25" spans="2:18" s="2" customFormat="1" x14ac:dyDescent="0.2">
      <c r="B25" s="95">
        <v>2018</v>
      </c>
      <c r="C25" s="94" t="s">
        <v>267</v>
      </c>
      <c r="D25" s="94" t="s">
        <v>85</v>
      </c>
      <c r="E25" s="94" t="s">
        <v>340</v>
      </c>
      <c r="F25" s="158"/>
      <c r="G25"/>
      <c r="H25"/>
      <c r="I25"/>
      <c r="J25"/>
      <c r="K25"/>
      <c r="L25"/>
      <c r="M25"/>
      <c r="N25"/>
      <c r="O25"/>
      <c r="P25"/>
      <c r="Q25"/>
      <c r="R25"/>
    </row>
    <row r="26" spans="2:18" s="2" customFormat="1" x14ac:dyDescent="0.2">
      <c r="B26" s="95">
        <v>2018</v>
      </c>
      <c r="C26" s="94" t="s">
        <v>267</v>
      </c>
      <c r="D26" s="94" t="s">
        <v>85</v>
      </c>
      <c r="E26" s="94" t="s">
        <v>341</v>
      </c>
      <c r="F26" s="158"/>
      <c r="G26"/>
      <c r="H26"/>
      <c r="I26"/>
      <c r="J26"/>
      <c r="K26"/>
      <c r="L26"/>
      <c r="M26"/>
      <c r="N26"/>
      <c r="O26"/>
      <c r="P26"/>
      <c r="Q26"/>
      <c r="R26"/>
    </row>
    <row r="27" spans="2:18" s="2" customFormat="1" x14ac:dyDescent="0.2">
      <c r="B27" s="95">
        <v>2019</v>
      </c>
      <c r="C27" s="94" t="s">
        <v>268</v>
      </c>
      <c r="D27" s="94" t="s">
        <v>85</v>
      </c>
      <c r="E27" s="94" t="s">
        <v>356</v>
      </c>
      <c r="F27" s="158"/>
      <c r="G27"/>
      <c r="H27"/>
      <c r="I27"/>
      <c r="J27"/>
      <c r="K27"/>
      <c r="L27"/>
      <c r="M27"/>
      <c r="N27"/>
      <c r="O27"/>
      <c r="P27"/>
      <c r="Q27"/>
      <c r="R27"/>
    </row>
    <row r="28" spans="2:18" s="2" customFormat="1" x14ac:dyDescent="0.2">
      <c r="B28" s="95">
        <v>2019</v>
      </c>
      <c r="C28" s="94" t="s">
        <v>268</v>
      </c>
      <c r="D28" s="94" t="s">
        <v>85</v>
      </c>
      <c r="E28" s="94" t="s">
        <v>357</v>
      </c>
      <c r="F28" s="158"/>
      <c r="G28"/>
      <c r="H28"/>
      <c r="I28"/>
      <c r="J28"/>
      <c r="K28"/>
      <c r="L28"/>
      <c r="M28"/>
      <c r="N28"/>
      <c r="O28"/>
      <c r="P28"/>
      <c r="Q28"/>
      <c r="R28"/>
    </row>
    <row r="29" spans="2:18" s="2" customFormat="1" x14ac:dyDescent="0.2">
      <c r="B29" s="95">
        <v>2019</v>
      </c>
      <c r="C29" s="94" t="s">
        <v>268</v>
      </c>
      <c r="D29" s="94" t="s">
        <v>85</v>
      </c>
      <c r="E29" s="94" t="s">
        <v>358</v>
      </c>
      <c r="F29" s="158"/>
      <c r="G29"/>
      <c r="H29"/>
      <c r="I29"/>
      <c r="J29"/>
      <c r="K29"/>
      <c r="L29"/>
      <c r="M29"/>
      <c r="N29"/>
      <c r="O29"/>
      <c r="P29"/>
      <c r="Q29"/>
      <c r="R29"/>
    </row>
    <row r="30" spans="2:18" s="2" customFormat="1" x14ac:dyDescent="0.2">
      <c r="B30" s="95">
        <v>2019</v>
      </c>
      <c r="C30" s="94" t="s">
        <v>268</v>
      </c>
      <c r="D30" s="94" t="s">
        <v>86</v>
      </c>
      <c r="E30" s="94" t="s">
        <v>356</v>
      </c>
      <c r="F30" s="158"/>
      <c r="G30"/>
      <c r="H30"/>
      <c r="I30"/>
      <c r="J30"/>
      <c r="K30"/>
      <c r="L30"/>
      <c r="M30"/>
      <c r="N30"/>
      <c r="O30"/>
      <c r="P30"/>
      <c r="Q30"/>
      <c r="R30"/>
    </row>
    <row r="31" spans="2:18" s="2" customFormat="1" x14ac:dyDescent="0.2">
      <c r="B31" s="95">
        <v>2019</v>
      </c>
      <c r="C31" s="94" t="s">
        <v>268</v>
      </c>
      <c r="D31" s="94" t="s">
        <v>86</v>
      </c>
      <c r="E31" s="94" t="s">
        <v>357</v>
      </c>
      <c r="F31" s="158"/>
      <c r="G31"/>
      <c r="H31"/>
      <c r="I31"/>
      <c r="J31"/>
      <c r="K31"/>
      <c r="L31"/>
      <c r="M31"/>
      <c r="N31"/>
      <c r="O31"/>
      <c r="P31"/>
      <c r="Q31"/>
      <c r="R31"/>
    </row>
    <row r="32" spans="2:18" s="2" customFormat="1" x14ac:dyDescent="0.2">
      <c r="B32" s="95">
        <v>2019</v>
      </c>
      <c r="C32" s="94" t="s">
        <v>268</v>
      </c>
      <c r="D32" s="94" t="s">
        <v>86</v>
      </c>
      <c r="E32" s="94" t="s">
        <v>358</v>
      </c>
      <c r="F32" s="158"/>
      <c r="G32"/>
      <c r="H32"/>
      <c r="I32"/>
      <c r="J32"/>
      <c r="K32"/>
      <c r="L32"/>
      <c r="M32"/>
      <c r="N32"/>
      <c r="O32"/>
      <c r="P32"/>
      <c r="Q32"/>
      <c r="R32"/>
    </row>
    <row r="33" spans="2:18" s="2" customFormat="1" x14ac:dyDescent="0.2">
      <c r="B33" s="95">
        <v>2019</v>
      </c>
      <c r="C33" s="94" t="s">
        <v>267</v>
      </c>
      <c r="D33" s="94" t="s">
        <v>85</v>
      </c>
      <c r="E33" s="94" t="s">
        <v>338</v>
      </c>
      <c r="F33" s="158"/>
      <c r="G33"/>
      <c r="H33"/>
      <c r="I33"/>
      <c r="J33"/>
      <c r="K33"/>
      <c r="L33"/>
      <c r="M33"/>
      <c r="N33"/>
      <c r="O33"/>
      <c r="P33"/>
      <c r="Q33"/>
      <c r="R33"/>
    </row>
    <row r="34" spans="2:18" s="2" customFormat="1" x14ac:dyDescent="0.2">
      <c r="B34" s="95">
        <v>2019</v>
      </c>
      <c r="C34" s="94" t="s">
        <v>267</v>
      </c>
      <c r="D34" s="94" t="s">
        <v>85</v>
      </c>
      <c r="E34" s="94" t="s">
        <v>339</v>
      </c>
      <c r="F34" s="158"/>
      <c r="G34"/>
      <c r="H34"/>
      <c r="I34"/>
      <c r="J34"/>
      <c r="K34"/>
      <c r="L34"/>
      <c r="M34"/>
      <c r="N34"/>
      <c r="O34"/>
      <c r="P34"/>
      <c r="Q34"/>
      <c r="R34"/>
    </row>
    <row r="35" spans="2:18" s="2" customFormat="1" x14ac:dyDescent="0.2">
      <c r="B35" s="95">
        <v>2019</v>
      </c>
      <c r="C35" s="94" t="s">
        <v>267</v>
      </c>
      <c r="D35" s="94" t="s">
        <v>85</v>
      </c>
      <c r="E35" s="94" t="s">
        <v>340</v>
      </c>
      <c r="F35" s="158"/>
      <c r="G35"/>
      <c r="H35"/>
      <c r="I35"/>
      <c r="J35"/>
      <c r="K35"/>
      <c r="L35"/>
      <c r="M35"/>
      <c r="N35"/>
      <c r="O35"/>
      <c r="P35"/>
      <c r="Q35"/>
      <c r="R35"/>
    </row>
    <row r="36" spans="2:18" s="2" customFormat="1" x14ac:dyDescent="0.2">
      <c r="B36" s="95">
        <v>2019</v>
      </c>
      <c r="C36" s="94" t="s">
        <v>267</v>
      </c>
      <c r="D36" s="94" t="s">
        <v>85</v>
      </c>
      <c r="E36" s="94" t="s">
        <v>341</v>
      </c>
      <c r="F36" s="158"/>
      <c r="G36"/>
      <c r="H36"/>
      <c r="I36"/>
      <c r="J36"/>
      <c r="K36"/>
      <c r="L36"/>
      <c r="M36"/>
      <c r="N36"/>
      <c r="O36"/>
      <c r="P36"/>
      <c r="Q36"/>
      <c r="R36"/>
    </row>
    <row r="37" spans="2:18" s="2" customFormat="1" x14ac:dyDescent="0.2">
      <c r="B37" s="95">
        <v>2020</v>
      </c>
      <c r="C37" s="94" t="s">
        <v>268</v>
      </c>
      <c r="D37" s="94" t="s">
        <v>85</v>
      </c>
      <c r="E37" s="94" t="s">
        <v>356</v>
      </c>
      <c r="F37" s="158"/>
      <c r="G37"/>
      <c r="H37"/>
      <c r="I37"/>
      <c r="J37"/>
      <c r="K37"/>
      <c r="L37"/>
      <c r="M37"/>
      <c r="N37"/>
      <c r="O37"/>
      <c r="P37"/>
      <c r="Q37"/>
      <c r="R37"/>
    </row>
    <row r="38" spans="2:18" s="2" customFormat="1" x14ac:dyDescent="0.2">
      <c r="B38" s="95">
        <v>2020</v>
      </c>
      <c r="C38" s="94" t="s">
        <v>268</v>
      </c>
      <c r="D38" s="94" t="s">
        <v>85</v>
      </c>
      <c r="E38" s="94" t="s">
        <v>357</v>
      </c>
      <c r="F38" s="158"/>
      <c r="G38"/>
      <c r="H38"/>
      <c r="I38"/>
      <c r="J38"/>
      <c r="K38"/>
      <c r="L38"/>
      <c r="M38"/>
      <c r="N38"/>
      <c r="O38"/>
      <c r="P38"/>
      <c r="Q38"/>
      <c r="R38"/>
    </row>
    <row r="39" spans="2:18" s="2" customFormat="1" x14ac:dyDescent="0.2">
      <c r="B39" s="95">
        <v>2020</v>
      </c>
      <c r="C39" s="94" t="s">
        <v>268</v>
      </c>
      <c r="D39" s="94" t="s">
        <v>85</v>
      </c>
      <c r="E39" s="94" t="s">
        <v>358</v>
      </c>
      <c r="F39" s="158"/>
      <c r="G39"/>
      <c r="H39"/>
      <c r="I39"/>
      <c r="J39"/>
      <c r="K39"/>
      <c r="L39"/>
      <c r="M39"/>
      <c r="N39"/>
      <c r="O39"/>
      <c r="P39"/>
      <c r="Q39"/>
      <c r="R39"/>
    </row>
    <row r="40" spans="2:18" s="2" customFormat="1" x14ac:dyDescent="0.2">
      <c r="B40" s="95">
        <v>2020</v>
      </c>
      <c r="C40" s="94" t="s">
        <v>268</v>
      </c>
      <c r="D40" s="94" t="s">
        <v>86</v>
      </c>
      <c r="E40" s="94" t="s">
        <v>356</v>
      </c>
      <c r="F40" s="158"/>
      <c r="G40"/>
      <c r="H40"/>
      <c r="I40"/>
      <c r="J40"/>
      <c r="K40"/>
      <c r="L40"/>
      <c r="M40"/>
      <c r="N40"/>
      <c r="O40"/>
      <c r="P40"/>
      <c r="Q40"/>
      <c r="R40"/>
    </row>
    <row r="41" spans="2:18" s="2" customFormat="1" x14ac:dyDescent="0.2">
      <c r="B41" s="95">
        <v>2020</v>
      </c>
      <c r="C41" s="94" t="s">
        <v>268</v>
      </c>
      <c r="D41" s="94" t="s">
        <v>86</v>
      </c>
      <c r="E41" s="94" t="s">
        <v>357</v>
      </c>
      <c r="F41" s="158"/>
      <c r="G41"/>
      <c r="H41"/>
      <c r="I41"/>
      <c r="J41"/>
      <c r="K41"/>
      <c r="L41"/>
      <c r="M41"/>
      <c r="N41"/>
      <c r="O41"/>
      <c r="P41"/>
      <c r="Q41"/>
      <c r="R41"/>
    </row>
    <row r="42" spans="2:18" s="2" customFormat="1" x14ac:dyDescent="0.2">
      <c r="B42" s="95">
        <v>2020</v>
      </c>
      <c r="C42" s="94" t="s">
        <v>268</v>
      </c>
      <c r="D42" s="94" t="s">
        <v>86</v>
      </c>
      <c r="E42" s="94" t="s">
        <v>358</v>
      </c>
      <c r="F42" s="158"/>
      <c r="G42"/>
      <c r="H42"/>
      <c r="I42"/>
      <c r="J42"/>
      <c r="K42"/>
      <c r="L42"/>
      <c r="M42"/>
      <c r="N42"/>
      <c r="O42"/>
      <c r="P42"/>
      <c r="Q42"/>
      <c r="R42"/>
    </row>
    <row r="43" spans="2:18" s="2" customFormat="1" x14ac:dyDescent="0.2">
      <c r="B43" s="95">
        <v>2020</v>
      </c>
      <c r="C43" s="94" t="s">
        <v>267</v>
      </c>
      <c r="D43" s="94" t="s">
        <v>85</v>
      </c>
      <c r="E43" s="94" t="s">
        <v>338</v>
      </c>
      <c r="F43" s="158"/>
      <c r="G43"/>
      <c r="H43"/>
      <c r="I43"/>
      <c r="J43"/>
      <c r="K43"/>
      <c r="L43"/>
      <c r="M43"/>
      <c r="N43"/>
      <c r="O43"/>
      <c r="P43"/>
      <c r="Q43"/>
      <c r="R43"/>
    </row>
    <row r="44" spans="2:18" s="2" customFormat="1" x14ac:dyDescent="0.2">
      <c r="B44" s="95">
        <v>2020</v>
      </c>
      <c r="C44" s="94" t="s">
        <v>267</v>
      </c>
      <c r="D44" s="94" t="s">
        <v>85</v>
      </c>
      <c r="E44" s="94" t="s">
        <v>339</v>
      </c>
      <c r="F44" s="158"/>
      <c r="G44"/>
      <c r="H44"/>
      <c r="I44"/>
      <c r="J44"/>
      <c r="K44"/>
      <c r="L44"/>
      <c r="M44"/>
      <c r="N44"/>
      <c r="O44"/>
      <c r="P44"/>
      <c r="Q44"/>
      <c r="R44"/>
    </row>
    <row r="45" spans="2:18" s="2" customFormat="1" x14ac:dyDescent="0.2">
      <c r="B45" s="95">
        <v>2020</v>
      </c>
      <c r="C45" s="94" t="s">
        <v>267</v>
      </c>
      <c r="D45" s="94" t="s">
        <v>85</v>
      </c>
      <c r="E45" s="94" t="s">
        <v>340</v>
      </c>
      <c r="F45" s="158"/>
      <c r="G45"/>
      <c r="H45"/>
      <c r="I45"/>
      <c r="J45"/>
      <c r="K45"/>
      <c r="L45"/>
      <c r="M45"/>
      <c r="N45"/>
      <c r="O45"/>
      <c r="P45"/>
      <c r="Q45"/>
      <c r="R45"/>
    </row>
    <row r="46" spans="2:18" s="2" customFormat="1" x14ac:dyDescent="0.2">
      <c r="B46" s="95">
        <v>2020</v>
      </c>
      <c r="C46" s="94" t="s">
        <v>267</v>
      </c>
      <c r="D46" s="94" t="s">
        <v>85</v>
      </c>
      <c r="E46" s="94" t="s">
        <v>341</v>
      </c>
      <c r="F46" s="158"/>
      <c r="G46"/>
      <c r="H46"/>
      <c r="I46"/>
      <c r="J46"/>
      <c r="K46"/>
      <c r="L46"/>
      <c r="M46"/>
      <c r="N46"/>
      <c r="O46"/>
      <c r="P46"/>
      <c r="Q46"/>
      <c r="R46"/>
    </row>
    <row r="47" spans="2:18" s="2" customFormat="1" x14ac:dyDescent="0.2">
      <c r="B47" s="95">
        <v>2021</v>
      </c>
      <c r="C47" s="94" t="s">
        <v>268</v>
      </c>
      <c r="D47" s="94" t="s">
        <v>85</v>
      </c>
      <c r="E47" s="94" t="s">
        <v>356</v>
      </c>
      <c r="F47" s="158"/>
      <c r="G47"/>
      <c r="H47"/>
      <c r="I47"/>
      <c r="J47"/>
      <c r="K47"/>
      <c r="L47"/>
      <c r="M47"/>
      <c r="N47"/>
      <c r="O47"/>
      <c r="P47"/>
      <c r="Q47"/>
      <c r="R47"/>
    </row>
    <row r="48" spans="2:18" s="2" customFormat="1" x14ac:dyDescent="0.2">
      <c r="B48" s="95">
        <v>2021</v>
      </c>
      <c r="C48" s="94" t="s">
        <v>268</v>
      </c>
      <c r="D48" s="94" t="s">
        <v>85</v>
      </c>
      <c r="E48" s="94" t="s">
        <v>357</v>
      </c>
      <c r="F48" s="158"/>
      <c r="G48"/>
      <c r="H48"/>
      <c r="I48"/>
      <c r="J48"/>
      <c r="K48"/>
      <c r="L48"/>
      <c r="M48"/>
      <c r="N48"/>
      <c r="O48"/>
      <c r="P48"/>
      <c r="Q48"/>
      <c r="R48"/>
    </row>
    <row r="49" spans="2:18" s="2" customFormat="1" x14ac:dyDescent="0.2">
      <c r="B49" s="95">
        <v>2021</v>
      </c>
      <c r="C49" s="94" t="s">
        <v>268</v>
      </c>
      <c r="D49" s="94" t="s">
        <v>85</v>
      </c>
      <c r="E49" s="94" t="s">
        <v>358</v>
      </c>
      <c r="F49" s="158"/>
      <c r="G49"/>
      <c r="H49"/>
      <c r="I49"/>
      <c r="J49"/>
      <c r="K49"/>
      <c r="L49"/>
      <c r="M49"/>
      <c r="N49"/>
      <c r="O49"/>
      <c r="P49"/>
      <c r="Q49"/>
      <c r="R49"/>
    </row>
    <row r="50" spans="2:18" s="2" customFormat="1" x14ac:dyDescent="0.2">
      <c r="B50" s="95">
        <v>2021</v>
      </c>
      <c r="C50" s="94" t="s">
        <v>268</v>
      </c>
      <c r="D50" s="94" t="s">
        <v>86</v>
      </c>
      <c r="E50" s="94" t="s">
        <v>356</v>
      </c>
      <c r="F50" s="158"/>
      <c r="G50"/>
      <c r="H50"/>
      <c r="I50"/>
      <c r="J50"/>
      <c r="K50"/>
      <c r="L50"/>
      <c r="M50"/>
      <c r="N50"/>
      <c r="O50"/>
      <c r="P50"/>
      <c r="Q50"/>
      <c r="R50"/>
    </row>
    <row r="51" spans="2:18" s="2" customFormat="1" x14ac:dyDescent="0.2">
      <c r="B51" s="95">
        <v>2021</v>
      </c>
      <c r="C51" s="94" t="s">
        <v>268</v>
      </c>
      <c r="D51" s="94" t="s">
        <v>86</v>
      </c>
      <c r="E51" s="94" t="s">
        <v>357</v>
      </c>
      <c r="F51" s="158"/>
      <c r="G51"/>
      <c r="H51"/>
      <c r="I51"/>
      <c r="J51"/>
      <c r="K51"/>
      <c r="L51"/>
      <c r="M51"/>
      <c r="N51"/>
      <c r="O51"/>
      <c r="P51"/>
      <c r="Q51"/>
      <c r="R51"/>
    </row>
    <row r="52" spans="2:18" s="2" customFormat="1" x14ac:dyDescent="0.2">
      <c r="B52" s="95">
        <v>2021</v>
      </c>
      <c r="C52" s="94" t="s">
        <v>268</v>
      </c>
      <c r="D52" s="94" t="s">
        <v>86</v>
      </c>
      <c r="E52" s="94" t="s">
        <v>358</v>
      </c>
      <c r="F52" s="158"/>
      <c r="G52"/>
      <c r="H52"/>
      <c r="I52"/>
      <c r="J52"/>
      <c r="K52"/>
      <c r="L52"/>
      <c r="M52"/>
      <c r="N52"/>
      <c r="O52"/>
      <c r="P52"/>
      <c r="Q52"/>
      <c r="R52"/>
    </row>
    <row r="53" spans="2:18" s="2" customFormat="1" x14ac:dyDescent="0.2">
      <c r="B53" s="95">
        <v>2021</v>
      </c>
      <c r="C53" s="94" t="s">
        <v>267</v>
      </c>
      <c r="D53" s="94" t="s">
        <v>85</v>
      </c>
      <c r="E53" s="94" t="s">
        <v>338</v>
      </c>
      <c r="F53" s="158"/>
      <c r="G53"/>
      <c r="H53"/>
      <c r="I53"/>
      <c r="J53"/>
      <c r="K53"/>
      <c r="L53"/>
      <c r="M53"/>
      <c r="N53"/>
      <c r="O53"/>
      <c r="P53"/>
      <c r="Q53"/>
      <c r="R53"/>
    </row>
    <row r="54" spans="2:18" s="2" customFormat="1" x14ac:dyDescent="0.2">
      <c r="B54" s="95">
        <v>2021</v>
      </c>
      <c r="C54" s="94" t="s">
        <v>267</v>
      </c>
      <c r="D54" s="94" t="s">
        <v>85</v>
      </c>
      <c r="E54" s="94" t="s">
        <v>339</v>
      </c>
      <c r="F54" s="158"/>
      <c r="G54"/>
      <c r="H54"/>
      <c r="I54"/>
      <c r="J54"/>
      <c r="K54"/>
      <c r="L54"/>
      <c r="M54"/>
      <c r="N54"/>
      <c r="O54"/>
      <c r="P54"/>
      <c r="Q54"/>
      <c r="R54"/>
    </row>
    <row r="55" spans="2:18" s="2" customFormat="1" x14ac:dyDescent="0.2">
      <c r="B55" s="95">
        <v>2021</v>
      </c>
      <c r="C55" s="94" t="s">
        <v>267</v>
      </c>
      <c r="D55" s="94" t="s">
        <v>85</v>
      </c>
      <c r="E55" s="94" t="s">
        <v>340</v>
      </c>
      <c r="F55" s="158"/>
      <c r="G55"/>
      <c r="H55"/>
      <c r="I55"/>
      <c r="J55"/>
      <c r="K55"/>
      <c r="L55"/>
      <c r="M55"/>
      <c r="N55"/>
      <c r="O55"/>
      <c r="P55"/>
      <c r="Q55"/>
      <c r="R55"/>
    </row>
    <row r="56" spans="2:18" s="2" customFormat="1" x14ac:dyDescent="0.2">
      <c r="B56" s="95">
        <v>2021</v>
      </c>
      <c r="C56" s="94" t="s">
        <v>267</v>
      </c>
      <c r="D56" s="94" t="s">
        <v>85</v>
      </c>
      <c r="E56" s="94" t="s">
        <v>341</v>
      </c>
      <c r="F56" s="158"/>
      <c r="G56"/>
      <c r="H56"/>
      <c r="I56"/>
      <c r="J56"/>
      <c r="K56"/>
      <c r="L56"/>
      <c r="M56"/>
      <c r="N56"/>
      <c r="O56"/>
      <c r="P56"/>
      <c r="Q56"/>
      <c r="R56"/>
    </row>
    <row r="57" spans="2:18" s="2" customFormat="1" x14ac:dyDescent="0.2">
      <c r="B57" s="95">
        <v>2022</v>
      </c>
      <c r="C57" s="94" t="s">
        <v>268</v>
      </c>
      <c r="D57" s="94" t="s">
        <v>85</v>
      </c>
      <c r="E57" s="94" t="s">
        <v>356</v>
      </c>
      <c r="F57" s="158"/>
      <c r="G57"/>
      <c r="H57"/>
      <c r="I57"/>
      <c r="J57"/>
      <c r="K57"/>
      <c r="L57"/>
      <c r="M57"/>
      <c r="N57"/>
      <c r="O57"/>
      <c r="P57"/>
      <c r="Q57"/>
      <c r="R57"/>
    </row>
    <row r="58" spans="2:18" s="2" customFormat="1" x14ac:dyDescent="0.2">
      <c r="B58" s="95">
        <v>2022</v>
      </c>
      <c r="C58" s="94" t="s">
        <v>268</v>
      </c>
      <c r="D58" s="94" t="s">
        <v>85</v>
      </c>
      <c r="E58" s="94" t="s">
        <v>357</v>
      </c>
      <c r="F58" s="158"/>
      <c r="G58"/>
      <c r="H58"/>
      <c r="I58"/>
      <c r="J58"/>
      <c r="K58"/>
      <c r="L58"/>
      <c r="M58"/>
      <c r="N58"/>
      <c r="O58"/>
      <c r="P58"/>
      <c r="Q58"/>
      <c r="R58"/>
    </row>
    <row r="59" spans="2:18" s="2" customFormat="1" x14ac:dyDescent="0.2">
      <c r="B59" s="95">
        <v>2022</v>
      </c>
      <c r="C59" s="94" t="s">
        <v>268</v>
      </c>
      <c r="D59" s="94" t="s">
        <v>85</v>
      </c>
      <c r="E59" s="94" t="s">
        <v>358</v>
      </c>
      <c r="F59" s="158"/>
      <c r="G59"/>
      <c r="H59"/>
      <c r="I59"/>
      <c r="J59"/>
      <c r="K59"/>
      <c r="L59"/>
      <c r="M59"/>
      <c r="N59"/>
      <c r="O59"/>
      <c r="P59"/>
      <c r="Q59"/>
      <c r="R59"/>
    </row>
    <row r="60" spans="2:18" s="2" customFormat="1" x14ac:dyDescent="0.2">
      <c r="B60" s="95">
        <v>2022</v>
      </c>
      <c r="C60" s="94" t="s">
        <v>268</v>
      </c>
      <c r="D60" s="94" t="s">
        <v>86</v>
      </c>
      <c r="E60" s="94" t="s">
        <v>356</v>
      </c>
      <c r="F60" s="158"/>
      <c r="G60"/>
      <c r="H60"/>
      <c r="I60"/>
      <c r="J60"/>
      <c r="K60"/>
      <c r="L60"/>
      <c r="M60"/>
      <c r="N60"/>
      <c r="O60"/>
      <c r="P60"/>
      <c r="Q60"/>
      <c r="R60"/>
    </row>
    <row r="61" spans="2:18" s="2" customFormat="1" x14ac:dyDescent="0.2">
      <c r="B61" s="95">
        <v>2022</v>
      </c>
      <c r="C61" s="94" t="s">
        <v>268</v>
      </c>
      <c r="D61" s="94" t="s">
        <v>86</v>
      </c>
      <c r="E61" s="94" t="s">
        <v>357</v>
      </c>
      <c r="F61" s="158"/>
      <c r="G61"/>
      <c r="H61"/>
      <c r="I61"/>
      <c r="J61"/>
      <c r="K61"/>
      <c r="L61"/>
      <c r="M61"/>
      <c r="N61"/>
      <c r="O61"/>
      <c r="P61"/>
      <c r="Q61"/>
      <c r="R61"/>
    </row>
    <row r="62" spans="2:18" s="2" customFormat="1" x14ac:dyDescent="0.2">
      <c r="B62" s="95">
        <v>2022</v>
      </c>
      <c r="C62" s="94" t="s">
        <v>268</v>
      </c>
      <c r="D62" s="94" t="s">
        <v>86</v>
      </c>
      <c r="E62" s="94" t="s">
        <v>358</v>
      </c>
      <c r="F62" s="158"/>
      <c r="G62"/>
      <c r="H62"/>
      <c r="I62"/>
      <c r="J62"/>
      <c r="K62"/>
      <c r="L62"/>
      <c r="M62"/>
      <c r="N62"/>
      <c r="O62"/>
      <c r="P62"/>
      <c r="Q62"/>
      <c r="R62"/>
    </row>
    <row r="63" spans="2:18" s="2" customFormat="1" x14ac:dyDescent="0.2">
      <c r="B63" s="95">
        <v>2022</v>
      </c>
      <c r="C63" s="94" t="s">
        <v>267</v>
      </c>
      <c r="D63" s="94" t="s">
        <v>85</v>
      </c>
      <c r="E63" s="94" t="s">
        <v>338</v>
      </c>
      <c r="F63" s="158"/>
      <c r="G63"/>
      <c r="H63"/>
      <c r="I63"/>
      <c r="J63"/>
      <c r="K63"/>
      <c r="L63"/>
      <c r="M63"/>
      <c r="N63"/>
      <c r="O63"/>
      <c r="P63"/>
      <c r="Q63"/>
      <c r="R63"/>
    </row>
    <row r="64" spans="2:18" s="2" customFormat="1" x14ac:dyDescent="0.2">
      <c r="B64" s="95">
        <v>2022</v>
      </c>
      <c r="C64" s="94" t="s">
        <v>267</v>
      </c>
      <c r="D64" s="94" t="s">
        <v>85</v>
      </c>
      <c r="E64" s="94" t="s">
        <v>339</v>
      </c>
      <c r="F64" s="158"/>
      <c r="G64"/>
      <c r="H64"/>
      <c r="I64"/>
      <c r="J64"/>
      <c r="K64"/>
      <c r="L64"/>
      <c r="M64"/>
      <c r="N64"/>
      <c r="O64"/>
      <c r="P64"/>
      <c r="Q64"/>
      <c r="R64"/>
    </row>
    <row r="65" spans="1:23" x14ac:dyDescent="0.2">
      <c r="A65" s="2"/>
      <c r="B65" s="95">
        <v>2022</v>
      </c>
      <c r="C65" s="94" t="s">
        <v>267</v>
      </c>
      <c r="D65" s="94" t="s">
        <v>85</v>
      </c>
      <c r="E65" s="94" t="s">
        <v>340</v>
      </c>
      <c r="F65" s="158"/>
      <c r="G65"/>
      <c r="H65"/>
      <c r="I65"/>
      <c r="S65" s="2"/>
      <c r="T65" s="2"/>
      <c r="U65" s="2"/>
      <c r="V65" s="2"/>
      <c r="W65" s="2"/>
    </row>
    <row r="66" spans="1:23" x14ac:dyDescent="0.2">
      <c r="A66" s="2"/>
      <c r="B66" s="95">
        <v>2022</v>
      </c>
      <c r="C66" s="94" t="s">
        <v>267</v>
      </c>
      <c r="D66" s="94" t="s">
        <v>85</v>
      </c>
      <c r="E66" s="94" t="s">
        <v>341</v>
      </c>
      <c r="F66" s="158"/>
      <c r="G66"/>
      <c r="H66"/>
      <c r="I66"/>
      <c r="S66" s="2"/>
      <c r="T66" s="2"/>
      <c r="U66" s="2"/>
      <c r="V66" s="2"/>
      <c r="W66" s="2"/>
    </row>
    <row r="67" spans="1:23" x14ac:dyDescent="0.2">
      <c r="A67" s="2"/>
      <c r="B67" s="95">
        <v>2023</v>
      </c>
      <c r="C67" s="94" t="s">
        <v>268</v>
      </c>
      <c r="D67" s="94" t="s">
        <v>85</v>
      </c>
      <c r="E67" s="94" t="s">
        <v>356</v>
      </c>
      <c r="F67" s="158"/>
      <c r="G67"/>
      <c r="H67"/>
      <c r="I67"/>
      <c r="S67" s="2"/>
      <c r="T67" s="2"/>
      <c r="U67" s="2"/>
      <c r="V67" s="2"/>
      <c r="W67" s="2"/>
    </row>
    <row r="68" spans="1:23" x14ac:dyDescent="0.2">
      <c r="A68" s="2"/>
      <c r="B68" s="95">
        <v>2023</v>
      </c>
      <c r="C68" s="94" t="s">
        <v>268</v>
      </c>
      <c r="D68" s="94" t="s">
        <v>85</v>
      </c>
      <c r="E68" s="94" t="s">
        <v>357</v>
      </c>
      <c r="F68" s="158"/>
      <c r="G68"/>
      <c r="H68"/>
      <c r="I68"/>
      <c r="S68" s="2"/>
      <c r="T68" s="2"/>
      <c r="U68" s="2"/>
      <c r="V68" s="2"/>
      <c r="W68" s="2"/>
    </row>
    <row r="69" spans="1:23" x14ac:dyDescent="0.2">
      <c r="A69" s="2"/>
      <c r="B69" s="95">
        <v>2023</v>
      </c>
      <c r="C69" s="94" t="s">
        <v>268</v>
      </c>
      <c r="D69" s="94" t="s">
        <v>85</v>
      </c>
      <c r="E69" s="94" t="s">
        <v>358</v>
      </c>
      <c r="F69" s="158"/>
      <c r="G69"/>
      <c r="H69"/>
      <c r="I69"/>
      <c r="S69" s="2"/>
      <c r="T69" s="2"/>
      <c r="U69" s="2"/>
      <c r="V69" s="2"/>
      <c r="W69" s="2"/>
    </row>
    <row r="70" spans="1:23" x14ac:dyDescent="0.2">
      <c r="A70" s="2"/>
      <c r="B70" s="95">
        <v>2023</v>
      </c>
      <c r="C70" s="94" t="s">
        <v>268</v>
      </c>
      <c r="D70" s="94" t="s">
        <v>86</v>
      </c>
      <c r="E70" s="94" t="s">
        <v>356</v>
      </c>
      <c r="F70" s="158"/>
      <c r="G70"/>
      <c r="H70"/>
      <c r="I70"/>
      <c r="S70" s="2"/>
      <c r="T70" s="2"/>
      <c r="U70" s="2"/>
      <c r="V70" s="2"/>
      <c r="W70" s="2"/>
    </row>
    <row r="71" spans="1:23" x14ac:dyDescent="0.2">
      <c r="A71" s="2"/>
      <c r="B71" s="95">
        <v>2023</v>
      </c>
      <c r="C71" s="94" t="s">
        <v>268</v>
      </c>
      <c r="D71" s="94" t="s">
        <v>86</v>
      </c>
      <c r="E71" s="94" t="s">
        <v>357</v>
      </c>
      <c r="F71" s="158"/>
      <c r="G71"/>
      <c r="H71"/>
      <c r="I71"/>
      <c r="S71" s="2"/>
      <c r="T71" s="2"/>
      <c r="U71" s="2"/>
      <c r="V71" s="2"/>
      <c r="W71" s="2"/>
    </row>
    <row r="72" spans="1:23" x14ac:dyDescent="0.2">
      <c r="A72" s="2"/>
      <c r="B72" s="95">
        <v>2023</v>
      </c>
      <c r="C72" s="94" t="s">
        <v>268</v>
      </c>
      <c r="D72" s="94" t="s">
        <v>86</v>
      </c>
      <c r="E72" s="94" t="s">
        <v>358</v>
      </c>
      <c r="F72" s="158"/>
      <c r="G72"/>
      <c r="H72"/>
      <c r="I72"/>
      <c r="S72" s="2"/>
      <c r="T72" s="2"/>
      <c r="U72" s="2"/>
      <c r="V72" s="2"/>
      <c r="W72" s="2"/>
    </row>
    <row r="73" spans="1:23" x14ac:dyDescent="0.2">
      <c r="A73" s="2"/>
      <c r="B73" s="95">
        <v>2023</v>
      </c>
      <c r="C73" s="94" t="s">
        <v>267</v>
      </c>
      <c r="D73" s="94" t="s">
        <v>85</v>
      </c>
      <c r="E73" s="94" t="s">
        <v>338</v>
      </c>
      <c r="F73" s="158"/>
      <c r="G73"/>
      <c r="H73"/>
      <c r="I73"/>
      <c r="S73" s="2"/>
      <c r="T73" s="2"/>
      <c r="U73" s="2"/>
      <c r="V73" s="2"/>
      <c r="W73" s="2"/>
    </row>
    <row r="74" spans="1:23" x14ac:dyDescent="0.2">
      <c r="A74" s="2"/>
      <c r="B74" s="95">
        <v>2023</v>
      </c>
      <c r="C74" s="94" t="s">
        <v>267</v>
      </c>
      <c r="D74" s="94" t="s">
        <v>85</v>
      </c>
      <c r="E74" s="94" t="s">
        <v>339</v>
      </c>
      <c r="F74" s="158"/>
    </row>
    <row r="75" spans="1:23" x14ac:dyDescent="0.2">
      <c r="A75" s="2"/>
      <c r="B75" s="95">
        <v>2023</v>
      </c>
      <c r="C75" s="94" t="s">
        <v>267</v>
      </c>
      <c r="D75" s="94" t="s">
        <v>85</v>
      </c>
      <c r="E75" s="94" t="s">
        <v>340</v>
      </c>
      <c r="F75" s="158"/>
    </row>
    <row r="76" spans="1:23" x14ac:dyDescent="0.2">
      <c r="A76" s="2"/>
      <c r="B76" s="95">
        <v>2023</v>
      </c>
      <c r="C76" s="94" t="s">
        <v>267</v>
      </c>
      <c r="D76" s="94" t="s">
        <v>85</v>
      </c>
      <c r="E76" s="94" t="s">
        <v>341</v>
      </c>
      <c r="F76" s="158"/>
    </row>
    <row r="77" spans="1:23" x14ac:dyDescent="0.2">
      <c r="A77" s="2"/>
      <c r="B77" s="95">
        <v>2024</v>
      </c>
      <c r="C77" s="94" t="s">
        <v>268</v>
      </c>
      <c r="D77" s="94" t="s">
        <v>85</v>
      </c>
      <c r="E77" s="94" t="s">
        <v>356</v>
      </c>
      <c r="F77" s="158"/>
    </row>
    <row r="78" spans="1:23" x14ac:dyDescent="0.2">
      <c r="A78" s="2"/>
      <c r="B78" s="95">
        <v>2024</v>
      </c>
      <c r="C78" s="94" t="s">
        <v>268</v>
      </c>
      <c r="D78" s="94" t="s">
        <v>85</v>
      </c>
      <c r="E78" s="94" t="s">
        <v>357</v>
      </c>
      <c r="F78" s="158"/>
    </row>
    <row r="79" spans="1:23" x14ac:dyDescent="0.2">
      <c r="A79" s="2"/>
      <c r="B79" s="95">
        <v>2024</v>
      </c>
      <c r="C79" s="94" t="s">
        <v>268</v>
      </c>
      <c r="D79" s="94" t="s">
        <v>86</v>
      </c>
      <c r="E79" s="94" t="s">
        <v>357</v>
      </c>
      <c r="F79" s="158"/>
    </row>
    <row r="80" spans="1:23" x14ac:dyDescent="0.2">
      <c r="A80" s="2"/>
      <c r="B80" s="95">
        <v>2024</v>
      </c>
      <c r="C80" s="94" t="s">
        <v>268</v>
      </c>
      <c r="D80" s="94" t="s">
        <v>86</v>
      </c>
      <c r="E80" s="94" t="s">
        <v>358</v>
      </c>
      <c r="F80" s="158"/>
    </row>
    <row r="81" spans="1:6" x14ac:dyDescent="0.2">
      <c r="A81" s="2"/>
      <c r="B81" s="95">
        <v>2024</v>
      </c>
      <c r="C81" s="94" t="s">
        <v>267</v>
      </c>
      <c r="D81" s="94" t="s">
        <v>85</v>
      </c>
      <c r="E81" s="94" t="s">
        <v>338</v>
      </c>
      <c r="F81" s="158"/>
    </row>
    <row r="82" spans="1:6" x14ac:dyDescent="0.2">
      <c r="A82" s="2"/>
      <c r="B82" s="95">
        <v>2024</v>
      </c>
      <c r="C82" s="94" t="s">
        <v>267</v>
      </c>
      <c r="D82" s="94" t="s">
        <v>85</v>
      </c>
      <c r="E82" s="94" t="s">
        <v>339</v>
      </c>
      <c r="F82" s="158"/>
    </row>
    <row r="83" spans="1:6" x14ac:dyDescent="0.2">
      <c r="A83" s="2"/>
      <c r="B83" s="95">
        <v>2024</v>
      </c>
      <c r="C83" s="94" t="s">
        <v>267</v>
      </c>
      <c r="D83" s="94" t="s">
        <v>85</v>
      </c>
      <c r="E83" s="94" t="s">
        <v>340</v>
      </c>
      <c r="F83" s="158"/>
    </row>
    <row r="84" spans="1:6" x14ac:dyDescent="0.2">
      <c r="A84" s="2"/>
      <c r="B84" s="95">
        <v>2024</v>
      </c>
      <c r="C84" s="94" t="s">
        <v>267</v>
      </c>
      <c r="D84" s="94" t="s">
        <v>85</v>
      </c>
      <c r="E84" s="94" t="s">
        <v>341</v>
      </c>
      <c r="F84" s="158"/>
    </row>
    <row r="85" spans="1:6" x14ac:dyDescent="0.2">
      <c r="A85" s="2"/>
      <c r="B85" s="95">
        <v>2024</v>
      </c>
      <c r="C85" s="94" t="s">
        <v>268</v>
      </c>
      <c r="D85" s="94" t="s">
        <v>85</v>
      </c>
      <c r="E85" s="94" t="s">
        <v>358</v>
      </c>
      <c r="F85" s="158"/>
    </row>
    <row r="86" spans="1:6" x14ac:dyDescent="0.2">
      <c r="A86" s="2"/>
      <c r="B86" s="95">
        <v>2024</v>
      </c>
      <c r="C86" s="94" t="s">
        <v>268</v>
      </c>
      <c r="D86" s="94" t="s">
        <v>86</v>
      </c>
      <c r="E86" s="94" t="s">
        <v>356</v>
      </c>
      <c r="F86" s="158"/>
    </row>
    <row r="87" spans="1:6" x14ac:dyDescent="0.2">
      <c r="A87" s="2"/>
      <c r="B87" s="95">
        <v>2025</v>
      </c>
      <c r="C87" s="94" t="s">
        <v>268</v>
      </c>
      <c r="D87" s="94" t="s">
        <v>85</v>
      </c>
      <c r="E87" s="94" t="s">
        <v>356</v>
      </c>
      <c r="F87" s="158"/>
    </row>
    <row r="88" spans="1:6" x14ac:dyDescent="0.2">
      <c r="A88" s="2"/>
      <c r="B88" s="95">
        <v>2025</v>
      </c>
      <c r="C88" s="94" t="s">
        <v>268</v>
      </c>
      <c r="D88" s="94" t="s">
        <v>85</v>
      </c>
      <c r="E88" s="94" t="s">
        <v>358</v>
      </c>
      <c r="F88" s="158"/>
    </row>
    <row r="89" spans="1:6" x14ac:dyDescent="0.2">
      <c r="A89" s="2"/>
      <c r="B89" s="95">
        <v>2025</v>
      </c>
      <c r="C89" s="94" t="s">
        <v>268</v>
      </c>
      <c r="D89" s="94" t="s">
        <v>86</v>
      </c>
      <c r="E89" s="94" t="s">
        <v>356</v>
      </c>
      <c r="F89" s="158"/>
    </row>
    <row r="90" spans="1:6" x14ac:dyDescent="0.2">
      <c r="A90" s="2"/>
      <c r="B90" s="95">
        <v>2025</v>
      </c>
      <c r="C90" s="94" t="s">
        <v>268</v>
      </c>
      <c r="D90" s="94" t="s">
        <v>86</v>
      </c>
      <c r="E90" s="94" t="s">
        <v>357</v>
      </c>
      <c r="F90" s="158"/>
    </row>
    <row r="91" spans="1:6" x14ac:dyDescent="0.2">
      <c r="A91" s="2"/>
      <c r="B91" s="95">
        <v>2025</v>
      </c>
      <c r="C91" s="94" t="s">
        <v>268</v>
      </c>
      <c r="D91" s="94" t="s">
        <v>86</v>
      </c>
      <c r="E91" s="94" t="s">
        <v>358</v>
      </c>
      <c r="F91" s="158"/>
    </row>
    <row r="92" spans="1:6" x14ac:dyDescent="0.2">
      <c r="A92" s="2"/>
      <c r="B92" s="95">
        <v>2025</v>
      </c>
      <c r="C92" s="94" t="s">
        <v>267</v>
      </c>
      <c r="D92" s="94" t="s">
        <v>85</v>
      </c>
      <c r="E92" s="94" t="s">
        <v>338</v>
      </c>
      <c r="F92" s="158"/>
    </row>
    <row r="93" spans="1:6" x14ac:dyDescent="0.2">
      <c r="A93" s="2"/>
      <c r="B93" s="95">
        <v>2025</v>
      </c>
      <c r="C93" s="94" t="s">
        <v>267</v>
      </c>
      <c r="D93" s="94" t="s">
        <v>85</v>
      </c>
      <c r="E93" s="94" t="s">
        <v>339</v>
      </c>
      <c r="F93" s="158"/>
    </row>
    <row r="94" spans="1:6" x14ac:dyDescent="0.2">
      <c r="A94" s="2"/>
      <c r="B94" s="95">
        <v>2025</v>
      </c>
      <c r="C94" s="94" t="s">
        <v>267</v>
      </c>
      <c r="D94" s="94" t="s">
        <v>85</v>
      </c>
      <c r="E94" s="94" t="s">
        <v>340</v>
      </c>
      <c r="F94" s="158"/>
    </row>
    <row r="95" spans="1:6" x14ac:dyDescent="0.2">
      <c r="A95" s="2"/>
      <c r="B95" s="95">
        <v>2025</v>
      </c>
      <c r="C95" s="94" t="s">
        <v>267</v>
      </c>
      <c r="D95" s="94" t="s">
        <v>85</v>
      </c>
      <c r="E95" s="94" t="s">
        <v>341</v>
      </c>
      <c r="F95" s="158"/>
    </row>
    <row r="96" spans="1:6" x14ac:dyDescent="0.2">
      <c r="A96" s="2"/>
      <c r="B96" s="95">
        <v>2025</v>
      </c>
      <c r="C96" s="94" t="s">
        <v>268</v>
      </c>
      <c r="D96" s="94" t="s">
        <v>85</v>
      </c>
      <c r="E96" s="94" t="s">
        <v>357</v>
      </c>
      <c r="F96" s="158"/>
    </row>
    <row r="97" spans="1:1" x14ac:dyDescent="0.2">
      <c r="A97" s="2"/>
    </row>
    <row r="98" spans="1:1" x14ac:dyDescent="0.2">
      <c r="A98" s="2"/>
    </row>
    <row r="99" spans="1:1" x14ac:dyDescent="0.2">
      <c r="A99" s="2"/>
    </row>
    <row r="100" spans="1:1" x14ac:dyDescent="0.2">
      <c r="A100" s="2"/>
    </row>
    <row r="101" spans="1:1" x14ac:dyDescent="0.2">
      <c r="A101" s="2"/>
    </row>
    <row r="102" spans="1:1" x14ac:dyDescent="0.2">
      <c r="A102" s="2"/>
    </row>
    <row r="103" spans="1:1" x14ac:dyDescent="0.2">
      <c r="A103" s="2"/>
    </row>
    <row r="104" spans="1:1" x14ac:dyDescent="0.2">
      <c r="A104" s="2"/>
    </row>
    <row r="105" spans="1:1" x14ac:dyDescent="0.2">
      <c r="A105" s="2"/>
    </row>
    <row r="106" spans="1:1" x14ac:dyDescent="0.2">
      <c r="A106" s="2"/>
    </row>
    <row r="107" spans="1:1" x14ac:dyDescent="0.2">
      <c r="A107" s="2"/>
    </row>
    <row r="108" spans="1:1" x14ac:dyDescent="0.2">
      <c r="A108" s="2"/>
    </row>
    <row r="109" spans="1:1" x14ac:dyDescent="0.2">
      <c r="A109" s="2"/>
    </row>
    <row r="110" spans="1:1" x14ac:dyDescent="0.2">
      <c r="A110" s="2"/>
    </row>
    <row r="111" spans="1:1" x14ac:dyDescent="0.2">
      <c r="A111" s="2"/>
    </row>
    <row r="112" spans="1:1" x14ac:dyDescent="0.2">
      <c r="A112" s="2"/>
    </row>
    <row r="113" spans="1:1" x14ac:dyDescent="0.2">
      <c r="A113" s="2"/>
    </row>
    <row r="114" spans="1:1" x14ac:dyDescent="0.2">
      <c r="A114" s="2"/>
    </row>
    <row r="115" spans="1:1" x14ac:dyDescent="0.2">
      <c r="A115" s="2"/>
    </row>
    <row r="116" spans="1:1" x14ac:dyDescent="0.2">
      <c r="A116" s="2"/>
    </row>
    <row r="117" spans="1:1" x14ac:dyDescent="0.2">
      <c r="A117" s="2"/>
    </row>
    <row r="118" spans="1:1" x14ac:dyDescent="0.2">
      <c r="A118" s="2"/>
    </row>
    <row r="119" spans="1:1" x14ac:dyDescent="0.2">
      <c r="A119" s="2"/>
    </row>
    <row r="120" spans="1:1" x14ac:dyDescent="0.2">
      <c r="A120" s="2"/>
    </row>
    <row r="121" spans="1:1" x14ac:dyDescent="0.2">
      <c r="A121" s="2"/>
    </row>
    <row r="122" spans="1:1" x14ac:dyDescent="0.2">
      <c r="A122" s="2"/>
    </row>
    <row r="123" spans="1:1" x14ac:dyDescent="0.2">
      <c r="A123" s="2"/>
    </row>
    <row r="124" spans="1:1" x14ac:dyDescent="0.2">
      <c r="A124" s="2"/>
    </row>
    <row r="125" spans="1:1" x14ac:dyDescent="0.2">
      <c r="A125" s="2"/>
    </row>
    <row r="126" spans="1:1" x14ac:dyDescent="0.2">
      <c r="A126" s="2"/>
    </row>
    <row r="127" spans="1:1" x14ac:dyDescent="0.2">
      <c r="A127" s="2"/>
    </row>
    <row r="128" spans="1:1" x14ac:dyDescent="0.2">
      <c r="A128" s="2"/>
    </row>
    <row r="129" spans="1:1" x14ac:dyDescent="0.2">
      <c r="A129" s="2"/>
    </row>
    <row r="130" spans="1:1" x14ac:dyDescent="0.2">
      <c r="A130" s="2"/>
    </row>
    <row r="131" spans="1:1" x14ac:dyDescent="0.2">
      <c r="A131" s="2"/>
    </row>
    <row r="132" spans="1:1" x14ac:dyDescent="0.2">
      <c r="A132" s="2"/>
    </row>
    <row r="133" spans="1:1" x14ac:dyDescent="0.2">
      <c r="A133" s="2"/>
    </row>
    <row r="134" spans="1:1" x14ac:dyDescent="0.2">
      <c r="A134" s="2"/>
    </row>
    <row r="135" spans="1:1" x14ac:dyDescent="0.2">
      <c r="A135" s="2"/>
    </row>
    <row r="136" spans="1:1" x14ac:dyDescent="0.2">
      <c r="A136" s="2"/>
    </row>
    <row r="137" spans="1:1" x14ac:dyDescent="0.2">
      <c r="A137" s="2"/>
    </row>
    <row r="138" spans="1:1" x14ac:dyDescent="0.2">
      <c r="A138" s="2"/>
    </row>
    <row r="139" spans="1:1" x14ac:dyDescent="0.2">
      <c r="A139" s="2"/>
    </row>
    <row r="140" spans="1:1" x14ac:dyDescent="0.2">
      <c r="A140" s="2"/>
    </row>
    <row r="141" spans="1:1" x14ac:dyDescent="0.2">
      <c r="A141" s="2"/>
    </row>
    <row r="142" spans="1:1" x14ac:dyDescent="0.2">
      <c r="A142" s="2"/>
    </row>
    <row r="143" spans="1:1" x14ac:dyDescent="0.2">
      <c r="A143" s="2"/>
    </row>
    <row r="144" spans="1:1" x14ac:dyDescent="0.2">
      <c r="A144" s="2"/>
    </row>
    <row r="145" spans="1:1" x14ac:dyDescent="0.2">
      <c r="A145" s="2"/>
    </row>
    <row r="146" spans="1:1" x14ac:dyDescent="0.2">
      <c r="A146" s="2"/>
    </row>
    <row r="147" spans="1:1" x14ac:dyDescent="0.2">
      <c r="A147" s="2"/>
    </row>
    <row r="148" spans="1:1" x14ac:dyDescent="0.2">
      <c r="A148" s="2"/>
    </row>
    <row r="149" spans="1:1" x14ac:dyDescent="0.2">
      <c r="A149" s="2"/>
    </row>
    <row r="150" spans="1:1" x14ac:dyDescent="0.2">
      <c r="A150" s="2"/>
    </row>
    <row r="151" spans="1:1" x14ac:dyDescent="0.2">
      <c r="A151" s="2"/>
    </row>
    <row r="152" spans="1:1" x14ac:dyDescent="0.2">
      <c r="A152" s="2"/>
    </row>
    <row r="153" spans="1:1" x14ac:dyDescent="0.2">
      <c r="A153" s="2"/>
    </row>
    <row r="154" spans="1:1" x14ac:dyDescent="0.2">
      <c r="A154" s="2"/>
    </row>
    <row r="155" spans="1:1" x14ac:dyDescent="0.2">
      <c r="A155" s="2"/>
    </row>
    <row r="156" spans="1:1" x14ac:dyDescent="0.2">
      <c r="A156" s="2"/>
    </row>
    <row r="157" spans="1:1" x14ac:dyDescent="0.2">
      <c r="A157" s="2"/>
    </row>
    <row r="158" spans="1:1" x14ac:dyDescent="0.2">
      <c r="A158" s="2"/>
    </row>
    <row r="159" spans="1:1" x14ac:dyDescent="0.2">
      <c r="A159" s="2"/>
    </row>
    <row r="160" spans="1:1" x14ac:dyDescent="0.2">
      <c r="A160" s="2"/>
    </row>
    <row r="161" spans="1:1" x14ac:dyDescent="0.2">
      <c r="A161" s="2"/>
    </row>
    <row r="162" spans="1:1" x14ac:dyDescent="0.2">
      <c r="A162" s="2"/>
    </row>
    <row r="163" spans="1:1" x14ac:dyDescent="0.2">
      <c r="A163" s="2"/>
    </row>
    <row r="164" spans="1:1" x14ac:dyDescent="0.2">
      <c r="A164" s="2"/>
    </row>
    <row r="165" spans="1:1" x14ac:dyDescent="0.2">
      <c r="A165" s="2"/>
    </row>
    <row r="166" spans="1:1" x14ac:dyDescent="0.2">
      <c r="A166" s="2"/>
    </row>
    <row r="167" spans="1:1" x14ac:dyDescent="0.2">
      <c r="A167" s="2"/>
    </row>
    <row r="168" spans="1:1" x14ac:dyDescent="0.2">
      <c r="A168" s="2"/>
    </row>
    <row r="169" spans="1:1" x14ac:dyDescent="0.2">
      <c r="A169" s="2"/>
    </row>
    <row r="170" spans="1:1" x14ac:dyDescent="0.2">
      <c r="A170" s="2"/>
    </row>
    <row r="171" spans="1:1" x14ac:dyDescent="0.2">
      <c r="A171" s="2"/>
    </row>
    <row r="172" spans="1:1" x14ac:dyDescent="0.2">
      <c r="A172" s="2"/>
    </row>
    <row r="173" spans="1:1" x14ac:dyDescent="0.2">
      <c r="A173" s="2"/>
    </row>
  </sheetData>
  <mergeCells count="3">
    <mergeCell ref="B5:F5"/>
    <mergeCell ref="B8:F8"/>
    <mergeCell ref="B14:F14"/>
  </mergeCells>
  <phoneticPr fontId="30" type="noConversion"/>
  <pageMargins left="0.7" right="0.7" top="0.75" bottom="0.75" header="0.3" footer="0.3"/>
  <pageSetup paperSize="9"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EDF41-ECC9-4D88-929B-8F642CA5489A}">
  <sheetPr>
    <tabColor rgb="FFCCCCFF"/>
  </sheetPr>
  <dimension ref="A1:AA42"/>
  <sheetViews>
    <sheetView showGridLines="0" zoomScale="85" zoomScaleNormal="85" workbookViewId="0">
      <pane ySplit="16" topLeftCell="A17" activePane="bottomLeft" state="frozen"/>
      <selection activeCell="P579" sqref="P579"/>
      <selection pane="bottomLeft"/>
    </sheetView>
  </sheetViews>
  <sheetFormatPr defaultColWidth="9.140625" defaultRowHeight="12.75" x14ac:dyDescent="0.2"/>
  <cols>
    <col min="1" max="1" width="5.7109375" customWidth="1"/>
    <col min="2" max="2" width="11" customWidth="1"/>
    <col min="3" max="3" width="36.5703125" bestFit="1" customWidth="1"/>
    <col min="4" max="4" width="20.140625" bestFit="1" customWidth="1"/>
    <col min="5" max="5" width="18.85546875" bestFit="1" customWidth="1"/>
    <col min="6" max="6" width="18.7109375" style="2" customWidth="1"/>
    <col min="7" max="7" width="41.7109375" style="2" customWidth="1"/>
    <col min="8" max="9" width="12.5703125" style="2" customWidth="1"/>
    <col min="10" max="10" width="2.7109375" style="2" customWidth="1"/>
    <col min="11" max="11" width="35.7109375" style="2" customWidth="1"/>
    <col min="12" max="12" width="2.7109375" style="2" customWidth="1"/>
    <col min="13" max="27" width="13.7109375" customWidth="1"/>
    <col min="28" max="16384" width="9.140625" style="2"/>
  </cols>
  <sheetData>
    <row r="1" spans="1:11" x14ac:dyDescent="0.2">
      <c r="A1" s="2"/>
      <c r="B1" s="2"/>
      <c r="C1" s="2"/>
      <c r="D1" s="2"/>
      <c r="E1" s="2"/>
    </row>
    <row r="2" spans="1:11" s="13" customFormat="1" ht="18" x14ac:dyDescent="0.2">
      <c r="B2" s="13" t="s">
        <v>1054</v>
      </c>
    </row>
    <row r="4" spans="1:11" x14ac:dyDescent="0.2">
      <c r="B4" s="21" t="s">
        <v>26</v>
      </c>
      <c r="F4" s="21"/>
      <c r="G4" s="1"/>
      <c r="H4" s="1"/>
    </row>
    <row r="5" spans="1:11" ht="43.5" customHeight="1" x14ac:dyDescent="0.2">
      <c r="B5" s="170" t="s">
        <v>444</v>
      </c>
      <c r="C5" s="170"/>
      <c r="D5" s="170"/>
      <c r="E5" s="170"/>
      <c r="F5" s="163"/>
      <c r="G5" s="163"/>
      <c r="H5" s="163"/>
      <c r="I5" s="163"/>
      <c r="J5" s="163"/>
    </row>
    <row r="6" spans="1:11" ht="12.75" customHeight="1" x14ac:dyDescent="0.2">
      <c r="F6" s="87"/>
      <c r="G6" s="87"/>
      <c r="H6" s="87"/>
      <c r="I6" s="87"/>
    </row>
    <row r="7" spans="1:11" ht="12.75" customHeight="1" x14ac:dyDescent="0.2">
      <c r="B7" s="21" t="s">
        <v>227</v>
      </c>
      <c r="C7" s="87"/>
      <c r="D7" s="87"/>
      <c r="E7" s="87"/>
    </row>
    <row r="8" spans="1:11" ht="36.950000000000003" customHeight="1" x14ac:dyDescent="0.2">
      <c r="B8" s="170" t="s">
        <v>834</v>
      </c>
      <c r="C8" s="170"/>
      <c r="D8" s="170"/>
      <c r="E8" s="170"/>
      <c r="F8" s="163"/>
      <c r="G8" s="163"/>
      <c r="H8" s="163"/>
      <c r="I8" s="163"/>
      <c r="J8" s="163"/>
    </row>
    <row r="9" spans="1:11" ht="12.75" customHeight="1" x14ac:dyDescent="0.2">
      <c r="G9" s="87"/>
      <c r="H9" s="87"/>
      <c r="I9" s="87"/>
    </row>
    <row r="10" spans="1:11" ht="12.75" customHeight="1" x14ac:dyDescent="0.2">
      <c r="B10" s="21" t="s">
        <v>345</v>
      </c>
      <c r="C10" s="104"/>
      <c r="D10" s="104"/>
      <c r="E10" s="104"/>
      <c r="F10" s="104"/>
      <c r="G10" s="87"/>
      <c r="H10" s="87"/>
      <c r="I10" s="87"/>
    </row>
    <row r="11" spans="1:11" ht="12.75" customHeight="1" x14ac:dyDescent="0.2">
      <c r="B11" s="108">
        <v>46202</v>
      </c>
      <c r="F11" s="87"/>
      <c r="G11" s="87"/>
      <c r="H11" s="87"/>
      <c r="I11" s="87"/>
    </row>
    <row r="12" spans="1:11" ht="12.75" customHeight="1" x14ac:dyDescent="0.2">
      <c r="F12" s="87"/>
      <c r="G12" s="87"/>
      <c r="H12" s="87"/>
      <c r="I12" s="87"/>
    </row>
    <row r="13" spans="1:11" ht="12.75" customHeight="1" x14ac:dyDescent="0.2">
      <c r="B13" s="21" t="s">
        <v>346</v>
      </c>
      <c r="C13" s="87"/>
      <c r="D13" s="87"/>
      <c r="E13" s="87"/>
    </row>
    <row r="14" spans="1:11" ht="37.5" customHeight="1" x14ac:dyDescent="0.2">
      <c r="B14" s="163" t="s">
        <v>1289</v>
      </c>
      <c r="C14" s="163"/>
      <c r="D14" s="163"/>
      <c r="E14" s="163"/>
    </row>
    <row r="15" spans="1:11" ht="12.75" customHeight="1" x14ac:dyDescent="0.2">
      <c r="F15" s="87"/>
      <c r="G15" s="87"/>
      <c r="H15" s="87"/>
      <c r="I15" s="87"/>
    </row>
    <row r="16" spans="1:11" s="7" customFormat="1" x14ac:dyDescent="0.2">
      <c r="B16" s="7" t="s">
        <v>353</v>
      </c>
      <c r="C16" s="7" t="s">
        <v>445</v>
      </c>
      <c r="D16" s="7" t="s">
        <v>446</v>
      </c>
      <c r="E16" s="7" t="s">
        <v>447</v>
      </c>
      <c r="H16" s="107"/>
      <c r="I16" s="51"/>
      <c r="K16" s="7" t="s">
        <v>28</v>
      </c>
    </row>
    <row r="17" spans="2:27" x14ac:dyDescent="0.2">
      <c r="B17" s="95">
        <v>2018</v>
      </c>
      <c r="C17" s="95" t="s">
        <v>360</v>
      </c>
      <c r="D17" s="155">
        <v>-10082448.097243795</v>
      </c>
      <c r="E17" s="155"/>
      <c r="J17"/>
      <c r="K17"/>
      <c r="L17"/>
      <c r="X17" s="2"/>
      <c r="Y17" s="2"/>
      <c r="Z17" s="2"/>
      <c r="AA17" s="2"/>
    </row>
    <row r="18" spans="2:27" x14ac:dyDescent="0.2">
      <c r="B18" s="95">
        <v>2018</v>
      </c>
      <c r="C18" s="95" t="s">
        <v>359</v>
      </c>
      <c r="D18" s="155"/>
      <c r="E18" s="155">
        <v>21124302.600000001</v>
      </c>
      <c r="J18"/>
      <c r="K18"/>
      <c r="L18"/>
      <c r="X18" s="2"/>
      <c r="Y18" s="2"/>
      <c r="Z18" s="2"/>
      <c r="AA18" s="2"/>
    </row>
    <row r="19" spans="2:27" x14ac:dyDescent="0.2">
      <c r="B19" s="95">
        <v>2019</v>
      </c>
      <c r="C19" s="95" t="s">
        <v>360</v>
      </c>
      <c r="D19" s="155">
        <v>-8352546.3211448845</v>
      </c>
      <c r="E19" s="155"/>
      <c r="J19"/>
      <c r="K19"/>
      <c r="L19"/>
      <c r="X19" s="2"/>
      <c r="Y19" s="2"/>
      <c r="Z19" s="2"/>
      <c r="AA19" s="2"/>
    </row>
    <row r="20" spans="2:27" x14ac:dyDescent="0.2">
      <c r="B20" s="95">
        <v>2019</v>
      </c>
      <c r="C20" s="95" t="s">
        <v>359</v>
      </c>
      <c r="D20" s="155"/>
      <c r="E20" s="155">
        <v>20364643.440000001</v>
      </c>
      <c r="J20"/>
      <c r="K20"/>
      <c r="L20"/>
      <c r="X20" s="2"/>
      <c r="Y20" s="2"/>
      <c r="Z20" s="2"/>
      <c r="AA20" s="2"/>
    </row>
    <row r="21" spans="2:27" x14ac:dyDescent="0.2">
      <c r="B21" s="95">
        <v>2020</v>
      </c>
      <c r="C21" s="95" t="s">
        <v>360</v>
      </c>
      <c r="D21" s="155">
        <v>-10170981.465065157</v>
      </c>
      <c r="E21" s="155"/>
      <c r="J21"/>
      <c r="K21"/>
      <c r="L21"/>
      <c r="X21" s="2"/>
      <c r="Y21" s="2"/>
      <c r="Z21" s="2"/>
      <c r="AA21" s="2"/>
    </row>
    <row r="22" spans="2:27" x14ac:dyDescent="0.2">
      <c r="B22" s="95">
        <v>2020</v>
      </c>
      <c r="C22" s="95" t="s">
        <v>359</v>
      </c>
      <c r="D22" s="155"/>
      <c r="E22" s="155">
        <v>20963010.800000001</v>
      </c>
      <c r="J22"/>
      <c r="K22"/>
      <c r="L22"/>
      <c r="X22" s="2"/>
      <c r="Y22" s="2"/>
      <c r="Z22" s="2"/>
      <c r="AA22" s="2"/>
    </row>
    <row r="23" spans="2:27" x14ac:dyDescent="0.2">
      <c r="B23" s="95">
        <v>2021</v>
      </c>
      <c r="C23" s="95" t="s">
        <v>360</v>
      </c>
      <c r="D23" s="155">
        <v>-9317723.5122380182</v>
      </c>
      <c r="E23" s="155"/>
      <c r="J23"/>
      <c r="K23"/>
      <c r="L23"/>
      <c r="X23" s="2"/>
      <c r="Y23" s="2"/>
      <c r="Z23" s="2"/>
      <c r="AA23" s="2"/>
    </row>
    <row r="24" spans="2:27" x14ac:dyDescent="0.2">
      <c r="B24" s="95">
        <v>2021</v>
      </c>
      <c r="C24" s="95" t="s">
        <v>359</v>
      </c>
      <c r="D24" s="155"/>
      <c r="E24" s="155">
        <v>21238517.280000005</v>
      </c>
      <c r="J24"/>
      <c r="K24"/>
      <c r="L24"/>
      <c r="X24" s="2"/>
      <c r="Y24" s="2"/>
      <c r="Z24" s="2"/>
      <c r="AA24" s="2"/>
    </row>
    <row r="25" spans="2:27" x14ac:dyDescent="0.2">
      <c r="B25" s="95">
        <v>2022</v>
      </c>
      <c r="C25" s="95" t="s">
        <v>360</v>
      </c>
      <c r="D25" s="155">
        <v>1914991.1999999993</v>
      </c>
      <c r="E25" s="155"/>
      <c r="J25"/>
      <c r="K25"/>
      <c r="L25"/>
      <c r="X25" s="2"/>
      <c r="Y25" s="2"/>
      <c r="Z25" s="2"/>
      <c r="AA25" s="2"/>
    </row>
    <row r="26" spans="2:27" x14ac:dyDescent="0.2">
      <c r="B26" s="95">
        <v>2022</v>
      </c>
      <c r="C26" s="95" t="s">
        <v>359</v>
      </c>
      <c r="D26" s="155"/>
      <c r="E26" s="155">
        <v>22228529.530000001</v>
      </c>
      <c r="J26"/>
      <c r="K26"/>
      <c r="L26"/>
      <c r="X26" s="2"/>
      <c r="Y26" s="2"/>
      <c r="Z26" s="2"/>
      <c r="AA26" s="2"/>
    </row>
    <row r="27" spans="2:27" x14ac:dyDescent="0.2">
      <c r="B27" s="95">
        <v>2023</v>
      </c>
      <c r="C27" s="95" t="s">
        <v>360</v>
      </c>
      <c r="D27" s="155">
        <v>8104196.6795147993</v>
      </c>
      <c r="E27" s="155"/>
    </row>
    <row r="28" spans="2:27" x14ac:dyDescent="0.2">
      <c r="B28" s="95">
        <v>2023</v>
      </c>
      <c r="C28" s="95" t="s">
        <v>359</v>
      </c>
      <c r="D28" s="155"/>
      <c r="E28" s="155">
        <v>40824762.579999998</v>
      </c>
    </row>
    <row r="29" spans="2:27" x14ac:dyDescent="0.2">
      <c r="B29" s="95">
        <v>2024</v>
      </c>
      <c r="C29" s="95" t="s">
        <v>360</v>
      </c>
      <c r="D29" s="155">
        <v>-14127502.783245999</v>
      </c>
      <c r="E29" s="155"/>
    </row>
    <row r="30" spans="2:27" x14ac:dyDescent="0.2">
      <c r="B30" s="95">
        <v>2024</v>
      </c>
      <c r="C30" s="95" t="s">
        <v>359</v>
      </c>
      <c r="D30" s="155"/>
      <c r="E30" s="155">
        <v>60986299.699999996</v>
      </c>
      <c r="F30"/>
    </row>
    <row r="31" spans="2:27" x14ac:dyDescent="0.2">
      <c r="B31" s="95">
        <v>2025</v>
      </c>
      <c r="C31" s="95" t="s">
        <v>360</v>
      </c>
      <c r="D31" s="155">
        <v>-28526877.10401253</v>
      </c>
      <c r="E31" s="155"/>
      <c r="F31"/>
    </row>
    <row r="32" spans="2:27" x14ac:dyDescent="0.2">
      <c r="B32" s="95">
        <v>2025</v>
      </c>
      <c r="C32" s="95" t="s">
        <v>359</v>
      </c>
      <c r="D32" s="155"/>
      <c r="E32" s="155">
        <v>0</v>
      </c>
      <c r="F32"/>
    </row>
    <row r="33" spans="6:8" x14ac:dyDescent="0.2">
      <c r="F33"/>
    </row>
    <row r="34" spans="6:8" x14ac:dyDescent="0.2">
      <c r="F34"/>
    </row>
    <row r="35" spans="6:8" x14ac:dyDescent="0.2">
      <c r="F35"/>
    </row>
    <row r="36" spans="6:8" x14ac:dyDescent="0.2">
      <c r="F36"/>
    </row>
    <row r="37" spans="6:8" x14ac:dyDescent="0.2">
      <c r="F37"/>
      <c r="G37"/>
      <c r="H37"/>
    </row>
    <row r="38" spans="6:8" x14ac:dyDescent="0.2">
      <c r="F38"/>
      <c r="G38"/>
      <c r="H38"/>
    </row>
    <row r="39" spans="6:8" x14ac:dyDescent="0.2">
      <c r="F39"/>
      <c r="G39"/>
      <c r="H39"/>
    </row>
    <row r="40" spans="6:8" x14ac:dyDescent="0.2">
      <c r="F40"/>
      <c r="G40"/>
      <c r="H40"/>
    </row>
    <row r="41" spans="6:8" x14ac:dyDescent="0.2">
      <c r="F41"/>
      <c r="G41"/>
      <c r="H41"/>
    </row>
    <row r="42" spans="6:8" x14ac:dyDescent="0.2">
      <c r="F42"/>
      <c r="G42"/>
      <c r="H42"/>
    </row>
  </sheetData>
  <mergeCells count="5">
    <mergeCell ref="F5:J5"/>
    <mergeCell ref="F8:J8"/>
    <mergeCell ref="B14:E14"/>
    <mergeCell ref="B5:E5"/>
    <mergeCell ref="B8:E8"/>
  </mergeCells>
  <pageMargins left="0.7" right="0.7" top="0.75" bottom="0.75" header="0.3" footer="0.3"/>
  <pageSetup paperSize="9"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4.9989318521683403E-2"/>
  </sheetPr>
  <dimension ref="B2:B3"/>
  <sheetViews>
    <sheetView showGridLines="0" zoomScale="85" zoomScaleNormal="85" workbookViewId="0"/>
  </sheetViews>
  <sheetFormatPr defaultColWidth="9.140625" defaultRowHeight="12.75" x14ac:dyDescent="0.2"/>
  <cols>
    <col min="1" max="1" width="5.7109375" style="16" customWidth="1"/>
    <col min="2" max="16384" width="9.140625" style="16"/>
  </cols>
  <sheetData>
    <row r="2" spans="2:2" x14ac:dyDescent="0.2">
      <c r="B2" s="34"/>
    </row>
    <row r="3" spans="2:2" x14ac:dyDescent="0.2">
      <c r="B3" s="34"/>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83684-EFCD-43EC-9916-967C999CB9DB}">
  <sheetPr>
    <tabColor rgb="FFFFFFCC"/>
  </sheetPr>
  <dimension ref="B2:AO94"/>
  <sheetViews>
    <sheetView showGridLines="0" zoomScale="85" zoomScaleNormal="85" workbookViewId="0">
      <pane xSplit="6" ySplit="8" topLeftCell="G9" activePane="bottomRight" state="frozen"/>
      <selection activeCell="P579" sqref="P579"/>
      <selection pane="topRight" activeCell="P579" sqref="P579"/>
      <selection pane="bottomLeft" activeCell="P579" sqref="P579"/>
      <selection pane="bottomRight"/>
    </sheetView>
  </sheetViews>
  <sheetFormatPr defaultColWidth="9.140625" defaultRowHeight="12.75" outlineLevelCol="1" x14ac:dyDescent="0.2"/>
  <cols>
    <col min="1" max="1" width="5.7109375" style="2" customWidth="1"/>
    <col min="2" max="2" width="50.5703125" style="2" customWidth="1"/>
    <col min="3" max="5" width="5.7109375" style="2" customWidth="1"/>
    <col min="6" max="6" width="13.7109375" style="2" customWidth="1"/>
    <col min="7" max="7" width="2.7109375" style="2" customWidth="1"/>
    <col min="8" max="8" width="13.7109375" style="2" customWidth="1"/>
    <col min="9" max="9" width="2.7109375" style="2" customWidth="1"/>
    <col min="10" max="10" width="13.7109375" style="2" customWidth="1"/>
    <col min="11" max="11" width="2.7109375" style="2" customWidth="1"/>
    <col min="12" max="12" width="13.7109375" style="2" hidden="1" customWidth="1" outlineLevel="1"/>
    <col min="13" max="29" width="12.5703125" style="2" hidden="1" customWidth="1" outlineLevel="1"/>
    <col min="30" max="30" width="12.5703125" style="2" customWidth="1" collapsed="1"/>
    <col min="31" max="39" width="12.5703125" style="2" customWidth="1"/>
    <col min="40" max="40" width="2.7109375" style="2" customWidth="1"/>
    <col min="41" max="41" width="30.7109375" style="2" customWidth="1"/>
    <col min="42" max="55" width="13.7109375" style="2" customWidth="1"/>
    <col min="56" max="62" width="9.140625" style="2"/>
    <col min="63" max="63" width="9.140625" style="2" customWidth="1"/>
    <col min="64" max="16384" width="9.140625" style="2"/>
  </cols>
  <sheetData>
    <row r="2" spans="2:41" s="13" customFormat="1" ht="18" x14ac:dyDescent="0.2">
      <c r="B2" s="13" t="s">
        <v>1055</v>
      </c>
    </row>
    <row r="4" spans="2:41" x14ac:dyDescent="0.2">
      <c r="B4" s="21" t="s">
        <v>52</v>
      </c>
      <c r="C4" s="1"/>
      <c r="D4" s="1"/>
    </row>
    <row r="5" spans="2:41" ht="39.75" customHeight="1" x14ac:dyDescent="0.2">
      <c r="B5" s="163" t="s">
        <v>321</v>
      </c>
      <c r="C5" s="163"/>
      <c r="D5" s="163"/>
      <c r="E5" s="163"/>
      <c r="H5" s="14"/>
    </row>
    <row r="7" spans="2:41" s="7" customFormat="1" x14ac:dyDescent="0.2">
      <c r="B7" s="7" t="s">
        <v>42</v>
      </c>
      <c r="F7" s="7" t="s">
        <v>24</v>
      </c>
      <c r="H7" s="7" t="s">
        <v>25</v>
      </c>
      <c r="J7" s="7" t="s">
        <v>46</v>
      </c>
      <c r="L7" s="79">
        <v>2000</v>
      </c>
      <c r="M7" s="79">
        <v>2001</v>
      </c>
      <c r="N7" s="79">
        <v>2002</v>
      </c>
      <c r="O7" s="79">
        <v>2003</v>
      </c>
      <c r="P7" s="79">
        <v>2004</v>
      </c>
      <c r="Q7" s="79">
        <v>2005</v>
      </c>
      <c r="R7" s="79">
        <v>2006</v>
      </c>
      <c r="S7" s="79">
        <v>2007</v>
      </c>
      <c r="T7" s="79">
        <v>2008</v>
      </c>
      <c r="U7" s="79">
        <v>2009</v>
      </c>
      <c r="V7" s="79">
        <v>2010</v>
      </c>
      <c r="W7" s="79">
        <v>2011</v>
      </c>
      <c r="X7" s="79">
        <v>2012</v>
      </c>
      <c r="Y7" s="79">
        <v>2013</v>
      </c>
      <c r="Z7" s="79">
        <v>2014</v>
      </c>
      <c r="AA7" s="79">
        <v>2015</v>
      </c>
      <c r="AB7" s="79">
        <v>2016</v>
      </c>
      <c r="AC7" s="79">
        <v>2017</v>
      </c>
      <c r="AD7" s="79">
        <v>2018</v>
      </c>
      <c r="AE7" s="79">
        <v>2019</v>
      </c>
      <c r="AF7" s="79">
        <v>2020</v>
      </c>
      <c r="AG7" s="79">
        <v>2021</v>
      </c>
      <c r="AH7" s="79">
        <v>2022</v>
      </c>
      <c r="AI7" s="79">
        <v>2023</v>
      </c>
      <c r="AJ7" s="79">
        <v>2024</v>
      </c>
      <c r="AK7" s="79">
        <v>2025</v>
      </c>
      <c r="AL7" s="79">
        <v>2026</v>
      </c>
      <c r="AM7" s="79">
        <v>2027</v>
      </c>
      <c r="AO7" s="7" t="s">
        <v>44</v>
      </c>
    </row>
    <row r="10" spans="2:41" s="7" customFormat="1" x14ac:dyDescent="0.2">
      <c r="B10" s="7" t="s">
        <v>45</v>
      </c>
    </row>
    <row r="12" spans="2:41" x14ac:dyDescent="0.2">
      <c r="B12" s="21" t="s">
        <v>140</v>
      </c>
    </row>
    <row r="13" spans="2:41" x14ac:dyDescent="0.2">
      <c r="B13" s="2" t="s">
        <v>111</v>
      </c>
      <c r="F13" s="2" t="s">
        <v>112</v>
      </c>
      <c r="L13" s="59">
        <f>'9. Parameters'!L13</f>
        <v>2.5999999999999999E-2</v>
      </c>
      <c r="M13" s="59">
        <f>'9. Parameters'!M13</f>
        <v>2.5000000000000001E-2</v>
      </c>
      <c r="N13" s="59">
        <f>'9. Parameters'!N13</f>
        <v>4.7E-2</v>
      </c>
      <c r="O13" s="59">
        <f>'9. Parameters'!O13</f>
        <v>3.3000000000000002E-2</v>
      </c>
      <c r="P13" s="59">
        <f>'9. Parameters'!P13</f>
        <v>2.1000000000000001E-2</v>
      </c>
      <c r="Q13" s="59">
        <f>'9. Parameters'!Q13</f>
        <v>1.1000000000000001E-2</v>
      </c>
      <c r="R13" s="59">
        <f>'9. Parameters'!R13</f>
        <v>1.8000000000000002E-2</v>
      </c>
      <c r="S13" s="59">
        <f>'9. Parameters'!S13</f>
        <v>1.3999999999999999E-2</v>
      </c>
      <c r="T13" s="59">
        <f>'9. Parameters'!T13</f>
        <v>1.1000000000000001E-2</v>
      </c>
      <c r="U13" s="59">
        <f>'9. Parameters'!U13</f>
        <v>3.2000000000000001E-2</v>
      </c>
      <c r="V13" s="59">
        <f>'9. Parameters'!V13</f>
        <v>3.0000000000000001E-3</v>
      </c>
      <c r="W13" s="59">
        <f>'9. Parameters'!W13</f>
        <v>1.4999999999999999E-2</v>
      </c>
      <c r="X13" s="59">
        <f>'9. Parameters'!X13</f>
        <v>2.6000000000000002E-2</v>
      </c>
      <c r="Y13" s="59">
        <f>'9. Parameters'!Y13</f>
        <v>2.3E-2</v>
      </c>
      <c r="Z13" s="59">
        <f>'9. Parameters'!Z13</f>
        <v>2.8000000000000001E-2</v>
      </c>
      <c r="AA13" s="59">
        <f>'9. Parameters'!AA13</f>
        <v>0.01</v>
      </c>
      <c r="AB13" s="59">
        <f>'9. Parameters'!AB13</f>
        <v>8.0000000000000002E-3</v>
      </c>
      <c r="AC13" s="59">
        <f>'9. Parameters'!AC13</f>
        <v>2E-3</v>
      </c>
      <c r="AD13" s="59">
        <f>'9. Parameters'!AD13</f>
        <v>1.4E-2</v>
      </c>
      <c r="AE13" s="59">
        <f>'9. Parameters'!AE13</f>
        <v>2.1000000000000001E-2</v>
      </c>
      <c r="AF13" s="59">
        <f>'9. Parameters'!AF13</f>
        <v>2.8000000000000001E-2</v>
      </c>
      <c r="AG13" s="59">
        <f>'9. Parameters'!AG13</f>
        <v>7.0000000000000001E-3</v>
      </c>
      <c r="AH13" s="59">
        <f>'9. Parameters'!AH13</f>
        <v>2.4E-2</v>
      </c>
      <c r="AI13" s="59">
        <f>'9. Parameters'!AI13</f>
        <v>0.12</v>
      </c>
      <c r="AJ13" s="59">
        <f>'9. Parameters'!AJ13</f>
        <v>0.03</v>
      </c>
      <c r="AK13" s="59">
        <f>'9. Parameters'!AK13</f>
        <v>3.5999999999999997E-2</v>
      </c>
      <c r="AL13" s="59">
        <f>'9. Parameters'!AL13</f>
        <v>2.8000000000000001E-2</v>
      </c>
      <c r="AM13" s="140"/>
    </row>
    <row r="15" spans="2:41" x14ac:dyDescent="0.2">
      <c r="B15" s="21" t="s">
        <v>269</v>
      </c>
    </row>
    <row r="16" spans="2:41" x14ac:dyDescent="0.2">
      <c r="B16" s="2" t="s">
        <v>277</v>
      </c>
      <c r="F16" s="2" t="s">
        <v>112</v>
      </c>
      <c r="AF16" s="59">
        <f>'9. Parameters'!AF20</f>
        <v>0</v>
      </c>
      <c r="AG16" s="59">
        <f>'9. Parameters'!AG20</f>
        <v>0</v>
      </c>
      <c r="AH16" s="59">
        <f>'9. Parameters'!AH20</f>
        <v>5.0000000000000001E-3</v>
      </c>
      <c r="AI16" s="59">
        <f>'9. Parameters'!AI20</f>
        <v>5.0000000000000001E-3</v>
      </c>
      <c r="AJ16" s="59">
        <f>'9. Parameters'!AJ20</f>
        <v>5.0000000000000001E-3</v>
      </c>
      <c r="AK16" s="59">
        <f>'9. Parameters'!AK20</f>
        <v>5.0000000000000001E-3</v>
      </c>
      <c r="AL16" s="59">
        <f>'9. Parameters'!AL20</f>
        <v>5.0000000000000001E-3</v>
      </c>
      <c r="AM16" s="140"/>
    </row>
    <row r="18" spans="2:39" x14ac:dyDescent="0.2">
      <c r="B18" s="21" t="s">
        <v>116</v>
      </c>
    </row>
    <row r="19" spans="2:39" x14ac:dyDescent="0.2">
      <c r="B19" s="2" t="s">
        <v>118</v>
      </c>
      <c r="F19" s="2" t="s">
        <v>112</v>
      </c>
      <c r="Y19" s="63">
        <f>'9. Parameters'!Y25</f>
        <v>0</v>
      </c>
      <c r="Z19" s="63">
        <f>'9. Parameters'!Z25</f>
        <v>0</v>
      </c>
      <c r="AA19" s="63">
        <f>'9. Parameters'!AA25</f>
        <v>0</v>
      </c>
      <c r="AB19" s="63">
        <f>'9. Parameters'!AB25</f>
        <v>0</v>
      </c>
      <c r="AC19" s="63">
        <f>'9. Parameters'!AC25</f>
        <v>0</v>
      </c>
      <c r="AD19" s="63">
        <f>'9. Parameters'!AD25</f>
        <v>0.02</v>
      </c>
      <c r="AE19" s="63">
        <f>'9. Parameters'!AE25</f>
        <v>0.02</v>
      </c>
      <c r="AF19" s="63">
        <f>'9. Parameters'!AF25</f>
        <v>0.02</v>
      </c>
      <c r="AG19" s="63">
        <f>'9. Parameters'!AG25</f>
        <v>0.02</v>
      </c>
      <c r="AH19" s="63">
        <f>'9. Parameters'!AH25</f>
        <v>0.02</v>
      </c>
      <c r="AI19" s="63">
        <f>'9. Parameters'!AI25</f>
        <v>0.04</v>
      </c>
      <c r="AJ19" s="63">
        <f>'9. Parameters'!AJ25</f>
        <v>7.0000000000000007E-2</v>
      </c>
      <c r="AK19" s="63">
        <f>'9. Parameters'!AK25</f>
        <v>0.06</v>
      </c>
      <c r="AL19" s="63">
        <f>'9. Parameters'!AL25</f>
        <v>0.04</v>
      </c>
      <c r="AM19" s="63">
        <f>'9. Parameters'!AM25</f>
        <v>0.05</v>
      </c>
    </row>
    <row r="20" spans="2:39" x14ac:dyDescent="0.2">
      <c r="B20" s="2" t="s">
        <v>121</v>
      </c>
      <c r="F20" s="2" t="s">
        <v>112</v>
      </c>
      <c r="Y20" s="63">
        <f>'9. Parameters'!Y26</f>
        <v>0</v>
      </c>
      <c r="Z20" s="63">
        <f>'9. Parameters'!Z26</f>
        <v>0</v>
      </c>
      <c r="AA20" s="63">
        <f>'9. Parameters'!AA26</f>
        <v>0</v>
      </c>
      <c r="AB20" s="63">
        <f>'9. Parameters'!AB26</f>
        <v>0</v>
      </c>
      <c r="AC20" s="63">
        <f>'9. Parameters'!AC26</f>
        <v>0</v>
      </c>
      <c r="AD20" s="63">
        <f>'9. Parameters'!AD26</f>
        <v>0.02</v>
      </c>
      <c r="AE20" s="63">
        <f>'9. Parameters'!AE26</f>
        <v>0.02</v>
      </c>
      <c r="AF20" s="63">
        <f>'9. Parameters'!AF26</f>
        <v>0.02</v>
      </c>
      <c r="AG20" s="63">
        <f>'9. Parameters'!AG26</f>
        <v>0.02</v>
      </c>
      <c r="AH20" s="63">
        <f>'9. Parameters'!AH26</f>
        <v>0.02</v>
      </c>
      <c r="AI20" s="63">
        <f>'9. Parameters'!AI26</f>
        <v>0.04</v>
      </c>
      <c r="AJ20" s="63">
        <f>'9. Parameters'!AJ26</f>
        <v>7.0000000000000007E-2</v>
      </c>
      <c r="AK20" s="63">
        <f>'9. Parameters'!AK26</f>
        <v>0.06</v>
      </c>
      <c r="AL20" s="63">
        <f>'9. Parameters'!AL26</f>
        <v>0.04</v>
      </c>
      <c r="AM20" s="63">
        <f>'9. Parameters'!AM26</f>
        <v>0.05</v>
      </c>
    </row>
    <row r="21" spans="2:39" x14ac:dyDescent="0.2">
      <c r="B21" s="2" t="s">
        <v>123</v>
      </c>
      <c r="F21" s="2" t="s">
        <v>112</v>
      </c>
      <c r="Y21" s="63">
        <f>'9. Parameters'!Y27</f>
        <v>0</v>
      </c>
      <c r="Z21" s="63">
        <f>'9. Parameters'!Z27</f>
        <v>0</v>
      </c>
      <c r="AA21" s="63">
        <f>'9. Parameters'!AA27</f>
        <v>0</v>
      </c>
      <c r="AB21" s="63">
        <f>'9. Parameters'!AB27</f>
        <v>0</v>
      </c>
      <c r="AC21" s="63">
        <f>'9. Parameters'!AC27</f>
        <v>0</v>
      </c>
      <c r="AD21" s="63">
        <f>'9. Parameters'!AD27</f>
        <v>0.02</v>
      </c>
      <c r="AE21" s="63">
        <f>'9. Parameters'!AE27</f>
        <v>0.02</v>
      </c>
      <c r="AF21" s="63">
        <f>'9. Parameters'!AF27</f>
        <v>0.02</v>
      </c>
      <c r="AG21" s="63">
        <f>'9. Parameters'!AG27</f>
        <v>0.02</v>
      </c>
      <c r="AH21" s="63">
        <f>'9. Parameters'!AH27</f>
        <v>0.02</v>
      </c>
      <c r="AI21" s="63">
        <f>'9. Parameters'!AI27</f>
        <v>0.06</v>
      </c>
      <c r="AJ21" s="63">
        <f>'9. Parameters'!AJ27</f>
        <v>7.0000000000000007E-2</v>
      </c>
      <c r="AK21" s="63">
        <f>'9. Parameters'!AK27</f>
        <v>0.06</v>
      </c>
      <c r="AL21" s="63">
        <f>'9. Parameters'!AL27</f>
        <v>0.04</v>
      </c>
    </row>
    <row r="22" spans="2:39" x14ac:dyDescent="0.2">
      <c r="B22" s="2" t="s">
        <v>124</v>
      </c>
      <c r="F22" s="2" t="s">
        <v>112</v>
      </c>
      <c r="Y22" s="63">
        <f>'9. Parameters'!Y28</f>
        <v>0</v>
      </c>
      <c r="Z22" s="63">
        <f>'9. Parameters'!Z28</f>
        <v>0</v>
      </c>
      <c r="AA22" s="63">
        <f>'9. Parameters'!AA28</f>
        <v>0</v>
      </c>
      <c r="AB22" s="63">
        <f>'9. Parameters'!AB28</f>
        <v>0</v>
      </c>
      <c r="AC22" s="63">
        <f>'9. Parameters'!AC28</f>
        <v>0</v>
      </c>
      <c r="AD22" s="63">
        <f>'9. Parameters'!AD28</f>
        <v>0.02</v>
      </c>
      <c r="AE22" s="63">
        <f>'9. Parameters'!AE28</f>
        <v>0.02</v>
      </c>
      <c r="AF22" s="63">
        <f>'9. Parameters'!AF28</f>
        <v>0.02</v>
      </c>
      <c r="AG22" s="63">
        <f>'9. Parameters'!AG28</f>
        <v>0.02</v>
      </c>
      <c r="AH22" s="63">
        <f>'9. Parameters'!AH28</f>
        <v>0.02</v>
      </c>
      <c r="AI22" s="63">
        <f>'9. Parameters'!AI28</f>
        <v>0.06</v>
      </c>
      <c r="AJ22" s="63">
        <f>'9. Parameters'!AJ28</f>
        <v>7.0000000000000007E-2</v>
      </c>
      <c r="AK22" s="63">
        <f>'9. Parameters'!AK28</f>
        <v>0.06</v>
      </c>
      <c r="AL22" s="63">
        <f>'9. Parameters'!AL28</f>
        <v>0.04</v>
      </c>
    </row>
    <row r="24" spans="2:39" s="7" customFormat="1" x14ac:dyDescent="0.2">
      <c r="B24" s="7" t="s">
        <v>141</v>
      </c>
    </row>
    <row r="26" spans="2:39" x14ac:dyDescent="0.2">
      <c r="B26" s="1" t="s">
        <v>108</v>
      </c>
    </row>
    <row r="27" spans="2:39" x14ac:dyDescent="0.2">
      <c r="B27" s="2" t="s">
        <v>142</v>
      </c>
      <c r="F27" s="2" t="s">
        <v>143</v>
      </c>
      <c r="L27" s="36"/>
      <c r="M27" s="60">
        <f t="shared" ref="M27:AJ27" si="0">1+M13</f>
        <v>1.0249999999999999</v>
      </c>
      <c r="N27" s="60">
        <f t="shared" si="0"/>
        <v>1.0469999999999999</v>
      </c>
      <c r="O27" s="60">
        <f t="shared" si="0"/>
        <v>1.0329999999999999</v>
      </c>
      <c r="P27" s="60">
        <f t="shared" si="0"/>
        <v>1.0209999999999999</v>
      </c>
      <c r="Q27" s="60">
        <f t="shared" si="0"/>
        <v>1.0109999999999999</v>
      </c>
      <c r="R27" s="60">
        <f t="shared" si="0"/>
        <v>1.018</v>
      </c>
      <c r="S27" s="60">
        <f t="shared" si="0"/>
        <v>1.014</v>
      </c>
      <c r="T27" s="60">
        <f t="shared" si="0"/>
        <v>1.0109999999999999</v>
      </c>
      <c r="U27" s="60">
        <f t="shared" si="0"/>
        <v>1.032</v>
      </c>
      <c r="V27" s="60">
        <f t="shared" si="0"/>
        <v>1.0029999999999999</v>
      </c>
      <c r="W27" s="60">
        <f t="shared" si="0"/>
        <v>1.0149999999999999</v>
      </c>
      <c r="X27" s="60">
        <f t="shared" si="0"/>
        <v>1.026</v>
      </c>
      <c r="Y27" s="60">
        <f t="shared" si="0"/>
        <v>1.0229999999999999</v>
      </c>
      <c r="Z27" s="60">
        <f t="shared" si="0"/>
        <v>1.028</v>
      </c>
      <c r="AA27" s="60">
        <f t="shared" si="0"/>
        <v>1.01</v>
      </c>
      <c r="AB27" s="60">
        <f t="shared" si="0"/>
        <v>1.008</v>
      </c>
      <c r="AC27" s="60">
        <f t="shared" si="0"/>
        <v>1.002</v>
      </c>
      <c r="AD27" s="60">
        <f t="shared" si="0"/>
        <v>1.014</v>
      </c>
      <c r="AE27" s="60">
        <f t="shared" si="0"/>
        <v>1.0209999999999999</v>
      </c>
      <c r="AF27" s="60">
        <f t="shared" si="0"/>
        <v>1.028</v>
      </c>
      <c r="AG27" s="60">
        <f t="shared" si="0"/>
        <v>1.0069999999999999</v>
      </c>
      <c r="AH27" s="60">
        <f t="shared" si="0"/>
        <v>1.024</v>
      </c>
      <c r="AI27" s="60">
        <f t="shared" si="0"/>
        <v>1.1200000000000001</v>
      </c>
      <c r="AJ27" s="60">
        <f t="shared" si="0"/>
        <v>1.03</v>
      </c>
      <c r="AK27" s="60">
        <f>1+AK13</f>
        <v>1.036</v>
      </c>
      <c r="AL27" s="60">
        <f>1+AL13</f>
        <v>1.028</v>
      </c>
      <c r="AM27" s="142"/>
    </row>
    <row r="29" spans="2:39" x14ac:dyDescent="0.2">
      <c r="B29" s="1" t="s">
        <v>276</v>
      </c>
    </row>
    <row r="30" spans="2:39" x14ac:dyDescent="0.2">
      <c r="B30" s="2">
        <v>2000</v>
      </c>
      <c r="F30" s="2" t="s">
        <v>143</v>
      </c>
      <c r="L30" s="2">
        <v>1</v>
      </c>
      <c r="M30" s="60">
        <f>L30*M$27</f>
        <v>1.0249999999999999</v>
      </c>
      <c r="N30" s="60">
        <f>M30*N$27</f>
        <v>1.0731749999999998</v>
      </c>
      <c r="O30" s="60">
        <f>N30*O$27</f>
        <v>1.1085897749999998</v>
      </c>
      <c r="P30" s="60">
        <f t="shared" ref="P30" si="1">O30*P$27</f>
        <v>1.1318701602749996</v>
      </c>
      <c r="Q30" s="60">
        <f t="shared" ref="Q30:R30" si="2">P30*Q$27</f>
        <v>1.1443207320380244</v>
      </c>
      <c r="R30" s="60">
        <f t="shared" si="2"/>
        <v>1.1649185052147089</v>
      </c>
      <c r="S30" s="60">
        <f t="shared" ref="S30:T30" si="3">R30*S$27</f>
        <v>1.1812273642877147</v>
      </c>
      <c r="T30" s="60">
        <f t="shared" si="3"/>
        <v>1.1942208652948794</v>
      </c>
      <c r="U30" s="60">
        <f t="shared" ref="U30:V30" si="4">T30*U$27</f>
        <v>1.2324359329843155</v>
      </c>
      <c r="V30" s="60">
        <f t="shared" si="4"/>
        <v>1.2361332407832684</v>
      </c>
      <c r="W30" s="60">
        <f t="shared" ref="W30:X30" si="5">V30*W$27</f>
        <v>1.2546752393950173</v>
      </c>
      <c r="X30" s="60">
        <f t="shared" si="5"/>
        <v>1.2872967956192878</v>
      </c>
      <c r="Y30" s="60">
        <f t="shared" ref="Y30:Z30" si="6">X30*Y$27</f>
        <v>1.3169046219185312</v>
      </c>
      <c r="Z30" s="60">
        <f t="shared" si="6"/>
        <v>1.3537779513322501</v>
      </c>
      <c r="AA30" s="60">
        <f t="shared" ref="AA30:AB30" si="7">Z30*AA$27</f>
        <v>1.3673157308455726</v>
      </c>
      <c r="AB30" s="60">
        <f t="shared" si="7"/>
        <v>1.3782542566923373</v>
      </c>
      <c r="AC30" s="60">
        <f t="shared" ref="AC30:AD30" si="8">AB30*AC$27</f>
        <v>1.381010765205722</v>
      </c>
      <c r="AD30" s="60">
        <f t="shared" si="8"/>
        <v>1.4003449159186021</v>
      </c>
      <c r="AE30" s="60">
        <f t="shared" ref="AE30:AF30" si="9">AD30*AE$27</f>
        <v>1.4297521591528926</v>
      </c>
      <c r="AF30" s="60">
        <f t="shared" si="9"/>
        <v>1.4697852196091736</v>
      </c>
      <c r="AG30" s="60">
        <f t="shared" ref="AG30:AH30" si="10">AF30*AG$27</f>
        <v>1.4800737161464377</v>
      </c>
      <c r="AH30" s="60">
        <f t="shared" si="10"/>
        <v>1.5155954853339522</v>
      </c>
      <c r="AI30" s="60">
        <f t="shared" ref="AH30:AJ51" si="11">AH30*AI$27</f>
        <v>1.6974669435740266</v>
      </c>
      <c r="AJ30" s="60">
        <f t="shared" si="11"/>
        <v>1.7483909518812475</v>
      </c>
      <c r="AK30" s="60">
        <f t="shared" ref="AK30:AL52" si="12">AJ30*AK$27</f>
        <v>1.8113330261489724</v>
      </c>
      <c r="AL30" s="60">
        <f t="shared" si="12"/>
        <v>1.8620503508811437</v>
      </c>
      <c r="AM30" s="142"/>
    </row>
    <row r="31" spans="2:39" x14ac:dyDescent="0.2">
      <c r="B31" s="2">
        <v>2001</v>
      </c>
      <c r="F31" s="2" t="s">
        <v>143</v>
      </c>
      <c r="L31" s="36"/>
      <c r="M31" s="2">
        <v>1</v>
      </c>
      <c r="N31" s="60">
        <f t="shared" ref="N31" si="13">M31*N$27</f>
        <v>1.0469999999999999</v>
      </c>
      <c r="O31" s="60">
        <f t="shared" ref="O31:P31" si="14">N31*O$27</f>
        <v>1.0815509999999999</v>
      </c>
      <c r="P31" s="60">
        <f t="shared" si="14"/>
        <v>1.1042635709999997</v>
      </c>
      <c r="Q31" s="60">
        <f t="shared" ref="Q31:R31" si="15">P31*Q$27</f>
        <v>1.1164104702809996</v>
      </c>
      <c r="R31" s="60">
        <f t="shared" si="15"/>
        <v>1.1365058587460577</v>
      </c>
      <c r="S31" s="60">
        <f t="shared" ref="S31:T31" si="16">R31*S$27</f>
        <v>1.1524169407685025</v>
      </c>
      <c r="T31" s="60">
        <f t="shared" si="16"/>
        <v>1.165093527116956</v>
      </c>
      <c r="U31" s="60">
        <f t="shared" ref="U31:V31" si="17">T31*U$27</f>
        <v>1.2023765199846987</v>
      </c>
      <c r="V31" s="60">
        <f t="shared" si="17"/>
        <v>1.2059836495446528</v>
      </c>
      <c r="W31" s="60">
        <f t="shared" ref="W31:X31" si="18">V31*W$27</f>
        <v>1.2240734042878225</v>
      </c>
      <c r="X31" s="60">
        <f t="shared" si="18"/>
        <v>1.2558993127993059</v>
      </c>
      <c r="Y31" s="60">
        <f t="shared" ref="Y31:Z31" si="19">X31*Y$27</f>
        <v>1.2847849969936898</v>
      </c>
      <c r="Z31" s="60">
        <f t="shared" si="19"/>
        <v>1.3207589769095132</v>
      </c>
      <c r="AA31" s="60">
        <f t="shared" ref="AA31:AB31" si="20">Z31*AA$27</f>
        <v>1.3339665666786082</v>
      </c>
      <c r="AB31" s="60">
        <f t="shared" si="20"/>
        <v>1.3446382992120371</v>
      </c>
      <c r="AC31" s="60">
        <f t="shared" ref="AC31:AD31" si="21">AB31*AC$27</f>
        <v>1.3473275758104613</v>
      </c>
      <c r="AD31" s="60">
        <f t="shared" si="21"/>
        <v>1.3661901618718078</v>
      </c>
      <c r="AE31" s="60">
        <f t="shared" ref="AE31:AF31" si="22">AD31*AE$27</f>
        <v>1.3948801552711156</v>
      </c>
      <c r="AF31" s="60">
        <f t="shared" si="22"/>
        <v>1.4339367996187069</v>
      </c>
      <c r="AG31" s="60">
        <f t="shared" ref="AG31:AH31" si="23">AF31*AG$27</f>
        <v>1.4439743572160377</v>
      </c>
      <c r="AH31" s="60">
        <f t="shared" si="23"/>
        <v>1.4786297417892227</v>
      </c>
      <c r="AI31" s="60">
        <f t="shared" ref="AI31:AI52" si="24">AH31*AI$27</f>
        <v>1.6560653108039296</v>
      </c>
      <c r="AJ31" s="60">
        <f t="shared" ref="AJ31:AJ53" si="25">AI31*AJ$27</f>
        <v>1.7057472701280476</v>
      </c>
      <c r="AK31" s="60">
        <f t="shared" si="12"/>
        <v>1.7671541718526573</v>
      </c>
      <c r="AL31" s="60">
        <f t="shared" si="12"/>
        <v>1.8166344886645318</v>
      </c>
      <c r="AM31" s="142"/>
    </row>
    <row r="32" spans="2:39" x14ac:dyDescent="0.2">
      <c r="B32" s="2">
        <v>2002</v>
      </c>
      <c r="F32" s="2" t="s">
        <v>143</v>
      </c>
      <c r="L32" s="36"/>
      <c r="M32" s="36"/>
      <c r="N32" s="2">
        <v>1</v>
      </c>
      <c r="O32" s="60">
        <f t="shared" ref="O32:P32" si="26">N32*O$27</f>
        <v>1.0329999999999999</v>
      </c>
      <c r="P32" s="60">
        <f t="shared" si="26"/>
        <v>1.0546929999999999</v>
      </c>
      <c r="Q32" s="60">
        <f t="shared" ref="Q32:R32" si="27">P32*Q$27</f>
        <v>1.0662946229999997</v>
      </c>
      <c r="R32" s="60">
        <f t="shared" si="27"/>
        <v>1.0854879262139996</v>
      </c>
      <c r="S32" s="60">
        <f t="shared" ref="S32:T32" si="28">R32*S$27</f>
        <v>1.1006847571809957</v>
      </c>
      <c r="T32" s="60">
        <f t="shared" si="28"/>
        <v>1.1127922895099864</v>
      </c>
      <c r="U32" s="60">
        <f t="shared" ref="U32:V32" si="29">T32*U$27</f>
        <v>1.148401642774306</v>
      </c>
      <c r="V32" s="60">
        <f t="shared" si="29"/>
        <v>1.1518468477026289</v>
      </c>
      <c r="W32" s="60">
        <f t="shared" ref="W32:X32" si="30">V32*W$27</f>
        <v>1.1691245504181682</v>
      </c>
      <c r="X32" s="60">
        <f t="shared" si="30"/>
        <v>1.1995217887290406</v>
      </c>
      <c r="Y32" s="60">
        <f t="shared" ref="Y32:Z32" si="31">X32*Y$27</f>
        <v>1.2271107898698084</v>
      </c>
      <c r="Z32" s="60">
        <f t="shared" si="31"/>
        <v>1.2614698919861631</v>
      </c>
      <c r="AA32" s="60">
        <f t="shared" ref="AA32:AB32" si="32">Z32*AA$27</f>
        <v>1.2740845909060248</v>
      </c>
      <c r="AB32" s="60">
        <f t="shared" si="32"/>
        <v>1.284277267633273</v>
      </c>
      <c r="AC32" s="60">
        <f t="shared" ref="AC32:AD32" si="33">AB32*AC$27</f>
        <v>1.2868458221685395</v>
      </c>
      <c r="AD32" s="60">
        <f t="shared" si="33"/>
        <v>1.304861663678899</v>
      </c>
      <c r="AE32" s="60">
        <f t="shared" ref="AE32:AF32" si="34">AD32*AE$27</f>
        <v>1.3322637586161556</v>
      </c>
      <c r="AF32" s="60">
        <f t="shared" si="34"/>
        <v>1.369567143857408</v>
      </c>
      <c r="AG32" s="60">
        <f t="shared" ref="AG32:AH32" si="35">AF32*AG$27</f>
        <v>1.3791541138644097</v>
      </c>
      <c r="AH32" s="60">
        <f t="shared" si="35"/>
        <v>1.4122538125971555</v>
      </c>
      <c r="AI32" s="60">
        <f t="shared" si="24"/>
        <v>1.5817242701088143</v>
      </c>
      <c r="AJ32" s="60">
        <f t="shared" si="25"/>
        <v>1.6291759982120788</v>
      </c>
      <c r="AK32" s="60">
        <f t="shared" si="12"/>
        <v>1.6878263341477138</v>
      </c>
      <c r="AL32" s="60">
        <f t="shared" si="12"/>
        <v>1.7350854715038497</v>
      </c>
      <c r="AM32" s="142"/>
    </row>
    <row r="33" spans="2:39" x14ac:dyDescent="0.2">
      <c r="B33" s="2">
        <v>2003</v>
      </c>
      <c r="F33" s="2" t="s">
        <v>143</v>
      </c>
      <c r="L33" s="36"/>
      <c r="M33" s="36"/>
      <c r="N33" s="36"/>
      <c r="O33" s="2">
        <v>1</v>
      </c>
      <c r="P33" s="60">
        <f t="shared" ref="P33" si="36">O33*P$27</f>
        <v>1.0209999999999999</v>
      </c>
      <c r="Q33" s="60">
        <f t="shared" ref="Q33:R33" si="37">P33*Q$27</f>
        <v>1.0322309999999999</v>
      </c>
      <c r="R33" s="60">
        <f t="shared" si="37"/>
        <v>1.0508111579999999</v>
      </c>
      <c r="S33" s="60">
        <f t="shared" ref="S33:T33" si="38">R33*S$27</f>
        <v>1.0655225142119999</v>
      </c>
      <c r="T33" s="60">
        <f t="shared" si="38"/>
        <v>1.0772432618683319</v>
      </c>
      <c r="U33" s="60">
        <f t="shared" ref="U33:V33" si="39">T33*U$27</f>
        <v>1.1117150462481185</v>
      </c>
      <c r="V33" s="60">
        <f t="shared" si="39"/>
        <v>1.1150501913868627</v>
      </c>
      <c r="W33" s="60">
        <f t="shared" ref="W33:X33" si="40">V33*W$27</f>
        <v>1.1317759442576656</v>
      </c>
      <c r="X33" s="60">
        <f t="shared" si="40"/>
        <v>1.161202118808365</v>
      </c>
      <c r="Y33" s="60">
        <f t="shared" ref="Y33:Z33" si="41">X33*Y$27</f>
        <v>1.1879097675409573</v>
      </c>
      <c r="Z33" s="60">
        <f t="shared" si="41"/>
        <v>1.2211712410321043</v>
      </c>
      <c r="AA33" s="60">
        <f t="shared" ref="AA33:AB33" si="42">Z33*AA$27</f>
        <v>1.2333829534424254</v>
      </c>
      <c r="AB33" s="60">
        <f t="shared" si="42"/>
        <v>1.2432500170699647</v>
      </c>
      <c r="AC33" s="60">
        <f t="shared" ref="AC33:AD33" si="43">AB33*AC$27</f>
        <v>1.2457365171041046</v>
      </c>
      <c r="AD33" s="60">
        <f t="shared" si="43"/>
        <v>1.263176828343562</v>
      </c>
      <c r="AE33" s="60">
        <f t="shared" ref="AE33:AF33" si="44">AD33*AE$27</f>
        <v>1.2897035417387768</v>
      </c>
      <c r="AF33" s="60">
        <f t="shared" si="44"/>
        <v>1.3258152409074626</v>
      </c>
      <c r="AG33" s="60">
        <f t="shared" ref="AG33:AH33" si="45">AF33*AG$27</f>
        <v>1.3350959475938147</v>
      </c>
      <c r="AH33" s="60">
        <f t="shared" si="45"/>
        <v>1.3671382503360663</v>
      </c>
      <c r="AI33" s="60">
        <f t="shared" si="24"/>
        <v>1.5311948403763944</v>
      </c>
      <c r="AJ33" s="60">
        <f t="shared" si="25"/>
        <v>1.5771306855876863</v>
      </c>
      <c r="AK33" s="60">
        <f t="shared" si="12"/>
        <v>1.633907390268843</v>
      </c>
      <c r="AL33" s="60">
        <f t="shared" si="12"/>
        <v>1.6796567971963707</v>
      </c>
      <c r="AM33" s="142"/>
    </row>
    <row r="34" spans="2:39" x14ac:dyDescent="0.2">
      <c r="B34" s="2">
        <v>2004</v>
      </c>
      <c r="F34" s="2" t="s">
        <v>143</v>
      </c>
      <c r="L34" s="36"/>
      <c r="M34" s="36"/>
      <c r="N34" s="36"/>
      <c r="O34" s="36"/>
      <c r="P34" s="2">
        <v>1</v>
      </c>
      <c r="Q34" s="60">
        <f t="shared" ref="Q34" si="46">P34*Q$27</f>
        <v>1.0109999999999999</v>
      </c>
      <c r="R34" s="60">
        <f>Q34*R$27</f>
        <v>1.0291979999999998</v>
      </c>
      <c r="S34" s="60">
        <f t="shared" ref="S34:T34" si="47">R34*S$27</f>
        <v>1.0436067719999997</v>
      </c>
      <c r="T34" s="60">
        <f t="shared" si="47"/>
        <v>1.0550864464919996</v>
      </c>
      <c r="U34" s="60">
        <f t="shared" ref="U34:V34" si="48">T34*U$27</f>
        <v>1.0888492127797436</v>
      </c>
      <c r="V34" s="60">
        <f t="shared" si="48"/>
        <v>1.0921157604180827</v>
      </c>
      <c r="W34" s="60">
        <f t="shared" ref="W34:X34" si="49">V34*W$27</f>
        <v>1.1084974968243537</v>
      </c>
      <c r="X34" s="60">
        <f t="shared" si="49"/>
        <v>1.137318431741787</v>
      </c>
      <c r="Y34" s="60">
        <f t="shared" ref="Y34:Z34" si="50">X34*Y$27</f>
        <v>1.1634767556718479</v>
      </c>
      <c r="Z34" s="60">
        <f t="shared" si="50"/>
        <v>1.1960541048306597</v>
      </c>
      <c r="AA34" s="60">
        <f t="shared" ref="AA34:AB34" si="51">Z34*AA$27</f>
        <v>1.2080146458789662</v>
      </c>
      <c r="AB34" s="60">
        <f t="shared" si="51"/>
        <v>1.217678763045998</v>
      </c>
      <c r="AC34" s="60">
        <f t="shared" ref="AC34:AD34" si="52">AB34*AC$27</f>
        <v>1.22011412057209</v>
      </c>
      <c r="AD34" s="60">
        <f t="shared" si="52"/>
        <v>1.2371957182600992</v>
      </c>
      <c r="AE34" s="60">
        <f t="shared" ref="AE34:AF34" si="53">AD34*AE$27</f>
        <v>1.2631768283435612</v>
      </c>
      <c r="AF34" s="60">
        <f t="shared" si="53"/>
        <v>1.2985457795371809</v>
      </c>
      <c r="AG34" s="60">
        <f t="shared" ref="AG34:AH34" si="54">AF34*AG$27</f>
        <v>1.3076355999939411</v>
      </c>
      <c r="AH34" s="60">
        <f t="shared" si="54"/>
        <v>1.3390188543937958</v>
      </c>
      <c r="AI34" s="60">
        <f t="shared" si="24"/>
        <v>1.4997011169210515</v>
      </c>
      <c r="AJ34" s="60">
        <f t="shared" si="25"/>
        <v>1.544692150428683</v>
      </c>
      <c r="AK34" s="60">
        <f t="shared" si="12"/>
        <v>1.6003010678441156</v>
      </c>
      <c r="AL34" s="60">
        <f t="shared" si="12"/>
        <v>1.6451094977437508</v>
      </c>
      <c r="AM34" s="142"/>
    </row>
    <row r="35" spans="2:39" x14ac:dyDescent="0.2">
      <c r="B35" s="2">
        <v>2005</v>
      </c>
      <c r="F35" s="2" t="s">
        <v>143</v>
      </c>
      <c r="L35" s="36"/>
      <c r="M35" s="36"/>
      <c r="N35" s="36"/>
      <c r="O35" s="36"/>
      <c r="P35" s="36"/>
      <c r="Q35" s="2">
        <v>1</v>
      </c>
      <c r="R35" s="60">
        <f>Q35*R$27</f>
        <v>1.018</v>
      </c>
      <c r="S35" s="60">
        <f t="shared" ref="S35:T35" si="55">R35*S$27</f>
        <v>1.0322519999999999</v>
      </c>
      <c r="T35" s="60">
        <f t="shared" si="55"/>
        <v>1.0436067719999997</v>
      </c>
      <c r="U35" s="60">
        <f t="shared" ref="U35:V35" si="56">T35*U$27</f>
        <v>1.0770021887039998</v>
      </c>
      <c r="V35" s="60">
        <f t="shared" si="56"/>
        <v>1.0802331952701116</v>
      </c>
      <c r="W35" s="60">
        <f t="shared" ref="W35:X35" si="57">V35*W$27</f>
        <v>1.0964366931991631</v>
      </c>
      <c r="X35" s="60">
        <f t="shared" si="57"/>
        <v>1.1249440472223413</v>
      </c>
      <c r="Y35" s="60">
        <f t="shared" ref="Y35:Z35" si="58">X35*Y$27</f>
        <v>1.1508177603084551</v>
      </c>
      <c r="Z35" s="60">
        <f t="shared" si="58"/>
        <v>1.1830406575970918</v>
      </c>
      <c r="AA35" s="60">
        <f t="shared" ref="AA35:AB35" si="59">Z35*AA$27</f>
        <v>1.1948710641730627</v>
      </c>
      <c r="AB35" s="60">
        <f t="shared" si="59"/>
        <v>1.2044300326864472</v>
      </c>
      <c r="AC35" s="60">
        <f t="shared" ref="AC35:AD35" si="60">AB35*AC$27</f>
        <v>1.2068388927518201</v>
      </c>
      <c r="AD35" s="60">
        <f t="shared" si="60"/>
        <v>1.2237346372503457</v>
      </c>
      <c r="AE35" s="60">
        <f t="shared" ref="AE35:AF35" si="61">AD35*AE$27</f>
        <v>1.2494330646326028</v>
      </c>
      <c r="AF35" s="60">
        <f t="shared" si="61"/>
        <v>1.2844171904423158</v>
      </c>
      <c r="AG35" s="60">
        <f t="shared" ref="AG35:AH35" si="62">AF35*AG$27</f>
        <v>1.2934081107754118</v>
      </c>
      <c r="AH35" s="60">
        <f t="shared" si="62"/>
        <v>1.3244499054340217</v>
      </c>
      <c r="AI35" s="60">
        <f t="shared" si="24"/>
        <v>1.4833838940861046</v>
      </c>
      <c r="AJ35" s="60">
        <f t="shared" si="25"/>
        <v>1.5278854109086877</v>
      </c>
      <c r="AK35" s="60">
        <f t="shared" si="12"/>
        <v>1.5828892857014005</v>
      </c>
      <c r="AL35" s="60">
        <f t="shared" si="12"/>
        <v>1.6272101857010397</v>
      </c>
      <c r="AM35" s="142"/>
    </row>
    <row r="36" spans="2:39" x14ac:dyDescent="0.2">
      <c r="B36" s="2">
        <v>2006</v>
      </c>
      <c r="F36" s="2" t="s">
        <v>143</v>
      </c>
      <c r="L36" s="36"/>
      <c r="M36" s="36"/>
      <c r="N36" s="36"/>
      <c r="O36" s="36"/>
      <c r="P36" s="36"/>
      <c r="Q36" s="36"/>
      <c r="R36" s="2">
        <v>1</v>
      </c>
      <c r="S36" s="60">
        <f t="shared" ref="S36:T36" si="63">R36*S$27</f>
        <v>1.014</v>
      </c>
      <c r="T36" s="60">
        <f t="shared" si="63"/>
        <v>1.0251539999999999</v>
      </c>
      <c r="U36" s="60">
        <f t="shared" ref="U36:V36" si="64">T36*U$27</f>
        <v>1.0579589279999999</v>
      </c>
      <c r="V36" s="60">
        <f t="shared" si="64"/>
        <v>1.0611328047839999</v>
      </c>
      <c r="W36" s="60">
        <f t="shared" ref="W36:X36" si="65">V36*W$27</f>
        <v>1.0770497968557597</v>
      </c>
      <c r="X36" s="60">
        <f t="shared" si="65"/>
        <v>1.1050530915740095</v>
      </c>
      <c r="Y36" s="60">
        <f t="shared" ref="Y36:Z36" si="66">X36*Y$27</f>
        <v>1.1304693126802117</v>
      </c>
      <c r="Z36" s="60">
        <f t="shared" si="66"/>
        <v>1.1621224534352577</v>
      </c>
      <c r="AA36" s="60">
        <f t="shared" ref="AA36:AB36" si="67">Z36*AA$27</f>
        <v>1.1737436779696102</v>
      </c>
      <c r="AB36" s="60">
        <f t="shared" si="67"/>
        <v>1.183133627393367</v>
      </c>
      <c r="AC36" s="60">
        <f t="shared" ref="AC36:AD36" si="68">AB36*AC$27</f>
        <v>1.1854998946481539</v>
      </c>
      <c r="AD36" s="60">
        <f t="shared" si="68"/>
        <v>1.2020968931732281</v>
      </c>
      <c r="AE36" s="60">
        <f t="shared" ref="AE36:AF36" si="69">AD36*AE$27</f>
        <v>1.2273409279298657</v>
      </c>
      <c r="AF36" s="60">
        <f t="shared" si="69"/>
        <v>1.2617064739119019</v>
      </c>
      <c r="AG36" s="60">
        <f t="shared" ref="AG36:AH36" si="70">AF36*AG$27</f>
        <v>1.270538419229285</v>
      </c>
      <c r="AH36" s="60">
        <f t="shared" si="70"/>
        <v>1.3010313412907879</v>
      </c>
      <c r="AI36" s="60">
        <f t="shared" si="24"/>
        <v>1.4571551022456826</v>
      </c>
      <c r="AJ36" s="60">
        <f t="shared" si="25"/>
        <v>1.500869755313053</v>
      </c>
      <c r="AK36" s="60">
        <f t="shared" si="12"/>
        <v>1.554901066504323</v>
      </c>
      <c r="AL36" s="60">
        <f t="shared" si="12"/>
        <v>1.5984382963664441</v>
      </c>
      <c r="AM36" s="142"/>
    </row>
    <row r="37" spans="2:39" x14ac:dyDescent="0.2">
      <c r="B37" s="2">
        <v>2007</v>
      </c>
      <c r="F37" s="2" t="s">
        <v>143</v>
      </c>
      <c r="L37" s="36"/>
      <c r="M37" s="36"/>
      <c r="N37" s="36"/>
      <c r="O37" s="36"/>
      <c r="P37" s="36"/>
      <c r="Q37" s="36"/>
      <c r="R37" s="36"/>
      <c r="S37" s="2">
        <v>1</v>
      </c>
      <c r="T37" s="60">
        <f t="shared" ref="T37" si="71">S37*T$27</f>
        <v>1.0109999999999999</v>
      </c>
      <c r="U37" s="60">
        <f t="shared" ref="U37:V37" si="72">T37*U$27</f>
        <v>1.0433519999999998</v>
      </c>
      <c r="V37" s="60">
        <f t="shared" si="72"/>
        <v>1.0464820559999997</v>
      </c>
      <c r="W37" s="60">
        <f t="shared" ref="W37:X37" si="73">V37*W$27</f>
        <v>1.0621792868399995</v>
      </c>
      <c r="X37" s="60">
        <f t="shared" si="73"/>
        <v>1.0897959482978394</v>
      </c>
      <c r="Y37" s="60">
        <f t="shared" ref="Y37:Z37" si="74">X37*Y$27</f>
        <v>1.1148612551086896</v>
      </c>
      <c r="Z37" s="60">
        <f t="shared" si="74"/>
        <v>1.1460773702517328</v>
      </c>
      <c r="AA37" s="60">
        <f t="shared" ref="AA37:AB37" si="75">Z37*AA$27</f>
        <v>1.1575381439542503</v>
      </c>
      <c r="AB37" s="60">
        <f t="shared" si="75"/>
        <v>1.1667984491058843</v>
      </c>
      <c r="AC37" s="60">
        <f t="shared" ref="AC37:AD37" si="76">AB37*AC$27</f>
        <v>1.1691320460040959</v>
      </c>
      <c r="AD37" s="60">
        <f t="shared" si="76"/>
        <v>1.1854998946481532</v>
      </c>
      <c r="AE37" s="60">
        <f t="shared" ref="AE37:AF37" si="77">AD37*AE$27</f>
        <v>1.2103953924357642</v>
      </c>
      <c r="AF37" s="60">
        <f t="shared" si="77"/>
        <v>1.2442864634239656</v>
      </c>
      <c r="AG37" s="60">
        <f t="shared" ref="AG37:AH37" si="78">AF37*AG$27</f>
        <v>1.2529964686679333</v>
      </c>
      <c r="AH37" s="60">
        <f t="shared" si="78"/>
        <v>1.2830683839159638</v>
      </c>
      <c r="AI37" s="60">
        <f t="shared" si="24"/>
        <v>1.4370365899858795</v>
      </c>
      <c r="AJ37" s="60">
        <f t="shared" si="25"/>
        <v>1.4801476876854558</v>
      </c>
      <c r="AK37" s="60">
        <f t="shared" si="12"/>
        <v>1.5334330044421323</v>
      </c>
      <c r="AL37" s="60">
        <f t="shared" si="12"/>
        <v>1.576369128566512</v>
      </c>
      <c r="AM37" s="142"/>
    </row>
    <row r="38" spans="2:39" x14ac:dyDescent="0.2">
      <c r="B38" s="2">
        <v>2008</v>
      </c>
      <c r="F38" s="2" t="s">
        <v>143</v>
      </c>
      <c r="L38" s="36"/>
      <c r="M38" s="36"/>
      <c r="N38" s="36"/>
      <c r="O38" s="36"/>
      <c r="P38" s="36"/>
      <c r="Q38" s="36"/>
      <c r="R38" s="36"/>
      <c r="S38" s="36"/>
      <c r="T38" s="2">
        <v>1</v>
      </c>
      <c r="U38" s="60">
        <f t="shared" ref="U38:V38" si="79">T38*U$27</f>
        <v>1.032</v>
      </c>
      <c r="V38" s="60">
        <f t="shared" si="79"/>
        <v>1.035096</v>
      </c>
      <c r="W38" s="60">
        <f t="shared" ref="W38:X38" si="80">V38*W$27</f>
        <v>1.0506224399999999</v>
      </c>
      <c r="X38" s="60">
        <f t="shared" si="80"/>
        <v>1.0779386234399999</v>
      </c>
      <c r="Y38" s="60">
        <f t="shared" ref="Y38:Z38" si="81">X38*Y$27</f>
        <v>1.1027312117791197</v>
      </c>
      <c r="Z38" s="60">
        <f t="shared" si="81"/>
        <v>1.133607685708935</v>
      </c>
      <c r="AA38" s="60">
        <f t="shared" ref="AA38:AB38" si="82">Z38*AA$27</f>
        <v>1.1449437625660244</v>
      </c>
      <c r="AB38" s="60">
        <f t="shared" si="82"/>
        <v>1.1541033126665525</v>
      </c>
      <c r="AC38" s="60">
        <f t="shared" ref="AC38:AD38" si="83">AB38*AC$27</f>
        <v>1.1564115192918856</v>
      </c>
      <c r="AD38" s="60">
        <f t="shared" si="83"/>
        <v>1.1726012805619719</v>
      </c>
      <c r="AE38" s="60">
        <f t="shared" ref="AE38:AF38" si="84">AD38*AE$27</f>
        <v>1.1972259074537732</v>
      </c>
      <c r="AF38" s="60">
        <f t="shared" si="84"/>
        <v>1.2307482328624788</v>
      </c>
      <c r="AG38" s="60">
        <f t="shared" ref="AG38:AH38" si="85">AF38*AG$27</f>
        <v>1.2393634704925161</v>
      </c>
      <c r="AH38" s="60">
        <f t="shared" si="85"/>
        <v>1.2691081937843365</v>
      </c>
      <c r="AI38" s="60">
        <f t="shared" si="24"/>
        <v>1.4214011770384569</v>
      </c>
      <c r="AJ38" s="60">
        <f t="shared" si="25"/>
        <v>1.4640432123496108</v>
      </c>
      <c r="AK38" s="60">
        <f t="shared" si="12"/>
        <v>1.5167487679941969</v>
      </c>
      <c r="AL38" s="60">
        <f t="shared" si="12"/>
        <v>1.5592177334980344</v>
      </c>
      <c r="AM38" s="142"/>
    </row>
    <row r="39" spans="2:39" x14ac:dyDescent="0.2">
      <c r="B39" s="2">
        <v>2009</v>
      </c>
      <c r="F39" s="2" t="s">
        <v>143</v>
      </c>
      <c r="L39" s="36"/>
      <c r="M39" s="36"/>
      <c r="N39" s="36"/>
      <c r="O39" s="36"/>
      <c r="P39" s="36"/>
      <c r="Q39" s="36"/>
      <c r="R39" s="36"/>
      <c r="S39" s="36"/>
      <c r="T39" s="36"/>
      <c r="U39" s="2">
        <v>1</v>
      </c>
      <c r="V39" s="60">
        <f t="shared" ref="V39" si="86">U39*V$27</f>
        <v>1.0029999999999999</v>
      </c>
      <c r="W39" s="60">
        <f t="shared" ref="W39:X39" si="87">V39*W$27</f>
        <v>1.0180449999999999</v>
      </c>
      <c r="X39" s="60">
        <f t="shared" si="87"/>
        <v>1.0445141699999998</v>
      </c>
      <c r="Y39" s="60">
        <f t="shared" ref="Y39:Z39" si="88">X39*Y$27</f>
        <v>1.0685379959099996</v>
      </c>
      <c r="Z39" s="60">
        <f t="shared" si="88"/>
        <v>1.0984570597954797</v>
      </c>
      <c r="AA39" s="60">
        <f t="shared" ref="AA39:AB39" si="89">Z39*AA$27</f>
        <v>1.1094416303934345</v>
      </c>
      <c r="AB39" s="60">
        <f t="shared" si="89"/>
        <v>1.1183171634365821</v>
      </c>
      <c r="AC39" s="60">
        <f t="shared" ref="AC39:AD39" si="90">AB39*AC$27</f>
        <v>1.1205537977634552</v>
      </c>
      <c r="AD39" s="60">
        <f t="shared" si="90"/>
        <v>1.1362415509321435</v>
      </c>
      <c r="AE39" s="60">
        <f t="shared" ref="AE39:AF39" si="91">AD39*AE$27</f>
        <v>1.1601026235017184</v>
      </c>
      <c r="AF39" s="60">
        <f t="shared" si="91"/>
        <v>1.1925854969597667</v>
      </c>
      <c r="AG39" s="60">
        <f t="shared" ref="AG39:AH39" si="92">AF39*AG$27</f>
        <v>1.200933595438485</v>
      </c>
      <c r="AH39" s="60">
        <f t="shared" si="92"/>
        <v>1.2297560017290086</v>
      </c>
      <c r="AI39" s="60">
        <f t="shared" si="24"/>
        <v>1.3773267219364898</v>
      </c>
      <c r="AJ39" s="60">
        <f t="shared" si="25"/>
        <v>1.4186465235945844</v>
      </c>
      <c r="AK39" s="60">
        <f t="shared" si="12"/>
        <v>1.4697177984439895</v>
      </c>
      <c r="AL39" s="60">
        <f t="shared" si="12"/>
        <v>1.5108698968004213</v>
      </c>
      <c r="AM39" s="142"/>
    </row>
    <row r="40" spans="2:39" x14ac:dyDescent="0.2">
      <c r="B40" s="2">
        <v>2010</v>
      </c>
      <c r="F40" s="2" t="s">
        <v>143</v>
      </c>
      <c r="L40" s="36"/>
      <c r="M40" s="36"/>
      <c r="N40" s="36"/>
      <c r="O40" s="36"/>
      <c r="P40" s="36"/>
      <c r="Q40" s="36"/>
      <c r="R40" s="36"/>
      <c r="S40" s="36"/>
      <c r="T40" s="36"/>
      <c r="U40" s="36"/>
      <c r="V40" s="2">
        <v>1</v>
      </c>
      <c r="W40" s="60">
        <f t="shared" ref="W40:X40" si="93">V40*W$27</f>
        <v>1.0149999999999999</v>
      </c>
      <c r="X40" s="60">
        <f t="shared" si="93"/>
        <v>1.0413899999999998</v>
      </c>
      <c r="Y40" s="60">
        <f t="shared" ref="Y40:Z40" si="94">X40*Y$27</f>
        <v>1.0653419699999997</v>
      </c>
      <c r="Z40" s="60">
        <f t="shared" si="94"/>
        <v>1.0951715451599997</v>
      </c>
      <c r="AA40" s="60">
        <f t="shared" ref="AA40:AB40" si="95">Z40*AA$27</f>
        <v>1.1061232606115996</v>
      </c>
      <c r="AB40" s="60">
        <f t="shared" si="95"/>
        <v>1.1149722466964924</v>
      </c>
      <c r="AC40" s="60">
        <f t="shared" ref="AC40:AD40" si="96">AB40*AC$27</f>
        <v>1.1172021911898855</v>
      </c>
      <c r="AD40" s="60">
        <f t="shared" si="96"/>
        <v>1.132843021866544</v>
      </c>
      <c r="AE40" s="60">
        <f t="shared" ref="AE40:AF40" si="97">AD40*AE$27</f>
        <v>1.1566327253257414</v>
      </c>
      <c r="AF40" s="60">
        <f t="shared" si="97"/>
        <v>1.1890184416348621</v>
      </c>
      <c r="AG40" s="60">
        <f t="shared" ref="AG40:AH40" si="98">AF40*AG$27</f>
        <v>1.197341570726306</v>
      </c>
      <c r="AH40" s="60">
        <f t="shared" si="98"/>
        <v>1.2260777684237374</v>
      </c>
      <c r="AI40" s="60">
        <f t="shared" si="24"/>
        <v>1.3732071006345861</v>
      </c>
      <c r="AJ40" s="60">
        <f t="shared" si="25"/>
        <v>1.4144033136536236</v>
      </c>
      <c r="AK40" s="60">
        <f t="shared" si="12"/>
        <v>1.4653218329451541</v>
      </c>
      <c r="AL40" s="60">
        <f t="shared" si="12"/>
        <v>1.5063508442676183</v>
      </c>
      <c r="AM40" s="142"/>
    </row>
    <row r="41" spans="2:39" x14ac:dyDescent="0.2">
      <c r="B41" s="2">
        <v>2011</v>
      </c>
      <c r="F41" s="2" t="s">
        <v>143</v>
      </c>
      <c r="L41" s="36"/>
      <c r="M41" s="36"/>
      <c r="N41" s="36"/>
      <c r="O41" s="36"/>
      <c r="P41" s="36"/>
      <c r="Q41" s="36"/>
      <c r="R41" s="36"/>
      <c r="S41" s="36"/>
      <c r="T41" s="36"/>
      <c r="U41" s="36"/>
      <c r="V41" s="36"/>
      <c r="W41" s="2">
        <v>1</v>
      </c>
      <c r="X41" s="60">
        <f t="shared" ref="X41" si="99">W41*X$27</f>
        <v>1.026</v>
      </c>
      <c r="Y41" s="60">
        <f t="shared" ref="Y41:Z41" si="100">X41*Y$27</f>
        <v>1.049598</v>
      </c>
      <c r="Z41" s="60">
        <f t="shared" si="100"/>
        <v>1.0789867440000001</v>
      </c>
      <c r="AA41" s="60">
        <f t="shared" ref="AA41:AB41" si="101">Z41*AA$27</f>
        <v>1.08977661144</v>
      </c>
      <c r="AB41" s="60">
        <f t="shared" si="101"/>
        <v>1.09849482433152</v>
      </c>
      <c r="AC41" s="60">
        <f t="shared" ref="AC41:AD41" si="102">AB41*AC$27</f>
        <v>1.1006918139801831</v>
      </c>
      <c r="AD41" s="60">
        <f t="shared" si="102"/>
        <v>1.1161014993759057</v>
      </c>
      <c r="AE41" s="60">
        <f t="shared" ref="AE41:AF41" si="103">AD41*AE$27</f>
        <v>1.1395396308627996</v>
      </c>
      <c r="AF41" s="60">
        <f t="shared" si="103"/>
        <v>1.171446740526958</v>
      </c>
      <c r="AG41" s="60">
        <f t="shared" ref="AG41:AH41" si="104">AF41*AG$27</f>
        <v>1.1796468677106466</v>
      </c>
      <c r="AH41" s="60">
        <f t="shared" si="104"/>
        <v>1.2079583925357023</v>
      </c>
      <c r="AI41" s="60">
        <f t="shared" si="24"/>
        <v>1.3529133996399867</v>
      </c>
      <c r="AJ41" s="60">
        <f t="shared" si="25"/>
        <v>1.3935008016291863</v>
      </c>
      <c r="AK41" s="60">
        <f t="shared" si="12"/>
        <v>1.4436668304878371</v>
      </c>
      <c r="AL41" s="60">
        <f t="shared" si="12"/>
        <v>1.4840895017414966</v>
      </c>
      <c r="AM41" s="142"/>
    </row>
    <row r="42" spans="2:39" x14ac:dyDescent="0.2">
      <c r="B42" s="2">
        <v>2012</v>
      </c>
      <c r="F42" s="2" t="s">
        <v>143</v>
      </c>
      <c r="L42" s="36"/>
      <c r="M42" s="36"/>
      <c r="N42" s="36"/>
      <c r="O42" s="36"/>
      <c r="P42" s="36"/>
      <c r="Q42" s="36"/>
      <c r="R42" s="36"/>
      <c r="S42" s="36"/>
      <c r="T42" s="36"/>
      <c r="U42" s="36"/>
      <c r="V42" s="36"/>
      <c r="W42" s="36"/>
      <c r="X42" s="2">
        <v>1</v>
      </c>
      <c r="Y42" s="60">
        <f t="shared" ref="Y42:Z42" si="105">X42*Y$27</f>
        <v>1.0229999999999999</v>
      </c>
      <c r="Z42" s="60">
        <f t="shared" si="105"/>
        <v>1.051644</v>
      </c>
      <c r="AA42" s="60">
        <f t="shared" ref="AA42:AB42" si="106">Z42*AA$27</f>
        <v>1.06216044</v>
      </c>
      <c r="AB42" s="60">
        <f t="shared" si="106"/>
        <v>1.0706577235199999</v>
      </c>
      <c r="AC42" s="60">
        <f t="shared" ref="AC42:AD42" si="107">AB42*AC$27</f>
        <v>1.0727990389670399</v>
      </c>
      <c r="AD42" s="60">
        <f t="shared" si="107"/>
        <v>1.0878182255125783</v>
      </c>
      <c r="AE42" s="60">
        <f t="shared" ref="AE42:AF42" si="108">AD42*AE$27</f>
        <v>1.1106624082483423</v>
      </c>
      <c r="AF42" s="60">
        <f t="shared" si="108"/>
        <v>1.1417609556792958</v>
      </c>
      <c r="AG42" s="60">
        <f t="shared" ref="AG42:AH42" si="109">AF42*AG$27</f>
        <v>1.1497532823690508</v>
      </c>
      <c r="AH42" s="60">
        <f t="shared" si="109"/>
        <v>1.177347361145908</v>
      </c>
      <c r="AI42" s="60">
        <f t="shared" si="24"/>
        <v>1.318629044483417</v>
      </c>
      <c r="AJ42" s="60">
        <f t="shared" si="25"/>
        <v>1.3581879158179195</v>
      </c>
      <c r="AK42" s="60">
        <f t="shared" si="12"/>
        <v>1.4070826807873646</v>
      </c>
      <c r="AL42" s="60">
        <f t="shared" si="12"/>
        <v>1.4464809958494109</v>
      </c>
      <c r="AM42" s="142"/>
    </row>
    <row r="43" spans="2:39" x14ac:dyDescent="0.2">
      <c r="B43" s="2">
        <v>2013</v>
      </c>
      <c r="F43" s="2" t="s">
        <v>143</v>
      </c>
      <c r="L43" s="36"/>
      <c r="M43" s="36"/>
      <c r="N43" s="36"/>
      <c r="O43" s="36"/>
      <c r="P43" s="36"/>
      <c r="Q43" s="36"/>
      <c r="R43" s="36"/>
      <c r="S43" s="36"/>
      <c r="T43" s="36"/>
      <c r="U43" s="36"/>
      <c r="V43" s="36"/>
      <c r="W43" s="36"/>
      <c r="X43" s="36"/>
      <c r="Y43" s="2">
        <v>1</v>
      </c>
      <c r="Z43" s="60">
        <f t="shared" ref="Z43" si="110">Y43*Z$27</f>
        <v>1.028</v>
      </c>
      <c r="AA43" s="60">
        <f t="shared" ref="AA43:AB43" si="111">Z43*AA$27</f>
        <v>1.0382800000000001</v>
      </c>
      <c r="AB43" s="60">
        <f t="shared" si="111"/>
        <v>1.0465862400000001</v>
      </c>
      <c r="AC43" s="60">
        <f t="shared" ref="AC43:AD43" si="112">AB43*AC$27</f>
        <v>1.0486794124800001</v>
      </c>
      <c r="AD43" s="60">
        <f t="shared" si="112"/>
        <v>1.0633609242547202</v>
      </c>
      <c r="AE43" s="60">
        <f t="shared" ref="AE43:AF43" si="113">AD43*AE$27</f>
        <v>1.0856915036640693</v>
      </c>
      <c r="AF43" s="60">
        <f t="shared" si="113"/>
        <v>1.1160908657666633</v>
      </c>
      <c r="AG43" s="60">
        <f t="shared" ref="AG43:AH43" si="114">AF43*AG$27</f>
        <v>1.1239035018270298</v>
      </c>
      <c r="AH43" s="60">
        <f t="shared" si="114"/>
        <v>1.1508771858708786</v>
      </c>
      <c r="AI43" s="60">
        <f t="shared" si="24"/>
        <v>1.2889824481753842</v>
      </c>
      <c r="AJ43" s="60">
        <f t="shared" si="25"/>
        <v>1.3276519216206457</v>
      </c>
      <c r="AK43" s="60">
        <f t="shared" si="12"/>
        <v>1.375447390798989</v>
      </c>
      <c r="AL43" s="60">
        <f t="shared" si="12"/>
        <v>1.4139599177413607</v>
      </c>
      <c r="AM43" s="142"/>
    </row>
    <row r="44" spans="2:39" x14ac:dyDescent="0.2">
      <c r="B44" s="2">
        <v>2014</v>
      </c>
      <c r="F44" s="2" t="s">
        <v>143</v>
      </c>
      <c r="L44" s="36"/>
      <c r="M44" s="36"/>
      <c r="N44" s="36"/>
      <c r="O44" s="36"/>
      <c r="P44" s="36"/>
      <c r="Q44" s="36"/>
      <c r="R44" s="36"/>
      <c r="S44" s="36"/>
      <c r="T44" s="36"/>
      <c r="U44" s="36"/>
      <c r="V44" s="36"/>
      <c r="W44" s="36"/>
      <c r="X44" s="36"/>
      <c r="Y44" s="36"/>
      <c r="Z44" s="2">
        <v>1</v>
      </c>
      <c r="AA44" s="60">
        <f t="shared" ref="AA44:AB44" si="115">Z44*AA$27</f>
        <v>1.01</v>
      </c>
      <c r="AB44" s="60">
        <f t="shared" si="115"/>
        <v>1.0180800000000001</v>
      </c>
      <c r="AC44" s="60">
        <f t="shared" ref="AC44:AD44" si="116">AB44*AC$27</f>
        <v>1.0201161600000002</v>
      </c>
      <c r="AD44" s="60">
        <f t="shared" si="116"/>
        <v>1.0343977862400002</v>
      </c>
      <c r="AE44" s="60">
        <f t="shared" ref="AE44:AF44" si="117">AD44*AE$27</f>
        <v>1.0561201397510402</v>
      </c>
      <c r="AF44" s="60">
        <f t="shared" si="117"/>
        <v>1.0856915036640693</v>
      </c>
      <c r="AG44" s="60">
        <f t="shared" ref="AG44:AH44" si="118">AF44*AG$27</f>
        <v>1.0932913441897176</v>
      </c>
      <c r="AH44" s="60">
        <f t="shared" si="118"/>
        <v>1.1195303364502709</v>
      </c>
      <c r="AI44" s="60">
        <f t="shared" si="24"/>
        <v>1.2538739768243035</v>
      </c>
      <c r="AJ44" s="60">
        <f t="shared" si="25"/>
        <v>1.2914901961290326</v>
      </c>
      <c r="AK44" s="60">
        <f t="shared" si="12"/>
        <v>1.3379838431896778</v>
      </c>
      <c r="AL44" s="60">
        <f t="shared" si="12"/>
        <v>1.3754473907989888</v>
      </c>
      <c r="AM44" s="142"/>
    </row>
    <row r="45" spans="2:39" x14ac:dyDescent="0.2">
      <c r="B45" s="2">
        <v>2015</v>
      </c>
      <c r="F45" s="2" t="s">
        <v>143</v>
      </c>
      <c r="L45" s="36"/>
      <c r="M45" s="36"/>
      <c r="N45" s="36"/>
      <c r="O45" s="36"/>
      <c r="P45" s="36"/>
      <c r="Q45" s="36"/>
      <c r="R45" s="36"/>
      <c r="S45" s="36"/>
      <c r="T45" s="36"/>
      <c r="U45" s="36"/>
      <c r="V45" s="36"/>
      <c r="W45" s="36"/>
      <c r="X45" s="36"/>
      <c r="Y45" s="36"/>
      <c r="Z45" s="36"/>
      <c r="AA45" s="2">
        <v>1</v>
      </c>
      <c r="AB45" s="60">
        <f t="shared" ref="AB45" si="119">AA45*AB$27</f>
        <v>1.008</v>
      </c>
      <c r="AC45" s="60">
        <f t="shared" ref="AC45:AD45" si="120">AB45*AC$27</f>
        <v>1.010016</v>
      </c>
      <c r="AD45" s="60">
        <f t="shared" si="120"/>
        <v>1.0241562239999999</v>
      </c>
      <c r="AE45" s="60">
        <f t="shared" ref="AE45:AF45" si="121">AD45*AE$27</f>
        <v>1.0456635047039999</v>
      </c>
      <c r="AF45" s="60">
        <f t="shared" si="121"/>
        <v>1.0749420828357119</v>
      </c>
      <c r="AG45" s="60">
        <f t="shared" ref="AG45:AH45" si="122">AF45*AG$27</f>
        <v>1.0824666774155618</v>
      </c>
      <c r="AH45" s="60">
        <f t="shared" si="122"/>
        <v>1.1084458776735353</v>
      </c>
      <c r="AI45" s="60">
        <f t="shared" si="24"/>
        <v>1.2414593829943597</v>
      </c>
      <c r="AJ45" s="60">
        <f t="shared" si="25"/>
        <v>1.2787031644841904</v>
      </c>
      <c r="AK45" s="60">
        <f t="shared" si="12"/>
        <v>1.3247364784056213</v>
      </c>
      <c r="AL45" s="60">
        <f t="shared" si="12"/>
        <v>1.3618290998009788</v>
      </c>
      <c r="AM45" s="142"/>
    </row>
    <row r="46" spans="2:39" x14ac:dyDescent="0.2">
      <c r="B46" s="2">
        <v>2016</v>
      </c>
      <c r="F46" s="2" t="s">
        <v>143</v>
      </c>
      <c r="L46" s="36"/>
      <c r="M46" s="36"/>
      <c r="N46" s="36"/>
      <c r="O46" s="36"/>
      <c r="P46" s="36"/>
      <c r="Q46" s="36"/>
      <c r="R46" s="36"/>
      <c r="S46" s="36"/>
      <c r="T46" s="36"/>
      <c r="U46" s="36"/>
      <c r="V46" s="36"/>
      <c r="W46" s="36"/>
      <c r="X46" s="36"/>
      <c r="Y46" s="36"/>
      <c r="Z46" s="36"/>
      <c r="AA46" s="36"/>
      <c r="AB46" s="2">
        <v>1</v>
      </c>
      <c r="AC46" s="60">
        <f t="shared" ref="AC46:AD46" si="123">AB46*AC$27</f>
        <v>1.002</v>
      </c>
      <c r="AD46" s="60">
        <f t="shared" si="123"/>
        <v>1.0160279999999999</v>
      </c>
      <c r="AE46" s="60">
        <f>AD46*AE$27</f>
        <v>1.0373645879999998</v>
      </c>
      <c r="AF46" s="60">
        <f t="shared" ref="AF46" si="124">AE46*AF$27</f>
        <v>1.0664107964639997</v>
      </c>
      <c r="AG46" s="60">
        <f t="shared" ref="AG46:AH46" si="125">AF46*AG$27</f>
        <v>1.0738756720392475</v>
      </c>
      <c r="AH46" s="60">
        <f t="shared" si="125"/>
        <v>1.0996486881681895</v>
      </c>
      <c r="AI46" s="60">
        <f t="shared" si="24"/>
        <v>1.2316065307483723</v>
      </c>
      <c r="AJ46" s="60">
        <f t="shared" si="25"/>
        <v>1.2685547266708235</v>
      </c>
      <c r="AK46" s="60">
        <f t="shared" si="12"/>
        <v>1.3142226968309731</v>
      </c>
      <c r="AL46" s="60">
        <f t="shared" si="12"/>
        <v>1.3510209323422404</v>
      </c>
      <c r="AM46" s="142"/>
    </row>
    <row r="47" spans="2:39" x14ac:dyDescent="0.2">
      <c r="B47" s="2">
        <v>2017</v>
      </c>
      <c r="F47" s="2" t="s">
        <v>143</v>
      </c>
      <c r="L47" s="36"/>
      <c r="M47" s="36"/>
      <c r="N47" s="36"/>
      <c r="O47" s="36"/>
      <c r="P47" s="36"/>
      <c r="Q47" s="36"/>
      <c r="R47" s="36"/>
      <c r="S47" s="36"/>
      <c r="T47" s="36"/>
      <c r="U47" s="36"/>
      <c r="V47" s="36"/>
      <c r="W47" s="36"/>
      <c r="X47" s="36"/>
      <c r="Y47" s="36"/>
      <c r="Z47" s="36"/>
      <c r="AA47" s="36"/>
      <c r="AB47" s="36"/>
      <c r="AC47" s="2">
        <v>1</v>
      </c>
      <c r="AD47" s="60">
        <f t="shared" ref="AD47" si="126">AC47*AD$27</f>
        <v>1.014</v>
      </c>
      <c r="AE47" s="60">
        <f t="shared" ref="AE47:AF47" si="127">AD47*AE$27</f>
        <v>1.0352939999999999</v>
      </c>
      <c r="AF47" s="60">
        <f t="shared" si="127"/>
        <v>1.0642822320000001</v>
      </c>
      <c r="AG47" s="60">
        <f t="shared" ref="AG47:AH47" si="128">AF47*AG$27</f>
        <v>1.0717322076239999</v>
      </c>
      <c r="AH47" s="60">
        <f t="shared" si="128"/>
        <v>1.097453780606976</v>
      </c>
      <c r="AI47" s="60">
        <f t="shared" si="24"/>
        <v>1.2291482342798132</v>
      </c>
      <c r="AJ47" s="60">
        <f t="shared" si="25"/>
        <v>1.2660226813082076</v>
      </c>
      <c r="AK47" s="60">
        <f t="shared" si="12"/>
        <v>1.3115994978353032</v>
      </c>
      <c r="AL47" s="60">
        <f t="shared" si="12"/>
        <v>1.3483242837746916</v>
      </c>
      <c r="AM47" s="142"/>
    </row>
    <row r="48" spans="2:39" x14ac:dyDescent="0.2">
      <c r="B48" s="2">
        <v>2018</v>
      </c>
      <c r="F48" s="2" t="s">
        <v>143</v>
      </c>
      <c r="L48" s="36"/>
      <c r="M48" s="36"/>
      <c r="N48" s="36"/>
      <c r="O48" s="36"/>
      <c r="P48" s="36"/>
      <c r="Q48" s="36"/>
      <c r="R48" s="36"/>
      <c r="S48" s="36"/>
      <c r="T48" s="36"/>
      <c r="U48" s="36"/>
      <c r="V48" s="36"/>
      <c r="W48" s="36"/>
      <c r="X48" s="36"/>
      <c r="Y48" s="36"/>
      <c r="Z48" s="36"/>
      <c r="AA48" s="36"/>
      <c r="AB48" s="36"/>
      <c r="AC48" s="36"/>
      <c r="AD48" s="2">
        <v>1</v>
      </c>
      <c r="AE48" s="60">
        <f t="shared" ref="AE48:AF48" si="129">AD48*AE$27</f>
        <v>1.0209999999999999</v>
      </c>
      <c r="AF48" s="60">
        <f t="shared" si="129"/>
        <v>1.049588</v>
      </c>
      <c r="AG48" s="60">
        <f t="shared" ref="AG48:AH48" si="130">AF48*AG$27</f>
        <v>1.0569351159999998</v>
      </c>
      <c r="AH48" s="60">
        <f t="shared" si="130"/>
        <v>1.0823015587839997</v>
      </c>
      <c r="AI48" s="60">
        <f t="shared" si="24"/>
        <v>1.2121777458380798</v>
      </c>
      <c r="AJ48" s="60">
        <f t="shared" si="25"/>
        <v>1.2485430782132223</v>
      </c>
      <c r="AK48" s="60">
        <f t="shared" si="12"/>
        <v>1.2934906290288983</v>
      </c>
      <c r="AL48" s="60">
        <f t="shared" si="12"/>
        <v>1.3297083666417076</v>
      </c>
      <c r="AM48" s="142"/>
    </row>
    <row r="49" spans="2:39" x14ac:dyDescent="0.2">
      <c r="B49" s="2">
        <v>2019</v>
      </c>
      <c r="F49" s="2" t="s">
        <v>143</v>
      </c>
      <c r="L49" s="36"/>
      <c r="M49" s="36"/>
      <c r="N49" s="36"/>
      <c r="O49" s="36"/>
      <c r="P49" s="36"/>
      <c r="Q49" s="36"/>
      <c r="R49" s="36"/>
      <c r="S49" s="36"/>
      <c r="T49" s="36"/>
      <c r="U49" s="36"/>
      <c r="V49" s="36"/>
      <c r="W49" s="36"/>
      <c r="X49" s="36"/>
      <c r="Y49" s="36"/>
      <c r="Z49" s="36"/>
      <c r="AA49" s="36"/>
      <c r="AB49" s="36"/>
      <c r="AC49" s="36"/>
      <c r="AD49" s="36"/>
      <c r="AE49" s="2">
        <v>1</v>
      </c>
      <c r="AF49" s="60">
        <f>AE49*AF$27</f>
        <v>1.028</v>
      </c>
      <c r="AG49" s="60">
        <f>AF49*AG$27</f>
        <v>1.035196</v>
      </c>
      <c r="AH49" s="60">
        <f t="shared" ref="AH49" si="131">AG49*AH$27</f>
        <v>1.0600407039999999</v>
      </c>
      <c r="AI49" s="60">
        <f t="shared" si="24"/>
        <v>1.1872455884799999</v>
      </c>
      <c r="AJ49" s="60">
        <f t="shared" si="25"/>
        <v>1.2228629561344</v>
      </c>
      <c r="AK49" s="60">
        <f t="shared" si="12"/>
        <v>1.2668860225552385</v>
      </c>
      <c r="AL49" s="60">
        <f t="shared" si="12"/>
        <v>1.3023588311867853</v>
      </c>
      <c r="AM49" s="142"/>
    </row>
    <row r="50" spans="2:39" x14ac:dyDescent="0.2">
      <c r="B50" s="2">
        <v>2020</v>
      </c>
      <c r="F50" s="2" t="s">
        <v>143</v>
      </c>
      <c r="L50" s="36"/>
      <c r="M50" s="36"/>
      <c r="N50" s="36"/>
      <c r="O50" s="36"/>
      <c r="P50" s="36"/>
      <c r="Q50" s="36"/>
      <c r="R50" s="36"/>
      <c r="S50" s="36"/>
      <c r="T50" s="36"/>
      <c r="U50" s="36"/>
      <c r="V50" s="36"/>
      <c r="W50" s="36"/>
      <c r="X50" s="36"/>
      <c r="Y50" s="36"/>
      <c r="Z50" s="36"/>
      <c r="AA50" s="36"/>
      <c r="AB50" s="36"/>
      <c r="AC50" s="36"/>
      <c r="AD50" s="36"/>
      <c r="AE50" s="36"/>
      <c r="AF50" s="2">
        <v>1</v>
      </c>
      <c r="AG50" s="60">
        <f>AF50*AG$27</f>
        <v>1.0069999999999999</v>
      </c>
      <c r="AH50" s="60">
        <f t="shared" ref="AH50" si="132">AG50*AH$27</f>
        <v>1.0311679999999999</v>
      </c>
      <c r="AI50" s="60">
        <f>AH50*AI$27</f>
        <v>1.15490816</v>
      </c>
      <c r="AJ50" s="60">
        <f>AI50*AJ$27</f>
        <v>1.1895554047999999</v>
      </c>
      <c r="AK50" s="60">
        <f t="shared" si="12"/>
        <v>1.2323793993727998</v>
      </c>
      <c r="AL50" s="60">
        <f t="shared" si="12"/>
        <v>1.2668860225552383</v>
      </c>
      <c r="AM50" s="142"/>
    </row>
    <row r="51" spans="2:39" x14ac:dyDescent="0.2">
      <c r="B51" s="2">
        <v>2021</v>
      </c>
      <c r="F51" s="2" t="s">
        <v>143</v>
      </c>
      <c r="L51" s="36"/>
      <c r="M51" s="36"/>
      <c r="N51" s="36"/>
      <c r="O51" s="36"/>
      <c r="P51" s="36"/>
      <c r="Q51" s="36"/>
      <c r="R51" s="36"/>
      <c r="S51" s="36"/>
      <c r="T51" s="36"/>
      <c r="U51" s="36"/>
      <c r="V51" s="36"/>
      <c r="W51" s="36"/>
      <c r="X51" s="36"/>
      <c r="Y51" s="36"/>
      <c r="Z51" s="36"/>
      <c r="AA51" s="36"/>
      <c r="AB51" s="36"/>
      <c r="AC51" s="36"/>
      <c r="AD51" s="36"/>
      <c r="AE51" s="36"/>
      <c r="AF51" s="36"/>
      <c r="AG51" s="2">
        <v>1</v>
      </c>
      <c r="AH51" s="60">
        <f t="shared" si="11"/>
        <v>1.024</v>
      </c>
      <c r="AI51" s="60">
        <f t="shared" si="24"/>
        <v>1.1468800000000001</v>
      </c>
      <c r="AJ51" s="60">
        <f t="shared" si="25"/>
        <v>1.1812864000000001</v>
      </c>
      <c r="AK51" s="60">
        <f t="shared" si="12"/>
        <v>1.2238127104000001</v>
      </c>
      <c r="AL51" s="60">
        <f t="shared" si="12"/>
        <v>1.2580794662912</v>
      </c>
      <c r="AM51" s="142"/>
    </row>
    <row r="52" spans="2:39" x14ac:dyDescent="0.2">
      <c r="B52" s="2">
        <v>2022</v>
      </c>
      <c r="F52" s="2" t="s">
        <v>143</v>
      </c>
      <c r="L52" s="36"/>
      <c r="M52" s="36"/>
      <c r="N52" s="36"/>
      <c r="O52" s="36"/>
      <c r="P52" s="36"/>
      <c r="Q52" s="36"/>
      <c r="R52" s="36"/>
      <c r="S52" s="36"/>
      <c r="T52" s="36"/>
      <c r="U52" s="36"/>
      <c r="V52" s="36"/>
      <c r="W52" s="36"/>
      <c r="X52" s="36"/>
      <c r="Y52" s="36"/>
      <c r="Z52" s="36"/>
      <c r="AA52" s="36"/>
      <c r="AB52" s="36"/>
      <c r="AC52" s="36"/>
      <c r="AD52" s="36"/>
      <c r="AE52" s="36"/>
      <c r="AF52" s="36"/>
      <c r="AG52" s="36"/>
      <c r="AH52" s="2">
        <v>1</v>
      </c>
      <c r="AI52" s="60">
        <f t="shared" si="24"/>
        <v>1.1200000000000001</v>
      </c>
      <c r="AJ52" s="60">
        <f t="shared" si="25"/>
        <v>1.1536000000000002</v>
      </c>
      <c r="AK52" s="60">
        <f t="shared" si="12"/>
        <v>1.1951296000000002</v>
      </c>
      <c r="AL52" s="60">
        <f t="shared" si="12"/>
        <v>1.2285932288000003</v>
      </c>
      <c r="AM52" s="142"/>
    </row>
    <row r="53" spans="2:39" x14ac:dyDescent="0.2">
      <c r="B53" s="2">
        <v>2023</v>
      </c>
      <c r="F53" s="2" t="s">
        <v>143</v>
      </c>
      <c r="L53" s="36"/>
      <c r="M53" s="36"/>
      <c r="N53" s="36"/>
      <c r="O53" s="36"/>
      <c r="P53" s="36"/>
      <c r="Q53" s="36"/>
      <c r="R53" s="36"/>
      <c r="S53" s="36"/>
      <c r="T53" s="36"/>
      <c r="U53" s="36"/>
      <c r="V53" s="36"/>
      <c r="W53" s="36"/>
      <c r="X53" s="36"/>
      <c r="Y53" s="36"/>
      <c r="Z53" s="36"/>
      <c r="AA53" s="36"/>
      <c r="AB53" s="36"/>
      <c r="AC53" s="36"/>
      <c r="AD53" s="36"/>
      <c r="AE53" s="36"/>
      <c r="AF53" s="36"/>
      <c r="AG53" s="36"/>
      <c r="AH53" s="36"/>
      <c r="AI53" s="2">
        <v>1</v>
      </c>
      <c r="AJ53" s="60">
        <f t="shared" si="25"/>
        <v>1.03</v>
      </c>
      <c r="AK53" s="60">
        <f>AJ53*AK$27</f>
        <v>1.06708</v>
      </c>
      <c r="AL53" s="60">
        <f>AK53*AL$27</f>
        <v>1.09695824</v>
      </c>
      <c r="AM53" s="142"/>
    </row>
    <row r="54" spans="2:39" x14ac:dyDescent="0.2">
      <c r="B54" s="2">
        <v>2024</v>
      </c>
      <c r="F54" s="2" t="s">
        <v>143</v>
      </c>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2">
        <v>1</v>
      </c>
      <c r="AK54" s="60">
        <f>AJ54*AK$27</f>
        <v>1.036</v>
      </c>
      <c r="AL54" s="60">
        <f>AK54*AL$27</f>
        <v>1.065008</v>
      </c>
      <c r="AM54" s="142"/>
    </row>
    <row r="55" spans="2:39" x14ac:dyDescent="0.2">
      <c r="B55" s="2">
        <v>2025</v>
      </c>
      <c r="F55" s="2" t="s">
        <v>143</v>
      </c>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2">
        <v>1</v>
      </c>
      <c r="AL55" s="60">
        <f>AK55*AL$27</f>
        <v>1.028</v>
      </c>
      <c r="AM55" s="142"/>
    </row>
    <row r="56" spans="2:39" x14ac:dyDescent="0.2">
      <c r="B56" s="2">
        <v>2026</v>
      </c>
      <c r="F56" s="2" t="s">
        <v>143</v>
      </c>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2">
        <v>1</v>
      </c>
      <c r="AM56" s="36"/>
    </row>
    <row r="58" spans="2:39" s="7" customFormat="1" x14ac:dyDescent="0.2">
      <c r="B58" s="7" t="s">
        <v>320</v>
      </c>
    </row>
    <row r="60" spans="2:39" x14ac:dyDescent="0.2">
      <c r="B60" s="21" t="s">
        <v>269</v>
      </c>
    </row>
    <row r="61" spans="2:39" x14ac:dyDescent="0.2">
      <c r="B61" s="2" t="s">
        <v>323</v>
      </c>
      <c r="F61" s="2" t="s">
        <v>278</v>
      </c>
      <c r="L61" s="36"/>
      <c r="M61" s="36"/>
      <c r="N61" s="36"/>
      <c r="O61" s="36"/>
      <c r="P61" s="36"/>
      <c r="Q61" s="36"/>
      <c r="R61" s="36"/>
      <c r="S61" s="36"/>
      <c r="T61" s="36"/>
      <c r="U61" s="36"/>
      <c r="V61" s="36"/>
      <c r="W61" s="36"/>
      <c r="X61" s="36"/>
      <c r="Y61" s="36"/>
      <c r="Z61" s="36"/>
      <c r="AA61" s="36"/>
      <c r="AB61" s="36"/>
      <c r="AC61" s="36"/>
      <c r="AD61" s="60">
        <f t="shared" ref="AD61:AL61" si="133">1-AD16</f>
        <v>1</v>
      </c>
      <c r="AE61" s="60">
        <f t="shared" si="133"/>
        <v>1</v>
      </c>
      <c r="AF61" s="60">
        <f t="shared" si="133"/>
        <v>1</v>
      </c>
      <c r="AG61" s="60">
        <f t="shared" si="133"/>
        <v>1</v>
      </c>
      <c r="AH61" s="60">
        <f t="shared" si="133"/>
        <v>0.995</v>
      </c>
      <c r="AI61" s="60">
        <f t="shared" si="133"/>
        <v>0.995</v>
      </c>
      <c r="AJ61" s="60">
        <f t="shared" si="133"/>
        <v>0.995</v>
      </c>
      <c r="AK61" s="60">
        <f t="shared" si="133"/>
        <v>0.995</v>
      </c>
      <c r="AL61" s="60">
        <f t="shared" si="133"/>
        <v>0.995</v>
      </c>
      <c r="AM61" s="142"/>
    </row>
    <row r="63" spans="2:39" x14ac:dyDescent="0.2">
      <c r="B63" s="1" t="s">
        <v>275</v>
      </c>
    </row>
    <row r="64" spans="2:39" x14ac:dyDescent="0.2">
      <c r="B64" s="1"/>
    </row>
    <row r="65" spans="2:39" x14ac:dyDescent="0.2">
      <c r="B65" s="1"/>
    </row>
    <row r="66" spans="2:39" x14ac:dyDescent="0.2">
      <c r="B66" s="2">
        <v>2018</v>
      </c>
      <c r="F66" s="2" t="s">
        <v>278</v>
      </c>
      <c r="Y66" s="36"/>
      <c r="Z66" s="36"/>
      <c r="AA66" s="36"/>
      <c r="AB66" s="36"/>
      <c r="AC66" s="36"/>
      <c r="AD66" s="2">
        <v>1</v>
      </c>
      <c r="AE66" s="60">
        <f t="shared" ref="AE66:AG68" si="134">AD66*AE$61</f>
        <v>1</v>
      </c>
      <c r="AF66" s="60">
        <f t="shared" ref="AF66:AF67" si="135">AE66*AF$61</f>
        <v>1</v>
      </c>
      <c r="AG66" s="60">
        <f t="shared" ref="AG66:AG67" si="136">AF66*AG$61</f>
        <v>1</v>
      </c>
      <c r="AH66" s="60">
        <f t="shared" ref="AH66" si="137">AG66*AH$61</f>
        <v>0.995</v>
      </c>
      <c r="AI66" s="60">
        <f t="shared" ref="AI66:AJ66" si="138">AH66*AI$61</f>
        <v>0.99002500000000004</v>
      </c>
      <c r="AJ66" s="60">
        <f t="shared" si="138"/>
        <v>0.98507487500000002</v>
      </c>
      <c r="AK66" s="60">
        <f t="shared" ref="AK66:AL73" si="139">AJ66*AK$61</f>
        <v>0.98014950062500006</v>
      </c>
      <c r="AL66" s="60">
        <f t="shared" si="139"/>
        <v>0.97524875312187509</v>
      </c>
      <c r="AM66" s="142"/>
    </row>
    <row r="67" spans="2:39" x14ac:dyDescent="0.2">
      <c r="B67" s="2">
        <v>2019</v>
      </c>
      <c r="F67" s="2" t="s">
        <v>278</v>
      </c>
      <c r="Y67" s="36"/>
      <c r="Z67" s="36"/>
      <c r="AA67" s="36"/>
      <c r="AB67" s="36"/>
      <c r="AC67" s="36"/>
      <c r="AD67" s="36"/>
      <c r="AE67" s="2">
        <v>1</v>
      </c>
      <c r="AF67" s="60">
        <f t="shared" si="135"/>
        <v>1</v>
      </c>
      <c r="AG67" s="60">
        <f t="shared" si="136"/>
        <v>1</v>
      </c>
      <c r="AH67" s="60">
        <f t="shared" ref="AH67" si="140">AG67*AH$61</f>
        <v>0.995</v>
      </c>
      <c r="AI67" s="60">
        <f t="shared" ref="AI67:AJ67" si="141">AH67*AI$61</f>
        <v>0.99002500000000004</v>
      </c>
      <c r="AJ67" s="60">
        <f t="shared" si="141"/>
        <v>0.98507487500000002</v>
      </c>
      <c r="AK67" s="60">
        <f t="shared" si="139"/>
        <v>0.98014950062500006</v>
      </c>
      <c r="AL67" s="60">
        <f t="shared" si="139"/>
        <v>0.97524875312187509</v>
      </c>
      <c r="AM67" s="142"/>
    </row>
    <row r="68" spans="2:39" x14ac:dyDescent="0.2">
      <c r="B68" s="2">
        <v>2020</v>
      </c>
      <c r="F68" s="2" t="s">
        <v>278</v>
      </c>
      <c r="L68" s="36"/>
      <c r="M68" s="36"/>
      <c r="N68" s="36"/>
      <c r="O68" s="36"/>
      <c r="P68" s="36"/>
      <c r="Q68" s="36"/>
      <c r="R68" s="36"/>
      <c r="S68" s="36"/>
      <c r="T68" s="36"/>
      <c r="U68" s="36"/>
      <c r="V68" s="36"/>
      <c r="W68" s="36"/>
      <c r="X68" s="36"/>
      <c r="Y68" s="36"/>
      <c r="Z68" s="36"/>
      <c r="AA68" s="36"/>
      <c r="AB68" s="36"/>
      <c r="AC68" s="36"/>
      <c r="AD68" s="36"/>
      <c r="AE68" s="36"/>
      <c r="AF68" s="2">
        <v>1</v>
      </c>
      <c r="AG68" s="60">
        <f t="shared" si="134"/>
        <v>1</v>
      </c>
      <c r="AH68" s="60">
        <f t="shared" ref="AH68:AJ69" si="142">AG68*AH$61</f>
        <v>0.995</v>
      </c>
      <c r="AI68" s="60">
        <f t="shared" si="142"/>
        <v>0.99002500000000004</v>
      </c>
      <c r="AJ68" s="60">
        <f t="shared" si="142"/>
        <v>0.98507487500000002</v>
      </c>
      <c r="AK68" s="60">
        <f t="shared" si="139"/>
        <v>0.98014950062500006</v>
      </c>
      <c r="AL68" s="60">
        <f t="shared" si="139"/>
        <v>0.97524875312187509</v>
      </c>
      <c r="AM68" s="142"/>
    </row>
    <row r="69" spans="2:39" x14ac:dyDescent="0.2">
      <c r="B69" s="2">
        <v>2021</v>
      </c>
      <c r="F69" s="2" t="s">
        <v>278</v>
      </c>
      <c r="L69" s="36"/>
      <c r="M69" s="36"/>
      <c r="N69" s="36"/>
      <c r="O69" s="36"/>
      <c r="P69" s="36"/>
      <c r="Q69" s="36"/>
      <c r="R69" s="36"/>
      <c r="S69" s="36"/>
      <c r="T69" s="36"/>
      <c r="U69" s="36"/>
      <c r="V69" s="36"/>
      <c r="W69" s="36"/>
      <c r="X69" s="36"/>
      <c r="Y69" s="36"/>
      <c r="Z69" s="36"/>
      <c r="AA69" s="36"/>
      <c r="AB69" s="36"/>
      <c r="AC69" s="36"/>
      <c r="AD69" s="36"/>
      <c r="AE69" s="36"/>
      <c r="AF69" s="36"/>
      <c r="AG69" s="2">
        <v>1</v>
      </c>
      <c r="AH69" s="60">
        <f t="shared" si="142"/>
        <v>0.995</v>
      </c>
      <c r="AI69" s="60">
        <f>AH69*AI$61</f>
        <v>0.99002500000000004</v>
      </c>
      <c r="AJ69" s="60">
        <f>AI69*AJ$61</f>
        <v>0.98507487500000002</v>
      </c>
      <c r="AK69" s="60">
        <f t="shared" si="139"/>
        <v>0.98014950062500006</v>
      </c>
      <c r="AL69" s="60">
        <f t="shared" si="139"/>
        <v>0.97524875312187509</v>
      </c>
      <c r="AM69" s="142"/>
    </row>
    <row r="70" spans="2:39" x14ac:dyDescent="0.2">
      <c r="B70" s="2">
        <v>2022</v>
      </c>
      <c r="F70" s="2" t="s">
        <v>278</v>
      </c>
      <c r="L70" s="36"/>
      <c r="M70" s="36"/>
      <c r="N70" s="36"/>
      <c r="O70" s="36"/>
      <c r="P70" s="36"/>
      <c r="Q70" s="36"/>
      <c r="R70" s="36"/>
      <c r="S70" s="36"/>
      <c r="T70" s="36"/>
      <c r="U70" s="36"/>
      <c r="V70" s="36"/>
      <c r="W70" s="36"/>
      <c r="X70" s="36"/>
      <c r="Y70" s="36"/>
      <c r="Z70" s="36"/>
      <c r="AA70" s="36"/>
      <c r="AB70" s="36"/>
      <c r="AC70" s="36"/>
      <c r="AD70" s="36"/>
      <c r="AE70" s="36"/>
      <c r="AF70" s="36"/>
      <c r="AG70" s="36"/>
      <c r="AH70" s="2">
        <v>1</v>
      </c>
      <c r="AI70" s="60">
        <f>AH70*AI$61</f>
        <v>0.995</v>
      </c>
      <c r="AJ70" s="60">
        <f>AI70*AJ$61</f>
        <v>0.99002500000000004</v>
      </c>
      <c r="AK70" s="60">
        <f t="shared" si="139"/>
        <v>0.98507487500000002</v>
      </c>
      <c r="AL70" s="60">
        <f t="shared" si="139"/>
        <v>0.98014950062500006</v>
      </c>
      <c r="AM70" s="142"/>
    </row>
    <row r="71" spans="2:39" x14ac:dyDescent="0.2">
      <c r="B71" s="2">
        <v>2023</v>
      </c>
      <c r="F71" s="2" t="s">
        <v>278</v>
      </c>
      <c r="L71" s="36"/>
      <c r="M71" s="36"/>
      <c r="N71" s="36"/>
      <c r="O71" s="36"/>
      <c r="P71" s="36"/>
      <c r="Q71" s="36"/>
      <c r="R71" s="36"/>
      <c r="S71" s="36"/>
      <c r="T71" s="36"/>
      <c r="U71" s="36"/>
      <c r="V71" s="36"/>
      <c r="W71" s="36"/>
      <c r="X71" s="36"/>
      <c r="Y71" s="36"/>
      <c r="Z71" s="36"/>
      <c r="AA71" s="36"/>
      <c r="AB71" s="36"/>
      <c r="AC71" s="36"/>
      <c r="AD71" s="36"/>
      <c r="AE71" s="36"/>
      <c r="AF71" s="36"/>
      <c r="AG71" s="36"/>
      <c r="AH71" s="36"/>
      <c r="AI71" s="2">
        <v>1</v>
      </c>
      <c r="AJ71" s="60">
        <f>AI71*AJ$61</f>
        <v>0.995</v>
      </c>
      <c r="AK71" s="60">
        <f t="shared" si="139"/>
        <v>0.99002500000000004</v>
      </c>
      <c r="AL71" s="60">
        <f t="shared" si="139"/>
        <v>0.98507487500000002</v>
      </c>
      <c r="AM71" s="142"/>
    </row>
    <row r="72" spans="2:39" x14ac:dyDescent="0.2">
      <c r="B72" s="2">
        <v>2024</v>
      </c>
      <c r="F72" s="2" t="s">
        <v>278</v>
      </c>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2">
        <v>1</v>
      </c>
      <c r="AK72" s="60">
        <f t="shared" si="139"/>
        <v>0.995</v>
      </c>
      <c r="AL72" s="60">
        <f t="shared" si="139"/>
        <v>0.99002500000000004</v>
      </c>
      <c r="AM72" s="142"/>
    </row>
    <row r="73" spans="2:39" x14ac:dyDescent="0.2">
      <c r="B73" s="2">
        <v>2025</v>
      </c>
      <c r="F73" s="2" t="s">
        <v>278</v>
      </c>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2">
        <v>1</v>
      </c>
      <c r="AL73" s="60">
        <f t="shared" si="139"/>
        <v>0.995</v>
      </c>
      <c r="AM73" s="142"/>
    </row>
    <row r="74" spans="2:39" x14ac:dyDescent="0.2">
      <c r="B74" s="2">
        <v>2026</v>
      </c>
      <c r="F74" s="2" t="s">
        <v>278</v>
      </c>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2">
        <v>1</v>
      </c>
      <c r="AM74" s="36"/>
    </row>
    <row r="76" spans="2:39" s="7" customFormat="1" x14ac:dyDescent="0.2">
      <c r="B76" s="7" t="s">
        <v>144</v>
      </c>
    </row>
    <row r="78" spans="2:39" x14ac:dyDescent="0.2">
      <c r="B78" s="21" t="s">
        <v>145</v>
      </c>
    </row>
    <row r="79" spans="2:39" x14ac:dyDescent="0.2">
      <c r="B79" s="2" t="s">
        <v>146</v>
      </c>
      <c r="Y79" s="62"/>
      <c r="Z79" s="62"/>
      <c r="AA79" s="62"/>
      <c r="AB79" s="62"/>
      <c r="AC79" s="62"/>
      <c r="AD79" s="62"/>
      <c r="AE79" s="62"/>
      <c r="AF79" s="62"/>
      <c r="AG79" s="62"/>
      <c r="AH79" s="62"/>
      <c r="AI79" s="62"/>
      <c r="AJ79" s="62"/>
      <c r="AK79" s="62"/>
      <c r="AL79" s="62"/>
      <c r="AM79" s="62"/>
    </row>
    <row r="80" spans="2:39" x14ac:dyDescent="0.2">
      <c r="B80" s="2" t="s">
        <v>147</v>
      </c>
      <c r="F80" s="2" t="s">
        <v>143</v>
      </c>
      <c r="L80" s="36"/>
      <c r="M80" s="36"/>
      <c r="N80" s="36"/>
      <c r="O80" s="36"/>
      <c r="P80" s="36"/>
      <c r="Q80" s="36"/>
      <c r="R80" s="36"/>
      <c r="S80" s="36"/>
      <c r="T80" s="36"/>
      <c r="U80" s="36"/>
      <c r="V80" s="36"/>
      <c r="W80" s="36"/>
      <c r="X80" s="36"/>
      <c r="Y80" s="36"/>
      <c r="Z80" s="60">
        <f t="shared" ref="Z80:AJ80" si="143">((1+Y21)*(1+Y22)*(1+Z19)*(1+Z20))^(1/4)</f>
        <v>1</v>
      </c>
      <c r="AA80" s="60">
        <f t="shared" si="143"/>
        <v>1</v>
      </c>
      <c r="AB80" s="60">
        <f t="shared" si="143"/>
        <v>1</v>
      </c>
      <c r="AC80" s="60">
        <f t="shared" si="143"/>
        <v>1</v>
      </c>
      <c r="AD80" s="60">
        <f t="shared" si="143"/>
        <v>1.0099504938362078</v>
      </c>
      <c r="AE80" s="60">
        <f t="shared" si="143"/>
        <v>1.02</v>
      </c>
      <c r="AF80" s="60">
        <f t="shared" si="143"/>
        <v>1.02</v>
      </c>
      <c r="AG80" s="60">
        <f t="shared" si="143"/>
        <v>1.02</v>
      </c>
      <c r="AH80" s="60">
        <f t="shared" si="143"/>
        <v>1.02</v>
      </c>
      <c r="AI80" s="60">
        <f t="shared" si="143"/>
        <v>1.0299514551666986</v>
      </c>
      <c r="AJ80" s="60">
        <f t="shared" si="143"/>
        <v>1.0649882628461218</v>
      </c>
      <c r="AK80" s="60">
        <f>((1+AJ21)*(1+AJ22)*(1+AK19)*(1+AK20))^(1/4)</f>
        <v>1.0649882628461218</v>
      </c>
      <c r="AL80" s="60">
        <f>((1+AK21)*(1+AK22)*(1+AL19)*(1+AL20))^(1/4)</f>
        <v>1.049952379872535</v>
      </c>
      <c r="AM80" s="60">
        <f>((1+AL21)*(1+AL22)*(1+AM19)*(1+AM20))^(1/4)</f>
        <v>1.0449880382090506</v>
      </c>
    </row>
    <row r="82" spans="2:39" x14ac:dyDescent="0.2">
      <c r="B82" s="21" t="s">
        <v>148</v>
      </c>
    </row>
    <row r="83" spans="2:39" x14ac:dyDescent="0.2">
      <c r="B83" s="2">
        <v>2018</v>
      </c>
      <c r="F83" s="2" t="s">
        <v>143</v>
      </c>
      <c r="L83" s="36"/>
      <c r="M83" s="36"/>
      <c r="N83" s="36"/>
      <c r="O83" s="36"/>
      <c r="P83" s="36"/>
      <c r="Q83" s="36"/>
      <c r="R83" s="36"/>
      <c r="S83" s="36"/>
      <c r="T83" s="36"/>
      <c r="U83" s="36"/>
      <c r="V83" s="36"/>
      <c r="W83" s="36"/>
      <c r="X83" s="36"/>
      <c r="Y83" s="36"/>
      <c r="Z83" s="36"/>
      <c r="AA83" s="36"/>
      <c r="AB83" s="36"/>
      <c r="AC83" s="36"/>
      <c r="AD83" s="2">
        <v>1</v>
      </c>
      <c r="AE83" s="60">
        <f t="shared" ref="AE83" si="144">AD83*AE$80</f>
        <v>1.02</v>
      </c>
      <c r="AF83" s="60">
        <f t="shared" ref="AF83:AG83" si="145">AE83*AF$80</f>
        <v>1.0404</v>
      </c>
      <c r="AG83" s="60">
        <f t="shared" si="145"/>
        <v>1.0612079999999999</v>
      </c>
      <c r="AH83" s="60">
        <f t="shared" ref="AH83:AJ86" si="146">AG83*AH$80</f>
        <v>1.08243216</v>
      </c>
      <c r="AI83" s="60">
        <f t="shared" si="146"/>
        <v>1.1148525783112326</v>
      </c>
      <c r="AJ83" s="60">
        <f t="shared" si="146"/>
        <v>1.1873049107051996</v>
      </c>
      <c r="AK83" s="60">
        <f t="shared" ref="AK83:AM91" si="147">AJ83*AK$80</f>
        <v>1.2644657943206004</v>
      </c>
      <c r="AL83" s="60">
        <f t="shared" si="147"/>
        <v>1.3276288700143297</v>
      </c>
      <c r="AM83" s="60">
        <f t="shared" si="147"/>
        <v>1.3873562883459731</v>
      </c>
    </row>
    <row r="84" spans="2:39" x14ac:dyDescent="0.2">
      <c r="B84" s="2">
        <v>2019</v>
      </c>
      <c r="F84" s="2" t="s">
        <v>143</v>
      </c>
      <c r="L84" s="36"/>
      <c r="M84" s="36"/>
      <c r="N84" s="36"/>
      <c r="O84" s="36"/>
      <c r="P84" s="36"/>
      <c r="Q84" s="36"/>
      <c r="R84" s="36"/>
      <c r="S84" s="36"/>
      <c r="T84" s="36"/>
      <c r="U84" s="36"/>
      <c r="V84" s="36"/>
      <c r="W84" s="36"/>
      <c r="X84" s="36"/>
      <c r="Y84" s="36"/>
      <c r="Z84" s="36"/>
      <c r="AA84" s="36"/>
      <c r="AB84" s="36"/>
      <c r="AC84" s="36"/>
      <c r="AD84" s="36"/>
      <c r="AE84" s="2">
        <v>1</v>
      </c>
      <c r="AF84" s="60">
        <f t="shared" ref="AF84:AG84" si="148">AE84*AF$80</f>
        <v>1.02</v>
      </c>
      <c r="AG84" s="60">
        <f t="shared" si="148"/>
        <v>1.0404</v>
      </c>
      <c r="AH84" s="60">
        <f t="shared" si="146"/>
        <v>1.0612079999999999</v>
      </c>
      <c r="AI84" s="60">
        <f t="shared" si="146"/>
        <v>1.0929927238345418</v>
      </c>
      <c r="AJ84" s="60">
        <f t="shared" si="146"/>
        <v>1.1640244222599996</v>
      </c>
      <c r="AK84" s="60">
        <f t="shared" si="147"/>
        <v>1.2396723473731375</v>
      </c>
      <c r="AL84" s="60">
        <f t="shared" si="147"/>
        <v>1.3015969313865976</v>
      </c>
      <c r="AM84" s="60">
        <f t="shared" si="147"/>
        <v>1.3601532238686009</v>
      </c>
    </row>
    <row r="85" spans="2:39" x14ac:dyDescent="0.2">
      <c r="B85" s="2">
        <v>2020</v>
      </c>
      <c r="F85" s="2" t="s">
        <v>143</v>
      </c>
      <c r="L85" s="36"/>
      <c r="M85" s="36"/>
      <c r="N85" s="36"/>
      <c r="O85" s="36"/>
      <c r="P85" s="36"/>
      <c r="Q85" s="36"/>
      <c r="R85" s="36"/>
      <c r="S85" s="36"/>
      <c r="T85" s="36"/>
      <c r="U85" s="36"/>
      <c r="V85" s="36"/>
      <c r="W85" s="36"/>
      <c r="X85" s="36"/>
      <c r="Y85" s="36"/>
      <c r="Z85" s="36"/>
      <c r="AA85" s="36"/>
      <c r="AB85" s="36"/>
      <c r="AC85" s="36"/>
      <c r="AD85" s="36"/>
      <c r="AE85" s="36"/>
      <c r="AF85" s="2">
        <v>1</v>
      </c>
      <c r="AG85" s="60">
        <f t="shared" ref="AG85" si="149">AF85*AG$80</f>
        <v>1.02</v>
      </c>
      <c r="AH85" s="60">
        <f t="shared" si="146"/>
        <v>1.0404</v>
      </c>
      <c r="AI85" s="60">
        <f>AH85*AI$80</f>
        <v>1.0715614939554332</v>
      </c>
      <c r="AJ85" s="60">
        <f t="shared" si="146"/>
        <v>1.141200413980392</v>
      </c>
      <c r="AK85" s="60">
        <f t="shared" si="147"/>
        <v>1.2153650464442527</v>
      </c>
      <c r="AL85" s="60">
        <f t="shared" si="147"/>
        <v>1.2760754229280371</v>
      </c>
      <c r="AM85" s="60">
        <f t="shared" si="147"/>
        <v>1.3334835528123541</v>
      </c>
    </row>
    <row r="86" spans="2:39" x14ac:dyDescent="0.2">
      <c r="B86" s="2">
        <v>2021</v>
      </c>
      <c r="F86" s="2" t="s">
        <v>143</v>
      </c>
      <c r="L86" s="36"/>
      <c r="M86" s="36"/>
      <c r="N86" s="36"/>
      <c r="O86" s="36"/>
      <c r="P86" s="36"/>
      <c r="Q86" s="36"/>
      <c r="R86" s="36"/>
      <c r="S86" s="36"/>
      <c r="T86" s="36"/>
      <c r="U86" s="36"/>
      <c r="V86" s="36"/>
      <c r="W86" s="36"/>
      <c r="X86" s="36"/>
      <c r="Y86" s="36"/>
      <c r="Z86" s="36"/>
      <c r="AA86" s="36"/>
      <c r="AB86" s="36"/>
      <c r="AC86" s="36"/>
      <c r="AD86" s="36"/>
      <c r="AE86" s="36"/>
      <c r="AF86" s="36"/>
      <c r="AG86" s="2">
        <v>1</v>
      </c>
      <c r="AH86" s="60">
        <f t="shared" si="146"/>
        <v>1.02</v>
      </c>
      <c r="AI86" s="60">
        <f>AH86*AI$80</f>
        <v>1.0505504842700326</v>
      </c>
      <c r="AJ86" s="60">
        <f t="shared" si="146"/>
        <v>1.1188239352748941</v>
      </c>
      <c r="AK86" s="60">
        <f t="shared" si="147"/>
        <v>1.1915343592590713</v>
      </c>
      <c r="AL86" s="60">
        <f t="shared" si="147"/>
        <v>1.2510543362039579</v>
      </c>
      <c r="AM86" s="60">
        <f t="shared" si="147"/>
        <v>1.3073368164826999</v>
      </c>
    </row>
    <row r="87" spans="2:39" x14ac:dyDescent="0.2">
      <c r="B87" s="2">
        <v>2022</v>
      </c>
      <c r="F87" s="2" t="s">
        <v>143</v>
      </c>
      <c r="L87" s="36"/>
      <c r="M87" s="36"/>
      <c r="N87" s="36"/>
      <c r="O87" s="36"/>
      <c r="P87" s="36"/>
      <c r="Q87" s="36"/>
      <c r="R87" s="36"/>
      <c r="S87" s="36"/>
      <c r="T87" s="36"/>
      <c r="U87" s="36"/>
      <c r="V87" s="36"/>
      <c r="W87" s="36"/>
      <c r="X87" s="36"/>
      <c r="Y87" s="36"/>
      <c r="Z87" s="36"/>
      <c r="AA87" s="36"/>
      <c r="AB87" s="36"/>
      <c r="AC87" s="36"/>
      <c r="AD87" s="36"/>
      <c r="AE87" s="36"/>
      <c r="AF87" s="36"/>
      <c r="AG87" s="36"/>
      <c r="AH87" s="2">
        <v>1</v>
      </c>
      <c r="AI87" s="60">
        <f>AH87*AI$80</f>
        <v>1.0299514551666986</v>
      </c>
      <c r="AJ87" s="60">
        <f>AI87*AJ$80</f>
        <v>1.0968862110538176</v>
      </c>
      <c r="AK87" s="60">
        <f t="shared" si="147"/>
        <v>1.1681709404500698</v>
      </c>
      <c r="AL87" s="60">
        <f t="shared" si="147"/>
        <v>1.2265238590234881</v>
      </c>
      <c r="AM87" s="60">
        <f t="shared" si="147"/>
        <v>1.2817027612575491</v>
      </c>
    </row>
    <row r="88" spans="2:39" x14ac:dyDescent="0.2">
      <c r="B88" s="2">
        <v>2023</v>
      </c>
      <c r="F88" s="2" t="s">
        <v>143</v>
      </c>
      <c r="L88" s="36"/>
      <c r="M88" s="36"/>
      <c r="N88" s="36"/>
      <c r="O88" s="36"/>
      <c r="P88" s="36"/>
      <c r="Q88" s="36"/>
      <c r="R88" s="36"/>
      <c r="S88" s="36"/>
      <c r="T88" s="36"/>
      <c r="U88" s="36"/>
      <c r="V88" s="36"/>
      <c r="W88" s="36"/>
      <c r="X88" s="36"/>
      <c r="Y88" s="36"/>
      <c r="Z88" s="36"/>
      <c r="AA88" s="36"/>
      <c r="AB88" s="36"/>
      <c r="AC88" s="36"/>
      <c r="AD88" s="36"/>
      <c r="AE88" s="36"/>
      <c r="AF88" s="36"/>
      <c r="AG88" s="36"/>
      <c r="AH88" s="36"/>
      <c r="AI88" s="2">
        <v>1</v>
      </c>
      <c r="AJ88" s="60">
        <f>AI88*AJ$80</f>
        <v>1.0649882628461218</v>
      </c>
      <c r="AK88" s="60">
        <f t="shared" si="147"/>
        <v>1.1342000000000003</v>
      </c>
      <c r="AL88" s="60">
        <f t="shared" si="147"/>
        <v>1.1908559892514294</v>
      </c>
      <c r="AM88" s="60">
        <f t="shared" si="147"/>
        <v>1.2444302639973495</v>
      </c>
    </row>
    <row r="89" spans="2:39" x14ac:dyDescent="0.2">
      <c r="B89" s="2">
        <v>2024</v>
      </c>
      <c r="F89" s="2" t="s">
        <v>143</v>
      </c>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2">
        <v>1</v>
      </c>
      <c r="AK89" s="60">
        <f t="shared" si="147"/>
        <v>1.0649882628461218</v>
      </c>
      <c r="AL89" s="60">
        <f t="shared" si="147"/>
        <v>1.1181869611116024</v>
      </c>
      <c r="AM89" s="60">
        <f t="shared" si="147"/>
        <v>1.1684919988429534</v>
      </c>
    </row>
    <row r="90" spans="2:39" x14ac:dyDescent="0.2">
      <c r="B90" s="2">
        <v>2025</v>
      </c>
      <c r="F90" s="2" t="s">
        <v>143</v>
      </c>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2">
        <v>1</v>
      </c>
      <c r="AL90" s="60">
        <f t="shared" si="147"/>
        <v>1.049952379872535</v>
      </c>
      <c r="AM90" s="60">
        <f t="shared" si="147"/>
        <v>1.0971876776559242</v>
      </c>
    </row>
    <row r="91" spans="2:39" x14ac:dyDescent="0.2">
      <c r="B91" s="2">
        <v>2026</v>
      </c>
      <c r="F91" s="2" t="s">
        <v>143</v>
      </c>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2">
        <v>1</v>
      </c>
      <c r="AM91" s="60">
        <f t="shared" si="147"/>
        <v>1.0449880382090506</v>
      </c>
    </row>
    <row r="92" spans="2:39" x14ac:dyDescent="0.2">
      <c r="B92" s="2">
        <v>2027</v>
      </c>
      <c r="F92" s="2" t="s">
        <v>143</v>
      </c>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2">
        <v>1</v>
      </c>
    </row>
    <row r="94" spans="2:39" x14ac:dyDescent="0.2">
      <c r="B94" s="2" t="s">
        <v>835</v>
      </c>
      <c r="F94" s="2" t="s">
        <v>112</v>
      </c>
      <c r="H94" s="61">
        <f>(1+AL19)^(1/4)*(1+AL20)^(1/4)*(1+AL21)^(1/4)*(1+AL22)^(1/4)*(1+AM19)^(1/4)*(1+AM20)^(1/4)-1</f>
        <v>6.568287965979791E-2</v>
      </c>
    </row>
  </sheetData>
  <mergeCells count="1">
    <mergeCell ref="B5:E5"/>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08CDA-56D3-49A3-B1B6-9AD3508C61D2}">
  <sheetPr>
    <tabColor rgb="FFFFFFCC"/>
  </sheetPr>
  <dimension ref="B2:AO176"/>
  <sheetViews>
    <sheetView showGridLines="0" zoomScale="85" zoomScaleNormal="85" workbookViewId="0">
      <pane xSplit="6" ySplit="11" topLeftCell="G42" activePane="bottomRight" state="frozen"/>
      <selection activeCell="P579" sqref="P579"/>
      <selection pane="topRight" activeCell="P579" sqref="P579"/>
      <selection pane="bottomLeft" activeCell="P579" sqref="P579"/>
      <selection pane="bottomRight"/>
    </sheetView>
  </sheetViews>
  <sheetFormatPr defaultColWidth="9.140625" defaultRowHeight="12.75" outlineLevelCol="1" x14ac:dyDescent="0.2"/>
  <cols>
    <col min="1" max="1" width="5.7109375" style="2" customWidth="1"/>
    <col min="2" max="2" width="62.5703125" style="2" customWidth="1"/>
    <col min="3" max="5" width="5.7109375" style="2" customWidth="1"/>
    <col min="6" max="6" width="26.42578125" style="2" customWidth="1"/>
    <col min="7" max="7" width="2.7109375" style="2" customWidth="1"/>
    <col min="8" max="8" width="13.7109375" style="2" customWidth="1"/>
    <col min="9" max="9" width="2.7109375" style="2" customWidth="1"/>
    <col min="10" max="10" width="13.7109375" style="2" customWidth="1"/>
    <col min="11" max="11" width="2.7109375" style="2" customWidth="1"/>
    <col min="12" max="29" width="12.5703125" style="2" hidden="1" customWidth="1" outlineLevel="1"/>
    <col min="30" max="30" width="12.5703125" style="2" customWidth="1" collapsed="1"/>
    <col min="31" max="39" width="12.5703125" style="2" customWidth="1"/>
    <col min="40" max="40" width="2.7109375" style="2" customWidth="1"/>
    <col min="41" max="41" width="30.7109375" style="2" customWidth="1"/>
    <col min="42" max="55" width="13.7109375" style="2" customWidth="1"/>
    <col min="56" max="16384" width="9.140625" style="2"/>
  </cols>
  <sheetData>
    <row r="2" spans="2:41" s="13" customFormat="1" ht="18" x14ac:dyDescent="0.2">
      <c r="B2" s="13" t="s">
        <v>1057</v>
      </c>
    </row>
    <row r="4" spans="2:41" x14ac:dyDescent="0.2">
      <c r="B4" s="21" t="s">
        <v>52</v>
      </c>
      <c r="C4" s="1"/>
      <c r="D4" s="1"/>
    </row>
    <row r="5" spans="2:41" ht="143.25" customHeight="1" x14ac:dyDescent="0.2">
      <c r="B5" s="163" t="s">
        <v>664</v>
      </c>
      <c r="C5" s="163"/>
      <c r="D5" s="163"/>
      <c r="E5" s="163"/>
      <c r="F5" s="163"/>
      <c r="H5" s="14"/>
    </row>
    <row r="6" spans="2:41" x14ac:dyDescent="0.2">
      <c r="C6" s="3"/>
      <c r="D6" s="3"/>
      <c r="H6" s="14"/>
    </row>
    <row r="7" spans="2:41" x14ac:dyDescent="0.2">
      <c r="B7" s="22" t="s">
        <v>27</v>
      </c>
      <c r="C7" s="3"/>
      <c r="D7" s="3"/>
      <c r="H7" s="14"/>
    </row>
    <row r="8" spans="2:41" ht="14.25" customHeight="1" x14ac:dyDescent="0.2">
      <c r="B8" s="171" t="s">
        <v>454</v>
      </c>
      <c r="C8" s="163"/>
      <c r="D8" s="163"/>
      <c r="E8" s="163"/>
      <c r="F8" s="163"/>
    </row>
    <row r="10" spans="2:41" s="7" customFormat="1" x14ac:dyDescent="0.2">
      <c r="B10" s="7" t="s">
        <v>42</v>
      </c>
      <c r="F10" s="7" t="s">
        <v>24</v>
      </c>
      <c r="H10" s="7" t="s">
        <v>25</v>
      </c>
      <c r="J10" s="7" t="s">
        <v>46</v>
      </c>
      <c r="L10" s="54">
        <v>2000</v>
      </c>
      <c r="M10" s="54">
        <v>2001</v>
      </c>
      <c r="N10" s="54">
        <v>2002</v>
      </c>
      <c r="O10" s="54">
        <v>2003</v>
      </c>
      <c r="P10" s="54">
        <v>2004</v>
      </c>
      <c r="Q10" s="54">
        <v>2005</v>
      </c>
      <c r="R10" s="54">
        <v>2006</v>
      </c>
      <c r="S10" s="54">
        <v>2007</v>
      </c>
      <c r="T10" s="54">
        <v>2008</v>
      </c>
      <c r="U10" s="54">
        <v>2009</v>
      </c>
      <c r="V10" s="54">
        <v>2010</v>
      </c>
      <c r="W10" s="54">
        <v>2011</v>
      </c>
      <c r="X10" s="54">
        <v>2012</v>
      </c>
      <c r="Y10" s="54">
        <v>2013</v>
      </c>
      <c r="Z10" s="54">
        <v>2014</v>
      </c>
      <c r="AA10" s="54">
        <v>2015</v>
      </c>
      <c r="AB10" s="54">
        <v>2016</v>
      </c>
      <c r="AC10" s="54">
        <v>2017</v>
      </c>
      <c r="AD10" s="54">
        <v>2018</v>
      </c>
      <c r="AE10" s="54">
        <v>2019</v>
      </c>
      <c r="AF10" s="54">
        <v>2020</v>
      </c>
      <c r="AG10" s="54">
        <v>2021</v>
      </c>
      <c r="AH10" s="54">
        <v>2022</v>
      </c>
      <c r="AI10" s="54">
        <v>2023</v>
      </c>
      <c r="AJ10" s="54">
        <v>2024</v>
      </c>
      <c r="AK10" s="54">
        <v>2025</v>
      </c>
      <c r="AL10" s="54">
        <v>2026</v>
      </c>
      <c r="AM10" s="54">
        <v>2027</v>
      </c>
      <c r="AO10" s="7" t="s">
        <v>44</v>
      </c>
    </row>
    <row r="13" spans="2:41" s="7" customFormat="1" x14ac:dyDescent="0.2">
      <c r="B13" s="7" t="s">
        <v>45</v>
      </c>
    </row>
    <row r="15" spans="2:41" x14ac:dyDescent="0.2">
      <c r="B15" s="21" t="s">
        <v>140</v>
      </c>
    </row>
    <row r="16" spans="2:41" x14ac:dyDescent="0.2">
      <c r="B16" s="2" t="s">
        <v>489</v>
      </c>
      <c r="F16" s="2" t="s">
        <v>143</v>
      </c>
      <c r="H16" s="64">
        <f>'16. Berekening parameters'!AK48</f>
        <v>1.2934906290288983</v>
      </c>
    </row>
    <row r="17" spans="2:41" x14ac:dyDescent="0.2">
      <c r="B17" s="2" t="s">
        <v>490</v>
      </c>
      <c r="F17" s="2" t="s">
        <v>143</v>
      </c>
      <c r="H17" s="64">
        <f>'16. Berekening parameters'!AK49</f>
        <v>1.2668860225552385</v>
      </c>
    </row>
    <row r="18" spans="2:41" x14ac:dyDescent="0.2">
      <c r="B18" s="2" t="s">
        <v>491</v>
      </c>
      <c r="F18" s="2" t="s">
        <v>143</v>
      </c>
      <c r="H18" s="64">
        <f>'16. Berekening parameters'!AK50</f>
        <v>1.2323793993727998</v>
      </c>
    </row>
    <row r="20" spans="2:41" x14ac:dyDescent="0.2">
      <c r="B20" s="1" t="s">
        <v>269</v>
      </c>
    </row>
    <row r="21" spans="2:41" x14ac:dyDescent="0.2">
      <c r="B21" s="2" t="s">
        <v>689</v>
      </c>
      <c r="F21" s="2" t="s">
        <v>278</v>
      </c>
      <c r="H21" s="64">
        <f>'16. Berekening parameters'!AK66</f>
        <v>0.98014950062500006</v>
      </c>
    </row>
    <row r="22" spans="2:41" x14ac:dyDescent="0.2">
      <c r="B22" s="2" t="s">
        <v>690</v>
      </c>
      <c r="F22" s="2" t="s">
        <v>278</v>
      </c>
      <c r="H22" s="64">
        <f>'16. Berekening parameters'!AK67</f>
        <v>0.98014950062500006</v>
      </c>
    </row>
    <row r="23" spans="2:41" x14ac:dyDescent="0.2">
      <c r="B23" s="2" t="s">
        <v>691</v>
      </c>
      <c r="F23" s="2" t="s">
        <v>278</v>
      </c>
      <c r="H23" s="64">
        <f>'16. Berekening parameters'!AK68</f>
        <v>0.98014950062500006</v>
      </c>
    </row>
    <row r="25" spans="2:41" x14ac:dyDescent="0.2">
      <c r="B25" s="21" t="s">
        <v>116</v>
      </c>
    </row>
    <row r="26" spans="2:41" x14ac:dyDescent="0.2">
      <c r="B26" s="2" t="s">
        <v>837</v>
      </c>
      <c r="F26" s="2" t="s">
        <v>143</v>
      </c>
      <c r="H26" s="64">
        <f>'16. Berekening parameters'!AM90</f>
        <v>1.0971876776559242</v>
      </c>
      <c r="AO26" s="20"/>
    </row>
    <row r="28" spans="2:41" x14ac:dyDescent="0.2">
      <c r="B28" s="21" t="s">
        <v>132</v>
      </c>
    </row>
    <row r="29" spans="2:41" x14ac:dyDescent="0.2">
      <c r="B29" s="2" t="s">
        <v>356</v>
      </c>
      <c r="F29" s="2" t="s">
        <v>100</v>
      </c>
      <c r="AD29" s="160" t="s">
        <v>1167</v>
      </c>
      <c r="AE29" s="160" t="s">
        <v>1168</v>
      </c>
      <c r="AF29" s="160" t="s">
        <v>1175</v>
      </c>
      <c r="AK29" s="160" t="s">
        <v>1197</v>
      </c>
      <c r="AO29" s="20"/>
    </row>
    <row r="30" spans="2:41" x14ac:dyDescent="0.2">
      <c r="B30" s="2" t="s">
        <v>357</v>
      </c>
      <c r="F30" s="2" t="s">
        <v>100</v>
      </c>
      <c r="AD30" s="160" t="s">
        <v>1170</v>
      </c>
      <c r="AE30" s="160" t="s">
        <v>1169</v>
      </c>
      <c r="AF30" s="160" t="s">
        <v>1174</v>
      </c>
      <c r="AK30" s="160" t="s">
        <v>1198</v>
      </c>
      <c r="AO30" s="20"/>
    </row>
    <row r="31" spans="2:41" x14ac:dyDescent="0.2">
      <c r="B31" s="2" t="s">
        <v>358</v>
      </c>
      <c r="F31" s="2" t="s">
        <v>100</v>
      </c>
      <c r="AD31" s="160" t="s">
        <v>1171</v>
      </c>
      <c r="AE31" s="160" t="s">
        <v>1172</v>
      </c>
      <c r="AF31" s="160" t="s">
        <v>1173</v>
      </c>
      <c r="AK31" s="160" t="s">
        <v>1199</v>
      </c>
      <c r="AO31" s="20"/>
    </row>
    <row r="33" spans="2:41" x14ac:dyDescent="0.2">
      <c r="B33" s="21" t="s">
        <v>133</v>
      </c>
    </row>
    <row r="34" spans="2:41" x14ac:dyDescent="0.2">
      <c r="B34" s="2" t="s">
        <v>356</v>
      </c>
      <c r="F34" s="2" t="s">
        <v>100</v>
      </c>
      <c r="AD34" s="160" t="s">
        <v>1176</v>
      </c>
      <c r="AE34" s="160" t="s">
        <v>1177</v>
      </c>
      <c r="AF34" s="160" t="s">
        <v>1178</v>
      </c>
      <c r="AK34" s="160" t="s">
        <v>1200</v>
      </c>
      <c r="AO34" s="20"/>
    </row>
    <row r="35" spans="2:41" x14ac:dyDescent="0.2">
      <c r="B35" s="2" t="s">
        <v>357</v>
      </c>
      <c r="F35" s="2" t="s">
        <v>100</v>
      </c>
      <c r="AD35" s="160" t="s">
        <v>1179</v>
      </c>
      <c r="AE35" s="160" t="s">
        <v>1180</v>
      </c>
      <c r="AF35" s="160" t="s">
        <v>1181</v>
      </c>
      <c r="AK35" s="160" t="s">
        <v>1201</v>
      </c>
      <c r="AO35" s="20"/>
    </row>
    <row r="36" spans="2:41" x14ac:dyDescent="0.2">
      <c r="B36" s="2" t="s">
        <v>358</v>
      </c>
      <c r="F36" s="2" t="s">
        <v>100</v>
      </c>
      <c r="AD36" s="160" t="s">
        <v>1182</v>
      </c>
      <c r="AE36" s="160" t="s">
        <v>1183</v>
      </c>
      <c r="AF36" s="160" t="s">
        <v>1184</v>
      </c>
      <c r="AK36" s="160" t="s">
        <v>1202</v>
      </c>
      <c r="AO36" s="20"/>
    </row>
    <row r="38" spans="2:41" x14ac:dyDescent="0.2">
      <c r="B38" s="21" t="s">
        <v>134</v>
      </c>
    </row>
    <row r="39" spans="2:41" x14ac:dyDescent="0.2">
      <c r="B39" s="2" t="s">
        <v>338</v>
      </c>
      <c r="F39" s="2" t="s">
        <v>100</v>
      </c>
      <c r="AD39" s="160" t="s">
        <v>1185</v>
      </c>
      <c r="AE39" s="160" t="s">
        <v>1186</v>
      </c>
      <c r="AF39" s="160" t="s">
        <v>1187</v>
      </c>
      <c r="AK39" s="160" t="s">
        <v>1203</v>
      </c>
      <c r="AO39" s="20"/>
    </row>
    <row r="40" spans="2:41" x14ac:dyDescent="0.2">
      <c r="B40" s="2" t="s">
        <v>339</v>
      </c>
      <c r="F40" s="2" t="s">
        <v>100</v>
      </c>
      <c r="AD40" s="160" t="s">
        <v>1188</v>
      </c>
      <c r="AE40" s="160" t="s">
        <v>1189</v>
      </c>
      <c r="AF40" s="160" t="s">
        <v>1190</v>
      </c>
      <c r="AK40" s="160" t="s">
        <v>1204</v>
      </c>
      <c r="AO40" s="20"/>
    </row>
    <row r="41" spans="2:41" x14ac:dyDescent="0.2">
      <c r="B41" s="2" t="s">
        <v>340</v>
      </c>
      <c r="F41" s="2" t="s">
        <v>100</v>
      </c>
      <c r="AD41" s="160" t="s">
        <v>1191</v>
      </c>
      <c r="AE41" s="160" t="s">
        <v>1192</v>
      </c>
      <c r="AF41" s="160" t="s">
        <v>1193</v>
      </c>
      <c r="AK41" s="160" t="s">
        <v>1205</v>
      </c>
      <c r="AO41" s="20"/>
    </row>
    <row r="42" spans="2:41" x14ac:dyDescent="0.2">
      <c r="B42" s="2" t="s">
        <v>341</v>
      </c>
      <c r="F42" s="2" t="s">
        <v>100</v>
      </c>
      <c r="AD42" s="160" t="s">
        <v>1194</v>
      </c>
      <c r="AE42" s="160" t="s">
        <v>1195</v>
      </c>
      <c r="AF42" s="160" t="s">
        <v>1196</v>
      </c>
      <c r="AK42" s="160" t="s">
        <v>1206</v>
      </c>
      <c r="AO42" s="20"/>
    </row>
    <row r="44" spans="2:41" x14ac:dyDescent="0.2">
      <c r="B44" s="21" t="s">
        <v>1008</v>
      </c>
    </row>
    <row r="45" spans="2:41" x14ac:dyDescent="0.2">
      <c r="B45" s="2" t="s">
        <v>1009</v>
      </c>
      <c r="F45" s="2" t="s">
        <v>112</v>
      </c>
      <c r="H45" s="73">
        <f>'10. Brondata'!H46</f>
        <v>0.4</v>
      </c>
    </row>
    <row r="47" spans="2:41" x14ac:dyDescent="0.2">
      <c r="B47" s="21" t="s">
        <v>765</v>
      </c>
    </row>
    <row r="48" spans="2:41" x14ac:dyDescent="0.2">
      <c r="B48" s="2" t="s">
        <v>331</v>
      </c>
      <c r="F48" s="2" t="s">
        <v>819</v>
      </c>
      <c r="AK48" s="160" t="s">
        <v>1207</v>
      </c>
    </row>
    <row r="49" spans="2:37" x14ac:dyDescent="0.2">
      <c r="B49" s="2" t="s">
        <v>440</v>
      </c>
      <c r="F49" s="2" t="s">
        <v>819</v>
      </c>
      <c r="AK49" s="160" t="s">
        <v>1208</v>
      </c>
    </row>
    <row r="50" spans="2:37" x14ac:dyDescent="0.2">
      <c r="B50" s="2" t="s">
        <v>333</v>
      </c>
      <c r="F50" s="2" t="s">
        <v>819</v>
      </c>
      <c r="AK50" s="160" t="s">
        <v>1209</v>
      </c>
    </row>
    <row r="52" spans="2:37" x14ac:dyDescent="0.2">
      <c r="B52" s="2" t="s">
        <v>334</v>
      </c>
      <c r="F52" s="2" t="s">
        <v>819</v>
      </c>
      <c r="AK52" s="160" t="s">
        <v>1210</v>
      </c>
    </row>
    <row r="53" spans="2:37" x14ac:dyDescent="0.2">
      <c r="B53" s="2" t="s">
        <v>441</v>
      </c>
      <c r="F53" s="2" t="s">
        <v>819</v>
      </c>
      <c r="AK53" s="160" t="s">
        <v>1211</v>
      </c>
    </row>
    <row r="54" spans="2:37" x14ac:dyDescent="0.2">
      <c r="B54" s="2" t="s">
        <v>336</v>
      </c>
      <c r="F54" s="2" t="s">
        <v>819</v>
      </c>
      <c r="AK54" s="160" t="s">
        <v>1212</v>
      </c>
    </row>
    <row r="56" spans="2:37" x14ac:dyDescent="0.2">
      <c r="B56" s="21" t="s">
        <v>766</v>
      </c>
    </row>
    <row r="57" spans="2:37" x14ac:dyDescent="0.2">
      <c r="B57" s="2" t="s">
        <v>338</v>
      </c>
      <c r="F57" s="2" t="s">
        <v>819</v>
      </c>
      <c r="AK57" s="160" t="s">
        <v>1213</v>
      </c>
    </row>
    <row r="58" spans="2:37" x14ac:dyDescent="0.2">
      <c r="B58" s="2" t="s">
        <v>339</v>
      </c>
      <c r="F58" s="2" t="s">
        <v>819</v>
      </c>
      <c r="AK58" s="160" t="s">
        <v>1214</v>
      </c>
    </row>
    <row r="59" spans="2:37" x14ac:dyDescent="0.2">
      <c r="B59" s="2" t="s">
        <v>340</v>
      </c>
      <c r="F59" s="2" t="s">
        <v>819</v>
      </c>
      <c r="AK59" s="160" t="s">
        <v>1215</v>
      </c>
    </row>
    <row r="60" spans="2:37" x14ac:dyDescent="0.2">
      <c r="B60" s="2" t="s">
        <v>341</v>
      </c>
      <c r="F60" s="2" t="s">
        <v>819</v>
      </c>
      <c r="AK60" s="160" t="s">
        <v>1216</v>
      </c>
    </row>
    <row r="62" spans="2:37" s="7" customFormat="1" x14ac:dyDescent="0.2">
      <c r="B62" s="7" t="s">
        <v>149</v>
      </c>
    </row>
    <row r="64" spans="2:37" x14ac:dyDescent="0.2">
      <c r="B64" s="21" t="s">
        <v>150</v>
      </c>
    </row>
    <row r="65" spans="2:37" x14ac:dyDescent="0.2">
      <c r="B65" s="2" t="s">
        <v>331</v>
      </c>
      <c r="F65" s="2" t="s">
        <v>100</v>
      </c>
      <c r="AK65" s="161" t="s">
        <v>1217</v>
      </c>
    </row>
    <row r="66" spans="2:37" x14ac:dyDescent="0.2">
      <c r="B66" s="2" t="s">
        <v>332</v>
      </c>
      <c r="F66" s="2" t="s">
        <v>100</v>
      </c>
      <c r="AK66" s="161" t="s">
        <v>1218</v>
      </c>
    </row>
    <row r="67" spans="2:37" x14ac:dyDescent="0.2">
      <c r="B67" s="2" t="s">
        <v>333</v>
      </c>
      <c r="F67" s="2" t="s">
        <v>100</v>
      </c>
      <c r="AK67" s="161" t="s">
        <v>1219</v>
      </c>
    </row>
    <row r="69" spans="2:37" x14ac:dyDescent="0.2">
      <c r="B69" s="21" t="s">
        <v>151</v>
      </c>
    </row>
    <row r="70" spans="2:37" x14ac:dyDescent="0.2">
      <c r="B70" s="2" t="s">
        <v>334</v>
      </c>
      <c r="F70" s="2" t="s">
        <v>100</v>
      </c>
      <c r="AK70" s="161" t="s">
        <v>1220</v>
      </c>
    </row>
    <row r="71" spans="2:37" x14ac:dyDescent="0.2">
      <c r="B71" s="2" t="s">
        <v>335</v>
      </c>
      <c r="F71" s="2" t="s">
        <v>100</v>
      </c>
      <c r="AK71" s="161" t="s">
        <v>1221</v>
      </c>
    </row>
    <row r="72" spans="2:37" x14ac:dyDescent="0.2">
      <c r="B72" s="2" t="s">
        <v>336</v>
      </c>
      <c r="F72" s="2" t="s">
        <v>100</v>
      </c>
      <c r="AK72" s="161" t="s">
        <v>1222</v>
      </c>
    </row>
    <row r="74" spans="2:37" x14ac:dyDescent="0.2">
      <c r="B74" s="21" t="s">
        <v>337</v>
      </c>
    </row>
    <row r="75" spans="2:37" x14ac:dyDescent="0.2">
      <c r="B75" s="2" t="s">
        <v>338</v>
      </c>
      <c r="F75" s="2" t="s">
        <v>100</v>
      </c>
      <c r="AK75" s="161" t="s">
        <v>1223</v>
      </c>
    </row>
    <row r="76" spans="2:37" x14ac:dyDescent="0.2">
      <c r="B76" s="2" t="s">
        <v>339</v>
      </c>
      <c r="F76" s="2" t="s">
        <v>100</v>
      </c>
      <c r="AK76" s="161" t="s">
        <v>1224</v>
      </c>
    </row>
    <row r="77" spans="2:37" x14ac:dyDescent="0.2">
      <c r="B77" s="2" t="s">
        <v>340</v>
      </c>
      <c r="F77" s="2" t="s">
        <v>100</v>
      </c>
      <c r="AK77" s="161" t="s">
        <v>1225</v>
      </c>
    </row>
    <row r="78" spans="2:37" x14ac:dyDescent="0.2">
      <c r="B78" s="2" t="s">
        <v>341</v>
      </c>
      <c r="F78" s="2" t="s">
        <v>100</v>
      </c>
      <c r="AK78" s="161" t="s">
        <v>1226</v>
      </c>
    </row>
    <row r="80" spans="2:37" s="7" customFormat="1" x14ac:dyDescent="0.2">
      <c r="B80" s="7" t="s">
        <v>152</v>
      </c>
    </row>
    <row r="82" spans="2:37" x14ac:dyDescent="0.2">
      <c r="B82" s="21" t="s">
        <v>153</v>
      </c>
    </row>
    <row r="83" spans="2:37" x14ac:dyDescent="0.2">
      <c r="B83" s="2" t="s">
        <v>154</v>
      </c>
      <c r="F83" s="2" t="s">
        <v>100</v>
      </c>
      <c r="AF83" s="86"/>
      <c r="AK83" s="161" t="s">
        <v>1227</v>
      </c>
    </row>
    <row r="84" spans="2:37" x14ac:dyDescent="0.2">
      <c r="B84" s="2" t="s">
        <v>155</v>
      </c>
      <c r="F84" s="2" t="s">
        <v>100</v>
      </c>
      <c r="AF84" s="86"/>
      <c r="AK84" s="161" t="s">
        <v>1228</v>
      </c>
    </row>
    <row r="85" spans="2:37" x14ac:dyDescent="0.2">
      <c r="B85" s="2" t="s">
        <v>156</v>
      </c>
      <c r="F85" s="2" t="s">
        <v>100</v>
      </c>
      <c r="AF85" s="86"/>
      <c r="AK85" s="161" t="s">
        <v>1229</v>
      </c>
    </row>
    <row r="86" spans="2:37" x14ac:dyDescent="0.2">
      <c r="B86" s="2" t="s">
        <v>157</v>
      </c>
      <c r="F86" s="2" t="s">
        <v>100</v>
      </c>
      <c r="AF86" s="86"/>
      <c r="AK86" s="161" t="s">
        <v>1230</v>
      </c>
    </row>
    <row r="87" spans="2:37" x14ac:dyDescent="0.2">
      <c r="B87" s="2" t="s">
        <v>158</v>
      </c>
      <c r="F87" s="2" t="s">
        <v>100</v>
      </c>
      <c r="AF87" s="86"/>
      <c r="AK87" s="161" t="s">
        <v>1231</v>
      </c>
    </row>
    <row r="89" spans="2:37" x14ac:dyDescent="0.2">
      <c r="B89" s="2" t="s">
        <v>1010</v>
      </c>
      <c r="F89" s="2" t="s">
        <v>100</v>
      </c>
      <c r="AF89" s="86"/>
      <c r="AK89" s="161" t="s">
        <v>1232</v>
      </c>
    </row>
    <row r="90" spans="2:37" x14ac:dyDescent="0.2">
      <c r="B90" s="2" t="s">
        <v>505</v>
      </c>
      <c r="F90" s="2" t="s">
        <v>100</v>
      </c>
      <c r="AF90" s="86"/>
      <c r="AK90" s="161" t="s">
        <v>1233</v>
      </c>
    </row>
    <row r="92" spans="2:37" x14ac:dyDescent="0.2">
      <c r="B92" s="21" t="s">
        <v>159</v>
      </c>
    </row>
    <row r="93" spans="2:37" x14ac:dyDescent="0.2">
      <c r="B93" s="2" t="s">
        <v>154</v>
      </c>
      <c r="F93" s="2" t="s">
        <v>100</v>
      </c>
      <c r="AF93" s="86"/>
      <c r="AK93" s="161" t="s">
        <v>1234</v>
      </c>
    </row>
    <row r="94" spans="2:37" x14ac:dyDescent="0.2">
      <c r="B94" s="2" t="s">
        <v>155</v>
      </c>
      <c r="F94" s="2" t="s">
        <v>100</v>
      </c>
      <c r="AF94" s="86"/>
      <c r="AK94" s="161" t="s">
        <v>1235</v>
      </c>
    </row>
    <row r="95" spans="2:37" x14ac:dyDescent="0.2">
      <c r="B95" s="2" t="s">
        <v>156</v>
      </c>
      <c r="F95" s="2" t="s">
        <v>100</v>
      </c>
      <c r="AF95" s="86"/>
      <c r="AK95" s="161" t="s">
        <v>1236</v>
      </c>
    </row>
    <row r="96" spans="2:37" x14ac:dyDescent="0.2">
      <c r="B96" s="2" t="s">
        <v>157</v>
      </c>
      <c r="F96" s="2" t="s">
        <v>100</v>
      </c>
      <c r="AF96" s="86"/>
      <c r="AK96" s="161" t="s">
        <v>1237</v>
      </c>
    </row>
    <row r="97" spans="2:37" x14ac:dyDescent="0.2">
      <c r="B97" s="2" t="s">
        <v>158</v>
      </c>
      <c r="F97" s="2" t="s">
        <v>100</v>
      </c>
      <c r="AF97" s="86"/>
      <c r="AK97" s="161" t="s">
        <v>1238</v>
      </c>
    </row>
    <row r="99" spans="2:37" x14ac:dyDescent="0.2">
      <c r="B99" s="2" t="s">
        <v>1010</v>
      </c>
      <c r="F99" s="2" t="s">
        <v>100</v>
      </c>
      <c r="AF99" s="86"/>
      <c r="AK99" s="161" t="s">
        <v>1239</v>
      </c>
    </row>
    <row r="100" spans="2:37" x14ac:dyDescent="0.2">
      <c r="B100" s="2" t="s">
        <v>505</v>
      </c>
      <c r="F100" s="2" t="s">
        <v>100</v>
      </c>
      <c r="AF100" s="86"/>
      <c r="AK100" s="161" t="s">
        <v>1240</v>
      </c>
    </row>
    <row r="102" spans="2:37" x14ac:dyDescent="0.2">
      <c r="B102" s="21" t="s">
        <v>160</v>
      </c>
    </row>
    <row r="103" spans="2:37" x14ac:dyDescent="0.2">
      <c r="B103" s="2" t="s">
        <v>154</v>
      </c>
      <c r="F103" s="2" t="s">
        <v>100</v>
      </c>
      <c r="AF103" s="86"/>
      <c r="AG103" s="86"/>
      <c r="AK103" s="161" t="s">
        <v>1241</v>
      </c>
    </row>
    <row r="104" spans="2:37" x14ac:dyDescent="0.2">
      <c r="B104" s="2" t="s">
        <v>155</v>
      </c>
      <c r="F104" s="2" t="s">
        <v>100</v>
      </c>
      <c r="AF104" s="86"/>
      <c r="AG104" s="86"/>
      <c r="AK104" s="161" t="s">
        <v>1242</v>
      </c>
    </row>
    <row r="105" spans="2:37" x14ac:dyDescent="0.2">
      <c r="B105" s="2" t="s">
        <v>156</v>
      </c>
      <c r="F105" s="2" t="s">
        <v>100</v>
      </c>
      <c r="AF105" s="86"/>
      <c r="AG105" s="86"/>
      <c r="AK105" s="161" t="s">
        <v>1243</v>
      </c>
    </row>
    <row r="106" spans="2:37" x14ac:dyDescent="0.2">
      <c r="B106" s="2" t="s">
        <v>157</v>
      </c>
      <c r="F106" s="2" t="s">
        <v>100</v>
      </c>
      <c r="AF106" s="86"/>
      <c r="AG106" s="86"/>
      <c r="AK106" s="161" t="s">
        <v>1244</v>
      </c>
    </row>
    <row r="107" spans="2:37" x14ac:dyDescent="0.2">
      <c r="B107" s="2" t="s">
        <v>158</v>
      </c>
      <c r="F107" s="2" t="s">
        <v>100</v>
      </c>
      <c r="AF107" s="86"/>
      <c r="AG107" s="86"/>
      <c r="AK107" s="161" t="s">
        <v>1245</v>
      </c>
    </row>
    <row r="109" spans="2:37" x14ac:dyDescent="0.2">
      <c r="B109" s="2" t="s">
        <v>1010</v>
      </c>
      <c r="F109" s="2" t="s">
        <v>100</v>
      </c>
      <c r="AF109" s="86"/>
      <c r="AK109" s="161" t="s">
        <v>1246</v>
      </c>
    </row>
    <row r="110" spans="2:37" x14ac:dyDescent="0.2">
      <c r="B110" s="2" t="s">
        <v>505</v>
      </c>
      <c r="F110" s="2" t="s">
        <v>100</v>
      </c>
      <c r="AF110" s="86"/>
      <c r="AK110" s="161" t="s">
        <v>1247</v>
      </c>
    </row>
    <row r="112" spans="2:37" x14ac:dyDescent="0.2">
      <c r="B112" s="21" t="s">
        <v>161</v>
      </c>
      <c r="AF112" s="86"/>
    </row>
    <row r="113" spans="2:39" x14ac:dyDescent="0.2">
      <c r="B113" s="35" t="s">
        <v>634</v>
      </c>
      <c r="F113" s="2" t="s">
        <v>100</v>
      </c>
      <c r="AF113" s="86"/>
      <c r="AK113" s="33">
        <v>68148440.554425597</v>
      </c>
    </row>
    <row r="114" spans="2:39" x14ac:dyDescent="0.2">
      <c r="B114" s="35" t="s">
        <v>1007</v>
      </c>
      <c r="F114" s="2" t="s">
        <v>100</v>
      </c>
      <c r="AH114" s="86"/>
      <c r="AI114" s="86"/>
      <c r="AM114" s="23">
        <f>AK113*$H$26</f>
        <v>74771629.227783024</v>
      </c>
    </row>
    <row r="116" spans="2:39" x14ac:dyDescent="0.2">
      <c r="B116" s="21" t="s">
        <v>162</v>
      </c>
    </row>
    <row r="117" spans="2:39" x14ac:dyDescent="0.2">
      <c r="B117" s="2" t="s">
        <v>154</v>
      </c>
      <c r="F117" s="2" t="s">
        <v>100</v>
      </c>
      <c r="AF117" s="86"/>
      <c r="AK117" s="161" t="s">
        <v>1248</v>
      </c>
    </row>
    <row r="118" spans="2:39" x14ac:dyDescent="0.2">
      <c r="B118" s="2" t="s">
        <v>155</v>
      </c>
      <c r="F118" s="2" t="s">
        <v>100</v>
      </c>
      <c r="AF118" s="86"/>
      <c r="AK118" s="161" t="s">
        <v>1249</v>
      </c>
    </row>
    <row r="119" spans="2:39" x14ac:dyDescent="0.2">
      <c r="B119" s="2" t="s">
        <v>156</v>
      </c>
      <c r="F119" s="2" t="s">
        <v>100</v>
      </c>
      <c r="AF119" s="86"/>
      <c r="AK119" s="161" t="s">
        <v>1250</v>
      </c>
    </row>
    <row r="120" spans="2:39" x14ac:dyDescent="0.2">
      <c r="B120" s="2" t="s">
        <v>157</v>
      </c>
      <c r="F120" s="2" t="s">
        <v>100</v>
      </c>
      <c r="AF120" s="86"/>
      <c r="AK120" s="161" t="s">
        <v>1251</v>
      </c>
    </row>
    <row r="121" spans="2:39" x14ac:dyDescent="0.2">
      <c r="B121" s="2" t="s">
        <v>158</v>
      </c>
      <c r="F121" s="2" t="s">
        <v>100</v>
      </c>
      <c r="AF121" s="86"/>
      <c r="AK121" s="161" t="s">
        <v>1252</v>
      </c>
    </row>
    <row r="123" spans="2:39" x14ac:dyDescent="0.2">
      <c r="B123" s="2" t="s">
        <v>1010</v>
      </c>
      <c r="F123" s="2" t="s">
        <v>100</v>
      </c>
      <c r="AF123" s="86"/>
      <c r="AK123" s="161" t="s">
        <v>1253</v>
      </c>
    </row>
    <row r="124" spans="2:39" x14ac:dyDescent="0.2">
      <c r="B124" s="2" t="s">
        <v>505</v>
      </c>
      <c r="F124" s="2" t="s">
        <v>100</v>
      </c>
      <c r="AF124" s="86"/>
      <c r="AK124" s="161" t="s">
        <v>1254</v>
      </c>
    </row>
    <row r="126" spans="2:39" x14ac:dyDescent="0.2">
      <c r="B126" s="21" t="s">
        <v>163</v>
      </c>
    </row>
    <row r="127" spans="2:39" x14ac:dyDescent="0.2">
      <c r="B127" s="2" t="s">
        <v>154</v>
      </c>
      <c r="F127" s="2" t="s">
        <v>100</v>
      </c>
      <c r="AF127" s="86"/>
      <c r="AK127" s="161" t="s">
        <v>1255</v>
      </c>
    </row>
    <row r="128" spans="2:39" x14ac:dyDescent="0.2">
      <c r="B128" s="2" t="s">
        <v>155</v>
      </c>
      <c r="F128" s="2" t="s">
        <v>100</v>
      </c>
      <c r="AF128" s="86"/>
      <c r="AK128" s="161" t="s">
        <v>1256</v>
      </c>
    </row>
    <row r="129" spans="2:37" x14ac:dyDescent="0.2">
      <c r="B129" s="2" t="s">
        <v>156</v>
      </c>
      <c r="F129" s="2" t="s">
        <v>100</v>
      </c>
      <c r="AF129" s="86"/>
      <c r="AK129" s="161" t="s">
        <v>1257</v>
      </c>
    </row>
    <row r="130" spans="2:37" x14ac:dyDescent="0.2">
      <c r="B130" s="2" t="s">
        <v>157</v>
      </c>
      <c r="F130" s="2" t="s">
        <v>100</v>
      </c>
      <c r="AF130" s="86"/>
      <c r="AK130" s="161" t="s">
        <v>1258</v>
      </c>
    </row>
    <row r="131" spans="2:37" x14ac:dyDescent="0.2">
      <c r="B131" s="2" t="s">
        <v>158</v>
      </c>
      <c r="F131" s="2" t="s">
        <v>100</v>
      </c>
      <c r="AF131" s="86"/>
      <c r="AK131" s="161" t="s">
        <v>1259</v>
      </c>
    </row>
    <row r="133" spans="2:37" x14ac:dyDescent="0.2">
      <c r="B133" s="2" t="s">
        <v>1010</v>
      </c>
      <c r="F133" s="2" t="s">
        <v>100</v>
      </c>
      <c r="AF133" s="86"/>
      <c r="AK133" s="161" t="s">
        <v>1260</v>
      </c>
    </row>
    <row r="134" spans="2:37" x14ac:dyDescent="0.2">
      <c r="B134" s="2" t="s">
        <v>505</v>
      </c>
      <c r="F134" s="2" t="s">
        <v>100</v>
      </c>
      <c r="AF134" s="86"/>
      <c r="AK134" s="161" t="s">
        <v>1261</v>
      </c>
    </row>
    <row r="136" spans="2:37" x14ac:dyDescent="0.2">
      <c r="B136" s="21" t="s">
        <v>164</v>
      </c>
    </row>
    <row r="137" spans="2:37" x14ac:dyDescent="0.2">
      <c r="B137" s="2" t="s">
        <v>154</v>
      </c>
      <c r="F137" s="2" t="s">
        <v>100</v>
      </c>
      <c r="AF137" s="86"/>
      <c r="AK137" s="161" t="s">
        <v>1262</v>
      </c>
    </row>
    <row r="138" spans="2:37" x14ac:dyDescent="0.2">
      <c r="B138" s="2" t="s">
        <v>155</v>
      </c>
      <c r="F138" s="2" t="s">
        <v>100</v>
      </c>
      <c r="AF138" s="86"/>
      <c r="AK138" s="161" t="s">
        <v>1263</v>
      </c>
    </row>
    <row r="139" spans="2:37" x14ac:dyDescent="0.2">
      <c r="B139" s="2" t="s">
        <v>156</v>
      </c>
      <c r="F139" s="2" t="s">
        <v>100</v>
      </c>
      <c r="AF139" s="86"/>
      <c r="AK139" s="161" t="s">
        <v>1264</v>
      </c>
    </row>
    <row r="140" spans="2:37" x14ac:dyDescent="0.2">
      <c r="B140" s="2" t="s">
        <v>157</v>
      </c>
      <c r="F140" s="2" t="s">
        <v>100</v>
      </c>
      <c r="AF140" s="86"/>
      <c r="AK140" s="161" t="s">
        <v>1265</v>
      </c>
    </row>
    <row r="141" spans="2:37" x14ac:dyDescent="0.2">
      <c r="B141" s="2" t="s">
        <v>158</v>
      </c>
      <c r="F141" s="2" t="s">
        <v>100</v>
      </c>
      <c r="AF141" s="86"/>
      <c r="AK141" s="161" t="s">
        <v>1266</v>
      </c>
    </row>
    <row r="143" spans="2:37" x14ac:dyDescent="0.2">
      <c r="B143" s="2" t="s">
        <v>1010</v>
      </c>
      <c r="F143" s="2" t="s">
        <v>100</v>
      </c>
      <c r="AF143" s="86"/>
      <c r="AK143" s="161" t="s">
        <v>1267</v>
      </c>
    </row>
    <row r="144" spans="2:37" x14ac:dyDescent="0.2">
      <c r="B144" s="2" t="s">
        <v>505</v>
      </c>
      <c r="F144" s="2" t="s">
        <v>100</v>
      </c>
      <c r="AF144" s="86"/>
      <c r="AK144" s="161" t="s">
        <v>1268</v>
      </c>
    </row>
    <row r="146" spans="2:39" x14ac:dyDescent="0.2">
      <c r="B146" s="21" t="s">
        <v>165</v>
      </c>
      <c r="AF146" s="86"/>
    </row>
    <row r="147" spans="2:39" x14ac:dyDescent="0.2">
      <c r="B147" s="35" t="s">
        <v>633</v>
      </c>
      <c r="F147" s="2" t="s">
        <v>100</v>
      </c>
      <c r="AF147" s="86"/>
      <c r="AK147" s="33">
        <v>54365240.314375378</v>
      </c>
    </row>
    <row r="148" spans="2:39" x14ac:dyDescent="0.2">
      <c r="B148" s="35" t="s">
        <v>1011</v>
      </c>
      <c r="F148" s="2" t="s">
        <v>100</v>
      </c>
      <c r="AI148" s="86"/>
      <c r="AM148" s="23">
        <f>AK147*$H$26</f>
        <v>59648871.765735745</v>
      </c>
    </row>
    <row r="150" spans="2:39" x14ac:dyDescent="0.2">
      <c r="B150" s="21" t="s">
        <v>166</v>
      </c>
    </row>
    <row r="151" spans="2:39" x14ac:dyDescent="0.2">
      <c r="B151" s="2" t="s">
        <v>154</v>
      </c>
      <c r="F151" s="2" t="s">
        <v>100</v>
      </c>
      <c r="AF151" s="86"/>
      <c r="AK151" s="161" t="s">
        <v>1269</v>
      </c>
    </row>
    <row r="153" spans="2:39" x14ac:dyDescent="0.2">
      <c r="B153" s="2" t="s">
        <v>1010</v>
      </c>
      <c r="F153" s="2" t="s">
        <v>100</v>
      </c>
      <c r="AF153" s="86"/>
      <c r="AK153" s="161" t="s">
        <v>1270</v>
      </c>
    </row>
    <row r="154" spans="2:39" x14ac:dyDescent="0.2">
      <c r="B154" s="2" t="s">
        <v>505</v>
      </c>
      <c r="F154" s="2" t="s">
        <v>100</v>
      </c>
      <c r="AF154" s="86"/>
      <c r="AK154" s="161" t="s">
        <v>1271</v>
      </c>
    </row>
    <row r="155" spans="2:39" x14ac:dyDescent="0.2">
      <c r="AF155" s="86"/>
    </row>
    <row r="156" spans="2:39" x14ac:dyDescent="0.2">
      <c r="B156" s="21" t="s">
        <v>167</v>
      </c>
    </row>
    <row r="157" spans="2:39" x14ac:dyDescent="0.2">
      <c r="B157" s="2" t="s">
        <v>154</v>
      </c>
      <c r="F157" s="2" t="s">
        <v>100</v>
      </c>
      <c r="AF157" s="86"/>
      <c r="AK157" s="161" t="s">
        <v>1272</v>
      </c>
    </row>
    <row r="159" spans="2:39" x14ac:dyDescent="0.2">
      <c r="B159" s="2" t="s">
        <v>1010</v>
      </c>
      <c r="F159" s="2" t="s">
        <v>100</v>
      </c>
      <c r="AF159" s="86"/>
      <c r="AK159" s="161" t="s">
        <v>1273</v>
      </c>
    </row>
    <row r="160" spans="2:39" x14ac:dyDescent="0.2">
      <c r="B160" s="2" t="s">
        <v>505</v>
      </c>
      <c r="F160" s="2" t="s">
        <v>100</v>
      </c>
      <c r="AF160" s="86"/>
      <c r="AK160" s="161" t="s">
        <v>1274</v>
      </c>
    </row>
    <row r="162" spans="2:39" x14ac:dyDescent="0.2">
      <c r="B162" s="21" t="s">
        <v>168</v>
      </c>
    </row>
    <row r="163" spans="2:39" x14ac:dyDescent="0.2">
      <c r="B163" s="2" t="s">
        <v>154</v>
      </c>
      <c r="F163" s="2" t="s">
        <v>100</v>
      </c>
      <c r="AF163" s="86"/>
      <c r="AK163" s="161" t="s">
        <v>1275</v>
      </c>
    </row>
    <row r="165" spans="2:39" x14ac:dyDescent="0.2">
      <c r="B165" s="2" t="s">
        <v>1010</v>
      </c>
      <c r="F165" s="2" t="s">
        <v>100</v>
      </c>
      <c r="AF165" s="86"/>
      <c r="AK165" s="161" t="s">
        <v>1276</v>
      </c>
    </row>
    <row r="166" spans="2:39" x14ac:dyDescent="0.2">
      <c r="B166" s="2" t="s">
        <v>505</v>
      </c>
      <c r="F166" s="2" t="s">
        <v>100</v>
      </c>
      <c r="AF166" s="86"/>
      <c r="AK166" s="161" t="s">
        <v>1277</v>
      </c>
    </row>
    <row r="168" spans="2:39" x14ac:dyDescent="0.2">
      <c r="B168" s="21" t="s">
        <v>169</v>
      </c>
    </row>
    <row r="169" spans="2:39" x14ac:dyDescent="0.2">
      <c r="B169" s="2" t="s">
        <v>154</v>
      </c>
      <c r="F169" s="2" t="s">
        <v>100</v>
      </c>
      <c r="AF169" s="86"/>
      <c r="AK169" s="161" t="s">
        <v>1278</v>
      </c>
    </row>
    <row r="171" spans="2:39" x14ac:dyDescent="0.2">
      <c r="B171" s="2" t="s">
        <v>1010</v>
      </c>
      <c r="F171" s="2" t="s">
        <v>100</v>
      </c>
      <c r="AF171" s="86"/>
      <c r="AK171" s="161" t="s">
        <v>1279</v>
      </c>
    </row>
    <row r="172" spans="2:39" x14ac:dyDescent="0.2">
      <c r="B172" s="2" t="s">
        <v>505</v>
      </c>
      <c r="F172" s="2" t="s">
        <v>100</v>
      </c>
      <c r="AF172" s="86"/>
      <c r="AK172" s="161" t="s">
        <v>1280</v>
      </c>
    </row>
    <row r="173" spans="2:39" ht="12" customHeight="1" x14ac:dyDescent="0.2"/>
    <row r="174" spans="2:39" x14ac:dyDescent="0.2">
      <c r="B174" s="21" t="s">
        <v>170</v>
      </c>
      <c r="AF174" s="86"/>
    </row>
    <row r="175" spans="2:39" x14ac:dyDescent="0.2">
      <c r="B175" s="35" t="s">
        <v>632</v>
      </c>
      <c r="F175" s="2" t="s">
        <v>100</v>
      </c>
      <c r="AF175" s="86"/>
      <c r="AK175" s="33">
        <v>80588658.02592133</v>
      </c>
    </row>
    <row r="176" spans="2:39" x14ac:dyDescent="0.2">
      <c r="B176" s="35" t="s">
        <v>1012</v>
      </c>
      <c r="F176" s="2" t="s">
        <v>100</v>
      </c>
      <c r="AI176" s="86"/>
      <c r="AM176" s="23">
        <f>AK175*$H$26</f>
        <v>88420882.544868082</v>
      </c>
    </row>
  </sheetData>
  <dataConsolidate/>
  <mergeCells count="2">
    <mergeCell ref="B5:F5"/>
    <mergeCell ref="B8:F8"/>
  </mergeCells>
  <phoneticPr fontId="30" type="noConversion"/>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51CE4-9DCE-42A5-BCCE-E2F056DAD496}">
  <sheetPr>
    <tabColor rgb="FFFFFFCC"/>
  </sheetPr>
  <dimension ref="B2:O40"/>
  <sheetViews>
    <sheetView showGridLines="0" zoomScale="85" zoomScaleNormal="85" workbookViewId="0">
      <pane xSplit="6" ySplit="11" topLeftCell="G12" activePane="bottomRight" state="frozen"/>
      <selection activeCell="P579" sqref="P579"/>
      <selection pane="topRight" activeCell="P579" sqref="P579"/>
      <selection pane="bottomLeft" activeCell="P579" sqref="P579"/>
      <selection pane="bottomRight"/>
    </sheetView>
  </sheetViews>
  <sheetFormatPr defaultColWidth="9.140625" defaultRowHeight="12.75" x14ac:dyDescent="0.2"/>
  <cols>
    <col min="1" max="1" width="5.7109375" style="2" customWidth="1"/>
    <col min="2" max="2" width="50.5703125" style="2" customWidth="1"/>
    <col min="3" max="5" width="5.7109375" style="2" customWidth="1"/>
    <col min="6" max="6" width="13.7109375" style="2" customWidth="1"/>
    <col min="7" max="7" width="2.7109375" style="2" customWidth="1"/>
    <col min="8" max="8" width="13.7109375" style="2" customWidth="1"/>
    <col min="9" max="9" width="2.7109375" style="2" customWidth="1"/>
    <col min="10" max="10" width="13.7109375" style="2" customWidth="1"/>
    <col min="11" max="11" width="2.7109375" style="2" customWidth="1"/>
    <col min="12" max="13" width="12.5703125" style="2" customWidth="1"/>
    <col min="14" max="14" width="2.7109375" style="2" customWidth="1"/>
    <col min="15" max="15" width="30.7109375" style="2" customWidth="1"/>
    <col min="16" max="29" width="13.7109375" style="2" customWidth="1"/>
    <col min="30" max="16384" width="9.140625" style="2"/>
  </cols>
  <sheetData>
    <row r="2" spans="2:15" s="13" customFormat="1" ht="18" x14ac:dyDescent="0.2">
      <c r="B2" s="13" t="s">
        <v>1056</v>
      </c>
    </row>
    <row r="4" spans="2:15" x14ac:dyDescent="0.2">
      <c r="B4" s="21" t="s">
        <v>52</v>
      </c>
      <c r="C4" s="1"/>
      <c r="D4" s="1"/>
    </row>
    <row r="5" spans="2:15" ht="77.25" customHeight="1" x14ac:dyDescent="0.2">
      <c r="B5" s="163" t="s">
        <v>857</v>
      </c>
      <c r="C5" s="163"/>
      <c r="D5" s="163"/>
      <c r="E5" s="163"/>
      <c r="H5" s="14"/>
    </row>
    <row r="6" spans="2:15" ht="12.75" customHeight="1" x14ac:dyDescent="0.2">
      <c r="B6" s="87"/>
      <c r="C6" s="87"/>
      <c r="D6" s="87"/>
      <c r="E6" s="87"/>
      <c r="H6" s="14"/>
    </row>
    <row r="7" spans="2:15" ht="12.75" customHeight="1" x14ac:dyDescent="0.2">
      <c r="B7" s="22" t="s">
        <v>27</v>
      </c>
      <c r="C7" s="87"/>
      <c r="D7" s="87"/>
      <c r="E7" s="87"/>
      <c r="H7" s="14"/>
    </row>
    <row r="8" spans="2:15" ht="28.5" customHeight="1" x14ac:dyDescent="0.2">
      <c r="B8" s="163" t="s">
        <v>420</v>
      </c>
      <c r="C8" s="163"/>
      <c r="D8" s="163"/>
      <c r="E8" s="163"/>
      <c r="H8" s="14"/>
    </row>
    <row r="10" spans="2:15" s="7" customFormat="1" x14ac:dyDescent="0.2">
      <c r="B10" s="7" t="s">
        <v>42</v>
      </c>
      <c r="F10" s="7" t="s">
        <v>24</v>
      </c>
      <c r="H10" s="7" t="s">
        <v>25</v>
      </c>
      <c r="J10" s="7" t="s">
        <v>46</v>
      </c>
      <c r="L10" s="54" t="s">
        <v>85</v>
      </c>
      <c r="M10" s="54" t="s">
        <v>86</v>
      </c>
      <c r="O10" s="7" t="s">
        <v>44</v>
      </c>
    </row>
    <row r="13" spans="2:15" s="7" customFormat="1" x14ac:dyDescent="0.2">
      <c r="B13" s="7" t="s">
        <v>45</v>
      </c>
    </row>
    <row r="15" spans="2:15" x14ac:dyDescent="0.2">
      <c r="B15" s="21" t="s">
        <v>171</v>
      </c>
    </row>
    <row r="16" spans="2:15" x14ac:dyDescent="0.2">
      <c r="B16" s="2" t="s">
        <v>837</v>
      </c>
      <c r="F16" s="2" t="s">
        <v>143</v>
      </c>
      <c r="H16" s="64">
        <f>'16. Berekening parameters'!AM90</f>
        <v>1.0971876776559242</v>
      </c>
    </row>
    <row r="18" spans="2:13" x14ac:dyDescent="0.2">
      <c r="B18" s="21" t="s">
        <v>172</v>
      </c>
    </row>
    <row r="19" spans="2:13" x14ac:dyDescent="0.2">
      <c r="B19" s="2" t="s">
        <v>849</v>
      </c>
      <c r="F19" s="2" t="s">
        <v>851</v>
      </c>
      <c r="L19" s="32">
        <f>'6. Correcties en prognoses'!AK15</f>
        <v>-256948.62999999849</v>
      </c>
      <c r="M19" s="32">
        <f>'6. Correcties en prognoses'!AK34</f>
        <v>-7818823.4800001606</v>
      </c>
    </row>
    <row r="21" spans="2:13" x14ac:dyDescent="0.2">
      <c r="B21" s="21" t="s">
        <v>850</v>
      </c>
    </row>
    <row r="22" spans="2:13" x14ac:dyDescent="0.2">
      <c r="B22" s="2" t="s">
        <v>492</v>
      </c>
      <c r="F22" s="2" t="s">
        <v>851</v>
      </c>
      <c r="L22" s="36"/>
      <c r="M22" s="32">
        <f>'10. Brondata'!AK38</f>
        <v>26319384.081692517</v>
      </c>
    </row>
    <row r="23" spans="2:13" x14ac:dyDescent="0.2">
      <c r="B23" s="2" t="s">
        <v>493</v>
      </c>
      <c r="F23" s="2" t="s">
        <v>851</v>
      </c>
      <c r="L23" s="36"/>
      <c r="M23" s="32" cm="1">
        <f t="array" ref="M23">SUM((_2a_algemene_opex[Subcategorie]="Inkoop transport bij regionale netbeheerders")*(_2a_algemene_opex[Jaar]=2025)*_2a_algemene_opex[HS - Directe OPEX])</f>
        <v>0</v>
      </c>
    </row>
    <row r="25" spans="2:13" x14ac:dyDescent="0.2">
      <c r="B25" s="21" t="s">
        <v>858</v>
      </c>
    </row>
    <row r="26" spans="2:13" x14ac:dyDescent="0.2">
      <c r="B26" s="2" t="s">
        <v>494</v>
      </c>
      <c r="F26" s="2" t="s">
        <v>851</v>
      </c>
      <c r="L26" s="32">
        <f>'10. Brondata'!AK41</f>
        <v>-12052594.782469202</v>
      </c>
      <c r="M26" s="36"/>
    </row>
    <row r="27" spans="2:13" x14ac:dyDescent="0.2">
      <c r="B27" s="2" t="s">
        <v>138</v>
      </c>
      <c r="F27" s="2" t="s">
        <v>851</v>
      </c>
      <c r="L27" s="32" cm="1">
        <f t="array" ref="L27">SUM((_2a_algemene_opex[Subcategorie]="Kosten Cross Border Trade")*(_2a_algemene_opex[Jaar]=2025)*_2a_algemene_opex[EHS - Directe OPEX])</f>
        <v>-28526877.10401253</v>
      </c>
      <c r="M27" s="36"/>
    </row>
    <row r="29" spans="2:13" s="7" customFormat="1" x14ac:dyDescent="0.2">
      <c r="B29" s="7" t="s">
        <v>173</v>
      </c>
    </row>
    <row r="31" spans="2:13" x14ac:dyDescent="0.2">
      <c r="B31" s="21" t="s">
        <v>174</v>
      </c>
    </row>
    <row r="32" spans="2:13" x14ac:dyDescent="0.2">
      <c r="B32" s="2" t="s">
        <v>854</v>
      </c>
      <c r="F32" s="2" t="s">
        <v>852</v>
      </c>
      <c r="L32" s="23">
        <f>L19*$H$16</f>
        <v>-281920.87062656967</v>
      </c>
      <c r="M32" s="23">
        <f>M19*$H$16</f>
        <v>-8578716.7760229874</v>
      </c>
    </row>
    <row r="34" spans="2:13" x14ac:dyDescent="0.2">
      <c r="B34" s="21" t="s">
        <v>175</v>
      </c>
    </row>
    <row r="35" spans="2:13" x14ac:dyDescent="0.2">
      <c r="B35" s="2" t="s">
        <v>853</v>
      </c>
      <c r="F35" s="2" t="s">
        <v>851</v>
      </c>
      <c r="L35" s="36"/>
      <c r="M35" s="33">
        <f>M23-M22</f>
        <v>-26319384.081692517</v>
      </c>
    </row>
    <row r="36" spans="2:13" x14ac:dyDescent="0.2">
      <c r="B36" s="2" t="s">
        <v>855</v>
      </c>
      <c r="F36" s="2" t="s">
        <v>852</v>
      </c>
      <c r="L36" s="36"/>
      <c r="M36" s="23">
        <f>M35*$H$16</f>
        <v>-28877303.897926509</v>
      </c>
    </row>
    <row r="38" spans="2:13" x14ac:dyDescent="0.2">
      <c r="B38" s="21" t="s">
        <v>176</v>
      </c>
    </row>
    <row r="39" spans="2:13" x14ac:dyDescent="0.2">
      <c r="B39" s="2" t="s">
        <v>853</v>
      </c>
      <c r="F39" s="2" t="s">
        <v>851</v>
      </c>
      <c r="L39" s="33">
        <f>L27-L26</f>
        <v>-16474282.321543328</v>
      </c>
      <c r="M39" s="36"/>
    </row>
    <row r="40" spans="2:13" x14ac:dyDescent="0.2">
      <c r="B40" s="2" t="s">
        <v>856</v>
      </c>
      <c r="F40" s="2" t="s">
        <v>852</v>
      </c>
      <c r="L40" s="23">
        <f>L39*$H$16</f>
        <v>-18075379.561422173</v>
      </c>
      <c r="M40" s="36"/>
    </row>
  </sheetData>
  <dataConsolidate/>
  <mergeCells count="2">
    <mergeCell ref="B5:E5"/>
    <mergeCell ref="B8:E8"/>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C00D2-BAB6-4400-8525-A36914DAE9CA}">
  <sheetPr>
    <tabColor rgb="FFFFFFCC"/>
  </sheetPr>
  <dimension ref="A2:AC581"/>
  <sheetViews>
    <sheetView showGridLines="0" zoomScale="85" zoomScaleNormal="85" workbookViewId="0">
      <pane xSplit="6" ySplit="8" topLeftCell="G9" activePane="bottomRight" state="frozen"/>
      <selection activeCell="M62" sqref="M62"/>
      <selection pane="topRight" activeCell="M62" sqref="M62"/>
      <selection pane="bottomLeft" activeCell="M62" sqref="M62"/>
      <selection pane="bottomRight"/>
    </sheetView>
  </sheetViews>
  <sheetFormatPr defaultColWidth="9.140625" defaultRowHeight="12.75" x14ac:dyDescent="0.2"/>
  <cols>
    <col min="1" max="1" width="5.7109375" style="2" customWidth="1"/>
    <col min="2" max="2" width="88" style="2" customWidth="1"/>
    <col min="3" max="5" width="5.7109375" style="2" customWidth="1"/>
    <col min="6" max="6" width="13.7109375" style="2" customWidth="1"/>
    <col min="7" max="7" width="2.7109375" style="2" customWidth="1"/>
    <col min="8" max="8" width="13.7109375" style="2" customWidth="1"/>
    <col min="9" max="9" width="2.7109375" style="2" customWidth="1"/>
    <col min="10" max="12" width="22.7109375" style="2" customWidth="1"/>
    <col min="13" max="13" width="25" style="2" customWidth="1"/>
    <col min="14" max="19" width="22.7109375" style="2" customWidth="1"/>
    <col min="20" max="20" width="2.85546875" style="2" customWidth="1"/>
    <col min="21" max="22" width="22.7109375" style="2" customWidth="1"/>
    <col min="23" max="23" width="2.85546875" style="2" customWidth="1"/>
    <col min="24" max="29" width="22.7109375" style="2" customWidth="1"/>
    <col min="30" max="16384" width="9.140625" style="2"/>
  </cols>
  <sheetData>
    <row r="2" spans="2:29" s="13" customFormat="1" ht="18" x14ac:dyDescent="0.2">
      <c r="B2" s="13" t="s">
        <v>1058</v>
      </c>
    </row>
    <row r="4" spans="2:29" x14ac:dyDescent="0.2">
      <c r="B4" s="21" t="s">
        <v>52</v>
      </c>
      <c r="C4" s="1"/>
      <c r="D4" s="1"/>
    </row>
    <row r="5" spans="2:29" ht="66.75" customHeight="1" x14ac:dyDescent="0.2">
      <c r="B5" s="166" t="s">
        <v>635</v>
      </c>
      <c r="C5" s="166"/>
      <c r="D5" s="166"/>
      <c r="E5" s="166"/>
      <c r="H5" s="14"/>
    </row>
    <row r="6" spans="2:29" x14ac:dyDescent="0.2">
      <c r="C6" s="3"/>
      <c r="D6" s="3"/>
      <c r="H6" s="14"/>
    </row>
    <row r="7" spans="2:29" s="7" customFormat="1" x14ac:dyDescent="0.2">
      <c r="B7" s="7" t="s">
        <v>42</v>
      </c>
      <c r="F7" s="7" t="s">
        <v>24</v>
      </c>
      <c r="H7" s="7" t="s">
        <v>25</v>
      </c>
    </row>
    <row r="10" spans="2:29" s="7" customFormat="1" x14ac:dyDescent="0.2">
      <c r="B10" s="7" t="s">
        <v>45</v>
      </c>
      <c r="J10" s="54">
        <v>2021</v>
      </c>
      <c r="K10" s="54">
        <v>2022</v>
      </c>
      <c r="L10" s="54">
        <v>2023</v>
      </c>
      <c r="M10" s="54">
        <v>2024</v>
      </c>
      <c r="N10" s="54">
        <v>2025</v>
      </c>
      <c r="O10" s="54">
        <v>2026</v>
      </c>
      <c r="P10" s="54">
        <v>2027</v>
      </c>
      <c r="Q10" s="54"/>
      <c r="R10" s="54"/>
      <c r="S10" s="54"/>
      <c r="T10" s="54"/>
      <c r="U10" s="54"/>
      <c r="V10" s="54"/>
      <c r="W10" s="54"/>
      <c r="X10" s="54"/>
      <c r="Y10" s="54"/>
      <c r="Z10" s="54"/>
      <c r="AA10" s="54"/>
      <c r="AB10" s="54"/>
      <c r="AC10" s="54"/>
    </row>
    <row r="12" spans="2:29" x14ac:dyDescent="0.2">
      <c r="B12" s="21" t="s">
        <v>276</v>
      </c>
    </row>
    <row r="13" spans="2:29" x14ac:dyDescent="0.2">
      <c r="B13" s="2">
        <v>2000</v>
      </c>
      <c r="F13" s="2" t="s">
        <v>143</v>
      </c>
      <c r="J13" s="80">
        <f>'16. Berekening parameters'!AG30</f>
        <v>1.4800737161464377</v>
      </c>
      <c r="K13" s="80">
        <f>'16. Berekening parameters'!AH30</f>
        <v>1.5155954853339522</v>
      </c>
      <c r="L13" s="80">
        <f>'16. Berekening parameters'!AI30</f>
        <v>1.6974669435740266</v>
      </c>
      <c r="M13" s="80">
        <f>'16. Berekening parameters'!AJ30</f>
        <v>1.7483909518812475</v>
      </c>
      <c r="N13" s="80">
        <f>'16. Berekening parameters'!AK30</f>
        <v>1.8113330261489724</v>
      </c>
      <c r="O13" s="80">
        <f>'16. Berekening parameters'!AL30</f>
        <v>1.8620503508811437</v>
      </c>
      <c r="P13" s="145"/>
    </row>
    <row r="14" spans="2:29" x14ac:dyDescent="0.2">
      <c r="B14" s="2">
        <v>2001</v>
      </c>
      <c r="F14" s="2" t="s">
        <v>143</v>
      </c>
      <c r="J14" s="80">
        <f>'16. Berekening parameters'!AG31</f>
        <v>1.4439743572160377</v>
      </c>
      <c r="K14" s="80">
        <f>'16. Berekening parameters'!AH31</f>
        <v>1.4786297417892227</v>
      </c>
      <c r="L14" s="80">
        <f>'16. Berekening parameters'!AI31</f>
        <v>1.6560653108039296</v>
      </c>
      <c r="M14" s="80">
        <f>'16. Berekening parameters'!AJ31</f>
        <v>1.7057472701280476</v>
      </c>
      <c r="N14" s="80">
        <f>'16. Berekening parameters'!AK31</f>
        <v>1.7671541718526573</v>
      </c>
      <c r="O14" s="80">
        <f>'16. Berekening parameters'!AL31</f>
        <v>1.8166344886645318</v>
      </c>
      <c r="P14" s="145"/>
    </row>
    <row r="15" spans="2:29" x14ac:dyDescent="0.2">
      <c r="B15" s="2">
        <v>2002</v>
      </c>
      <c r="F15" s="2" t="s">
        <v>143</v>
      </c>
      <c r="J15" s="80">
        <f>'16. Berekening parameters'!AG32</f>
        <v>1.3791541138644097</v>
      </c>
      <c r="K15" s="80">
        <f>'16. Berekening parameters'!AH32</f>
        <v>1.4122538125971555</v>
      </c>
      <c r="L15" s="80">
        <f>'16. Berekening parameters'!AI32</f>
        <v>1.5817242701088143</v>
      </c>
      <c r="M15" s="80">
        <f>'16. Berekening parameters'!AJ32</f>
        <v>1.6291759982120788</v>
      </c>
      <c r="N15" s="80">
        <f>'16. Berekening parameters'!AK32</f>
        <v>1.6878263341477138</v>
      </c>
      <c r="O15" s="80">
        <f>'16. Berekening parameters'!AL32</f>
        <v>1.7350854715038497</v>
      </c>
      <c r="P15" s="145"/>
    </row>
    <row r="16" spans="2:29" x14ac:dyDescent="0.2">
      <c r="B16" s="2">
        <v>2003</v>
      </c>
      <c r="F16" s="2" t="s">
        <v>143</v>
      </c>
      <c r="J16" s="80">
        <f>'16. Berekening parameters'!AG33</f>
        <v>1.3350959475938147</v>
      </c>
      <c r="K16" s="80">
        <f>'16. Berekening parameters'!AH33</f>
        <v>1.3671382503360663</v>
      </c>
      <c r="L16" s="80">
        <f>'16. Berekening parameters'!AI33</f>
        <v>1.5311948403763944</v>
      </c>
      <c r="M16" s="80">
        <f>'16. Berekening parameters'!AJ33</f>
        <v>1.5771306855876863</v>
      </c>
      <c r="N16" s="80">
        <f>'16. Berekening parameters'!AK33</f>
        <v>1.633907390268843</v>
      </c>
      <c r="O16" s="80">
        <f>'16. Berekening parameters'!AL33</f>
        <v>1.6796567971963707</v>
      </c>
      <c r="P16" s="145"/>
    </row>
    <row r="17" spans="2:16" x14ac:dyDescent="0.2">
      <c r="B17" s="2">
        <v>2004</v>
      </c>
      <c r="F17" s="2" t="s">
        <v>143</v>
      </c>
      <c r="J17" s="80">
        <f>'16. Berekening parameters'!AG34</f>
        <v>1.3076355999939411</v>
      </c>
      <c r="K17" s="80">
        <f>'16. Berekening parameters'!AH34</f>
        <v>1.3390188543937958</v>
      </c>
      <c r="L17" s="80">
        <f>'16. Berekening parameters'!AI34</f>
        <v>1.4997011169210515</v>
      </c>
      <c r="M17" s="80">
        <f>'16. Berekening parameters'!AJ34</f>
        <v>1.544692150428683</v>
      </c>
      <c r="N17" s="80">
        <f>'16. Berekening parameters'!AK34</f>
        <v>1.6003010678441156</v>
      </c>
      <c r="O17" s="80">
        <f>'16. Berekening parameters'!AL34</f>
        <v>1.6451094977437508</v>
      </c>
      <c r="P17" s="145"/>
    </row>
    <row r="18" spans="2:16" x14ac:dyDescent="0.2">
      <c r="B18" s="2">
        <v>2005</v>
      </c>
      <c r="F18" s="2" t="s">
        <v>143</v>
      </c>
      <c r="J18" s="80">
        <f>'16. Berekening parameters'!AG35</f>
        <v>1.2934081107754118</v>
      </c>
      <c r="K18" s="80">
        <f>'16. Berekening parameters'!AH35</f>
        <v>1.3244499054340217</v>
      </c>
      <c r="L18" s="80">
        <f>'16. Berekening parameters'!AI35</f>
        <v>1.4833838940861046</v>
      </c>
      <c r="M18" s="80">
        <f>'16. Berekening parameters'!AJ35</f>
        <v>1.5278854109086877</v>
      </c>
      <c r="N18" s="80">
        <f>'16. Berekening parameters'!AK35</f>
        <v>1.5828892857014005</v>
      </c>
      <c r="O18" s="80">
        <f>'16. Berekening parameters'!AL35</f>
        <v>1.6272101857010397</v>
      </c>
      <c r="P18" s="145"/>
    </row>
    <row r="19" spans="2:16" x14ac:dyDescent="0.2">
      <c r="B19" s="2">
        <v>2006</v>
      </c>
      <c r="F19" s="2" t="s">
        <v>143</v>
      </c>
      <c r="J19" s="80">
        <f>'16. Berekening parameters'!AG36</f>
        <v>1.270538419229285</v>
      </c>
      <c r="K19" s="80">
        <f>'16. Berekening parameters'!AH36</f>
        <v>1.3010313412907879</v>
      </c>
      <c r="L19" s="80">
        <f>'16. Berekening parameters'!AI36</f>
        <v>1.4571551022456826</v>
      </c>
      <c r="M19" s="80">
        <f>'16. Berekening parameters'!AJ36</f>
        <v>1.500869755313053</v>
      </c>
      <c r="N19" s="80">
        <f>'16. Berekening parameters'!AK36</f>
        <v>1.554901066504323</v>
      </c>
      <c r="O19" s="80">
        <f>'16. Berekening parameters'!AL36</f>
        <v>1.5984382963664441</v>
      </c>
      <c r="P19" s="145"/>
    </row>
    <row r="20" spans="2:16" x14ac:dyDescent="0.2">
      <c r="B20" s="2">
        <v>2007</v>
      </c>
      <c r="F20" s="2" t="s">
        <v>143</v>
      </c>
      <c r="J20" s="80">
        <f>'16. Berekening parameters'!AG37</f>
        <v>1.2529964686679333</v>
      </c>
      <c r="K20" s="80">
        <f>'16. Berekening parameters'!AH37</f>
        <v>1.2830683839159638</v>
      </c>
      <c r="L20" s="80">
        <f>'16. Berekening parameters'!AI37</f>
        <v>1.4370365899858795</v>
      </c>
      <c r="M20" s="80">
        <f>'16. Berekening parameters'!AJ37</f>
        <v>1.4801476876854558</v>
      </c>
      <c r="N20" s="80">
        <f>'16. Berekening parameters'!AK37</f>
        <v>1.5334330044421323</v>
      </c>
      <c r="O20" s="80">
        <f>'16. Berekening parameters'!AL37</f>
        <v>1.576369128566512</v>
      </c>
      <c r="P20" s="145"/>
    </row>
    <row r="21" spans="2:16" x14ac:dyDescent="0.2">
      <c r="B21" s="2">
        <v>2008</v>
      </c>
      <c r="F21" s="2" t="s">
        <v>143</v>
      </c>
      <c r="J21" s="80">
        <f>'16. Berekening parameters'!AG38</f>
        <v>1.2393634704925161</v>
      </c>
      <c r="K21" s="80">
        <f>'16. Berekening parameters'!AH38</f>
        <v>1.2691081937843365</v>
      </c>
      <c r="L21" s="80">
        <f>'16. Berekening parameters'!AI38</f>
        <v>1.4214011770384569</v>
      </c>
      <c r="M21" s="80">
        <f>'16. Berekening parameters'!AJ38</f>
        <v>1.4640432123496108</v>
      </c>
      <c r="N21" s="80">
        <f>'16. Berekening parameters'!AK38</f>
        <v>1.5167487679941969</v>
      </c>
      <c r="O21" s="80">
        <f>'16. Berekening parameters'!AL38</f>
        <v>1.5592177334980344</v>
      </c>
      <c r="P21" s="145"/>
    </row>
    <row r="22" spans="2:16" x14ac:dyDescent="0.2">
      <c r="B22" s="2">
        <v>2009</v>
      </c>
      <c r="F22" s="2" t="s">
        <v>143</v>
      </c>
      <c r="J22" s="80">
        <f>'16. Berekening parameters'!AG39</f>
        <v>1.200933595438485</v>
      </c>
      <c r="K22" s="80">
        <f>'16. Berekening parameters'!AH39</f>
        <v>1.2297560017290086</v>
      </c>
      <c r="L22" s="80">
        <f>'16. Berekening parameters'!AI39</f>
        <v>1.3773267219364898</v>
      </c>
      <c r="M22" s="80">
        <f>'16. Berekening parameters'!AJ39</f>
        <v>1.4186465235945844</v>
      </c>
      <c r="N22" s="80">
        <f>'16. Berekening parameters'!AK39</f>
        <v>1.4697177984439895</v>
      </c>
      <c r="O22" s="80">
        <f>'16. Berekening parameters'!AL39</f>
        <v>1.5108698968004213</v>
      </c>
      <c r="P22" s="145"/>
    </row>
    <row r="23" spans="2:16" x14ac:dyDescent="0.2">
      <c r="B23" s="2">
        <v>2010</v>
      </c>
      <c r="F23" s="2" t="s">
        <v>143</v>
      </c>
      <c r="J23" s="80">
        <f>'16. Berekening parameters'!AG40</f>
        <v>1.197341570726306</v>
      </c>
      <c r="K23" s="80">
        <f>'16. Berekening parameters'!AH40</f>
        <v>1.2260777684237374</v>
      </c>
      <c r="L23" s="80">
        <f>'16. Berekening parameters'!AI40</f>
        <v>1.3732071006345861</v>
      </c>
      <c r="M23" s="80">
        <f>'16. Berekening parameters'!AJ40</f>
        <v>1.4144033136536236</v>
      </c>
      <c r="N23" s="80">
        <f>'16. Berekening parameters'!AK40</f>
        <v>1.4653218329451541</v>
      </c>
      <c r="O23" s="80">
        <f>'16. Berekening parameters'!AL40</f>
        <v>1.5063508442676183</v>
      </c>
      <c r="P23" s="145"/>
    </row>
    <row r="24" spans="2:16" x14ac:dyDescent="0.2">
      <c r="B24" s="2">
        <v>2011</v>
      </c>
      <c r="F24" s="2" t="s">
        <v>143</v>
      </c>
      <c r="J24" s="80">
        <f>'16. Berekening parameters'!AG41</f>
        <v>1.1796468677106466</v>
      </c>
      <c r="K24" s="80">
        <f>'16. Berekening parameters'!AH41</f>
        <v>1.2079583925357023</v>
      </c>
      <c r="L24" s="80">
        <f>'16. Berekening parameters'!AI41</f>
        <v>1.3529133996399867</v>
      </c>
      <c r="M24" s="80">
        <f>'16. Berekening parameters'!AJ41</f>
        <v>1.3935008016291863</v>
      </c>
      <c r="N24" s="80">
        <f>'16. Berekening parameters'!AK41</f>
        <v>1.4436668304878371</v>
      </c>
      <c r="O24" s="80">
        <f>'16. Berekening parameters'!AL41</f>
        <v>1.4840895017414966</v>
      </c>
      <c r="P24" s="145"/>
    </row>
    <row r="25" spans="2:16" x14ac:dyDescent="0.2">
      <c r="B25" s="2">
        <v>2012</v>
      </c>
      <c r="F25" s="2" t="s">
        <v>143</v>
      </c>
      <c r="J25" s="80">
        <f>'16. Berekening parameters'!AG42</f>
        <v>1.1497532823690508</v>
      </c>
      <c r="K25" s="80">
        <f>'16. Berekening parameters'!AH42</f>
        <v>1.177347361145908</v>
      </c>
      <c r="L25" s="80">
        <f>'16. Berekening parameters'!AI42</f>
        <v>1.318629044483417</v>
      </c>
      <c r="M25" s="80">
        <f>'16. Berekening parameters'!AJ42</f>
        <v>1.3581879158179195</v>
      </c>
      <c r="N25" s="80">
        <f>'16. Berekening parameters'!AK42</f>
        <v>1.4070826807873646</v>
      </c>
      <c r="O25" s="80">
        <f>'16. Berekening parameters'!AL42</f>
        <v>1.4464809958494109</v>
      </c>
      <c r="P25" s="145"/>
    </row>
    <row r="26" spans="2:16" x14ac:dyDescent="0.2">
      <c r="B26" s="2">
        <v>2013</v>
      </c>
      <c r="F26" s="2" t="s">
        <v>143</v>
      </c>
      <c r="J26" s="80">
        <f>'16. Berekening parameters'!AG43</f>
        <v>1.1239035018270298</v>
      </c>
      <c r="K26" s="80">
        <f>'16. Berekening parameters'!AH43</f>
        <v>1.1508771858708786</v>
      </c>
      <c r="L26" s="80">
        <f>'16. Berekening parameters'!AI43</f>
        <v>1.2889824481753842</v>
      </c>
      <c r="M26" s="80">
        <f>'16. Berekening parameters'!AJ43</f>
        <v>1.3276519216206457</v>
      </c>
      <c r="N26" s="80">
        <f>'16. Berekening parameters'!AK43</f>
        <v>1.375447390798989</v>
      </c>
      <c r="O26" s="80">
        <f>'16. Berekening parameters'!AL43</f>
        <v>1.4139599177413607</v>
      </c>
      <c r="P26" s="145"/>
    </row>
    <row r="27" spans="2:16" x14ac:dyDescent="0.2">
      <c r="B27" s="2">
        <v>2014</v>
      </c>
      <c r="F27" s="2" t="s">
        <v>143</v>
      </c>
      <c r="J27" s="80">
        <f>'16. Berekening parameters'!AG44</f>
        <v>1.0932913441897176</v>
      </c>
      <c r="K27" s="80">
        <f>'16. Berekening parameters'!AH44</f>
        <v>1.1195303364502709</v>
      </c>
      <c r="L27" s="80">
        <f>'16. Berekening parameters'!AI44</f>
        <v>1.2538739768243035</v>
      </c>
      <c r="M27" s="80">
        <f>'16. Berekening parameters'!AJ44</f>
        <v>1.2914901961290326</v>
      </c>
      <c r="N27" s="80">
        <f>'16. Berekening parameters'!AK44</f>
        <v>1.3379838431896778</v>
      </c>
      <c r="O27" s="80">
        <f>'16. Berekening parameters'!AL44</f>
        <v>1.3754473907989888</v>
      </c>
      <c r="P27" s="145"/>
    </row>
    <row r="28" spans="2:16" x14ac:dyDescent="0.2">
      <c r="B28" s="2">
        <v>2015</v>
      </c>
      <c r="F28" s="2" t="s">
        <v>143</v>
      </c>
      <c r="J28" s="80">
        <f>'16. Berekening parameters'!AG45</f>
        <v>1.0824666774155618</v>
      </c>
      <c r="K28" s="80">
        <f>'16. Berekening parameters'!AH45</f>
        <v>1.1084458776735353</v>
      </c>
      <c r="L28" s="80">
        <f>'16. Berekening parameters'!AI45</f>
        <v>1.2414593829943597</v>
      </c>
      <c r="M28" s="80">
        <f>'16. Berekening parameters'!AJ45</f>
        <v>1.2787031644841904</v>
      </c>
      <c r="N28" s="80">
        <f>'16. Berekening parameters'!AK45</f>
        <v>1.3247364784056213</v>
      </c>
      <c r="O28" s="80">
        <f>'16. Berekening parameters'!AL45</f>
        <v>1.3618290998009788</v>
      </c>
      <c r="P28" s="145"/>
    </row>
    <row r="29" spans="2:16" x14ac:dyDescent="0.2">
      <c r="B29" s="2">
        <v>2016</v>
      </c>
      <c r="F29" s="2" t="s">
        <v>143</v>
      </c>
      <c r="J29" s="80">
        <f>'16. Berekening parameters'!AG46</f>
        <v>1.0738756720392475</v>
      </c>
      <c r="K29" s="80">
        <f>'16. Berekening parameters'!AH46</f>
        <v>1.0996486881681895</v>
      </c>
      <c r="L29" s="80">
        <f>'16. Berekening parameters'!AI46</f>
        <v>1.2316065307483723</v>
      </c>
      <c r="M29" s="80">
        <f>'16. Berekening parameters'!AJ46</f>
        <v>1.2685547266708235</v>
      </c>
      <c r="N29" s="80">
        <f>'16. Berekening parameters'!AK46</f>
        <v>1.3142226968309731</v>
      </c>
      <c r="O29" s="80">
        <f>'16. Berekening parameters'!AL46</f>
        <v>1.3510209323422404</v>
      </c>
      <c r="P29" s="145"/>
    </row>
    <row r="30" spans="2:16" x14ac:dyDescent="0.2">
      <c r="B30" s="2">
        <v>2017</v>
      </c>
      <c r="F30" s="2" t="s">
        <v>143</v>
      </c>
      <c r="J30" s="80">
        <f>'16. Berekening parameters'!AG47</f>
        <v>1.0717322076239999</v>
      </c>
      <c r="K30" s="80">
        <f>'16. Berekening parameters'!AH47</f>
        <v>1.097453780606976</v>
      </c>
      <c r="L30" s="80">
        <f>'16. Berekening parameters'!AI47</f>
        <v>1.2291482342798132</v>
      </c>
      <c r="M30" s="80">
        <f>'16. Berekening parameters'!AJ47</f>
        <v>1.2660226813082076</v>
      </c>
      <c r="N30" s="80">
        <f>'16. Berekening parameters'!AK47</f>
        <v>1.3115994978353032</v>
      </c>
      <c r="O30" s="80">
        <f>'16. Berekening parameters'!AL47</f>
        <v>1.3483242837746916</v>
      </c>
      <c r="P30" s="145"/>
    </row>
    <row r="31" spans="2:16" x14ac:dyDescent="0.2">
      <c r="B31" s="2">
        <v>2018</v>
      </c>
      <c r="F31" s="2" t="s">
        <v>143</v>
      </c>
      <c r="J31" s="80">
        <f>'16. Berekening parameters'!AG48</f>
        <v>1.0569351159999998</v>
      </c>
      <c r="K31" s="80">
        <f>'16. Berekening parameters'!AH48</f>
        <v>1.0823015587839997</v>
      </c>
      <c r="L31" s="80">
        <f>'16. Berekening parameters'!AI48</f>
        <v>1.2121777458380798</v>
      </c>
      <c r="M31" s="80">
        <f>'16. Berekening parameters'!AJ48</f>
        <v>1.2485430782132223</v>
      </c>
      <c r="N31" s="80">
        <f>'16. Berekening parameters'!AK48</f>
        <v>1.2934906290288983</v>
      </c>
      <c r="O31" s="80">
        <f>'16. Berekening parameters'!AL48</f>
        <v>1.3297083666417076</v>
      </c>
      <c r="P31" s="145"/>
    </row>
    <row r="32" spans="2:16" x14ac:dyDescent="0.2">
      <c r="B32" s="2">
        <v>2019</v>
      </c>
      <c r="F32" s="2" t="s">
        <v>143</v>
      </c>
      <c r="J32" s="80">
        <f>'16. Berekening parameters'!AG49</f>
        <v>1.035196</v>
      </c>
      <c r="K32" s="80">
        <f>'16. Berekening parameters'!AH49</f>
        <v>1.0600407039999999</v>
      </c>
      <c r="L32" s="80">
        <f>'16. Berekening parameters'!AI49</f>
        <v>1.1872455884799999</v>
      </c>
      <c r="M32" s="80">
        <f>'16. Berekening parameters'!AJ49</f>
        <v>1.2228629561344</v>
      </c>
      <c r="N32" s="80">
        <f>'16. Berekening parameters'!AK49</f>
        <v>1.2668860225552385</v>
      </c>
      <c r="O32" s="80">
        <f>'16. Berekening parameters'!AL49</f>
        <v>1.3023588311867853</v>
      </c>
      <c r="P32" s="145"/>
    </row>
    <row r="33" spans="2:16" x14ac:dyDescent="0.2">
      <c r="B33" s="2">
        <v>2020</v>
      </c>
      <c r="F33" s="2" t="s">
        <v>143</v>
      </c>
      <c r="J33" s="80">
        <f>'16. Berekening parameters'!AG50</f>
        <v>1.0069999999999999</v>
      </c>
      <c r="K33" s="80">
        <f>'16. Berekening parameters'!AH50</f>
        <v>1.0311679999999999</v>
      </c>
      <c r="L33" s="80">
        <f>'16. Berekening parameters'!AI50</f>
        <v>1.15490816</v>
      </c>
      <c r="M33" s="80">
        <f>'16. Berekening parameters'!AJ50</f>
        <v>1.1895554047999999</v>
      </c>
      <c r="N33" s="80">
        <f>'16. Berekening parameters'!AK50</f>
        <v>1.2323793993727998</v>
      </c>
      <c r="O33" s="80">
        <f>'16. Berekening parameters'!AL50</f>
        <v>1.2668860225552383</v>
      </c>
      <c r="P33" s="145"/>
    </row>
    <row r="34" spans="2:16" x14ac:dyDescent="0.2">
      <c r="B34" s="2">
        <v>2021</v>
      </c>
      <c r="F34" s="2" t="s">
        <v>143</v>
      </c>
      <c r="J34" s="80">
        <f>'16. Berekening parameters'!AG51</f>
        <v>1</v>
      </c>
      <c r="K34" s="80">
        <f>'16. Berekening parameters'!AH51</f>
        <v>1.024</v>
      </c>
      <c r="L34" s="80">
        <f>'16. Berekening parameters'!AI51</f>
        <v>1.1468800000000001</v>
      </c>
      <c r="M34" s="80">
        <f>'16. Berekening parameters'!AJ51</f>
        <v>1.1812864000000001</v>
      </c>
      <c r="N34" s="80">
        <f>'16. Berekening parameters'!AK51</f>
        <v>1.2238127104000001</v>
      </c>
      <c r="O34" s="80">
        <f>'16. Berekening parameters'!AL51</f>
        <v>1.2580794662912</v>
      </c>
      <c r="P34" s="145"/>
    </row>
    <row r="35" spans="2:16" x14ac:dyDescent="0.2">
      <c r="B35" s="2">
        <v>2022</v>
      </c>
      <c r="F35" s="2" t="s">
        <v>143</v>
      </c>
      <c r="J35" s="36"/>
      <c r="K35" s="80">
        <f>'16. Berekening parameters'!AH52</f>
        <v>1</v>
      </c>
      <c r="L35" s="80">
        <f>'16. Berekening parameters'!AI52</f>
        <v>1.1200000000000001</v>
      </c>
      <c r="M35" s="80">
        <f>'16. Berekening parameters'!AJ52</f>
        <v>1.1536000000000002</v>
      </c>
      <c r="N35" s="80">
        <f>'16. Berekening parameters'!AK52</f>
        <v>1.1951296000000002</v>
      </c>
      <c r="O35" s="80">
        <f>'16. Berekening parameters'!AL52</f>
        <v>1.2285932288000003</v>
      </c>
      <c r="P35" s="145"/>
    </row>
    <row r="36" spans="2:16" x14ac:dyDescent="0.2">
      <c r="B36" s="2">
        <v>2023</v>
      </c>
      <c r="F36" s="2" t="s">
        <v>143</v>
      </c>
      <c r="J36" s="36"/>
      <c r="K36" s="36"/>
      <c r="L36" s="80">
        <f>'16. Berekening parameters'!AI53</f>
        <v>1</v>
      </c>
      <c r="M36" s="80">
        <f>'16. Berekening parameters'!AJ53</f>
        <v>1.03</v>
      </c>
      <c r="N36" s="80">
        <f>'16. Berekening parameters'!AK53</f>
        <v>1.06708</v>
      </c>
      <c r="O36" s="80">
        <f>'16. Berekening parameters'!AL53</f>
        <v>1.09695824</v>
      </c>
      <c r="P36" s="145"/>
    </row>
    <row r="37" spans="2:16" x14ac:dyDescent="0.2">
      <c r="B37" s="2">
        <v>2024</v>
      </c>
      <c r="F37" s="2" t="s">
        <v>143</v>
      </c>
      <c r="J37" s="36"/>
      <c r="K37" s="36"/>
      <c r="L37" s="36"/>
      <c r="M37" s="80">
        <f>'16. Berekening parameters'!AJ54</f>
        <v>1</v>
      </c>
      <c r="N37" s="80">
        <f>'16. Berekening parameters'!AK54</f>
        <v>1.036</v>
      </c>
      <c r="O37" s="80">
        <f>'16. Berekening parameters'!AL54</f>
        <v>1.065008</v>
      </c>
      <c r="P37" s="145"/>
    </row>
    <row r="38" spans="2:16" x14ac:dyDescent="0.2">
      <c r="B38" s="2">
        <v>2025</v>
      </c>
      <c r="F38" s="2" t="s">
        <v>143</v>
      </c>
      <c r="J38" s="36"/>
      <c r="K38" s="36"/>
      <c r="L38" s="36"/>
      <c r="M38" s="36"/>
      <c r="N38" s="80">
        <f>'16. Berekening parameters'!AK55</f>
        <v>1</v>
      </c>
      <c r="O38" s="80">
        <f>'16. Berekening parameters'!AL55</f>
        <v>1.028</v>
      </c>
      <c r="P38" s="145"/>
    </row>
    <row r="39" spans="2:16" x14ac:dyDescent="0.2">
      <c r="B39" s="2">
        <v>2026</v>
      </c>
      <c r="F39" s="2" t="s">
        <v>143</v>
      </c>
      <c r="J39" s="36"/>
      <c r="K39" s="36"/>
      <c r="L39" s="36"/>
      <c r="M39" s="36"/>
      <c r="N39" s="36"/>
      <c r="O39" s="80">
        <f>'16. Berekening parameters'!AL56</f>
        <v>1</v>
      </c>
      <c r="P39" s="145"/>
    </row>
    <row r="41" spans="2:16" x14ac:dyDescent="0.2">
      <c r="B41" s="21" t="s">
        <v>322</v>
      </c>
    </row>
    <row r="42" spans="2:16" x14ac:dyDescent="0.2">
      <c r="B42" s="2">
        <v>2021</v>
      </c>
      <c r="F42" s="2" t="s">
        <v>278</v>
      </c>
      <c r="J42" s="80">
        <f>'16. Berekening parameters'!AG69</f>
        <v>1</v>
      </c>
      <c r="K42" s="80">
        <f>'16. Berekening parameters'!AH69</f>
        <v>0.995</v>
      </c>
      <c r="L42" s="80">
        <f>'16. Berekening parameters'!AI69</f>
        <v>0.99002500000000004</v>
      </c>
      <c r="M42" s="80">
        <f>'16. Berekening parameters'!AJ69</f>
        <v>0.98507487500000002</v>
      </c>
      <c r="N42" s="80">
        <f>'16. Berekening parameters'!AK69</f>
        <v>0.98014950062500006</v>
      </c>
      <c r="O42" s="80">
        <f>'16. Berekening parameters'!AL69</f>
        <v>0.97524875312187509</v>
      </c>
      <c r="P42" s="145"/>
    </row>
    <row r="43" spans="2:16" x14ac:dyDescent="0.2">
      <c r="B43" s="2">
        <v>2022</v>
      </c>
      <c r="F43" s="2" t="s">
        <v>278</v>
      </c>
      <c r="J43" s="36"/>
      <c r="K43" s="80">
        <f>'16. Berekening parameters'!AH70</f>
        <v>1</v>
      </c>
      <c r="L43" s="80">
        <f>'16. Berekening parameters'!AI70</f>
        <v>0.995</v>
      </c>
      <c r="M43" s="80">
        <f>'16. Berekening parameters'!AJ70</f>
        <v>0.99002500000000004</v>
      </c>
      <c r="N43" s="80">
        <f>'16. Berekening parameters'!AK70</f>
        <v>0.98507487500000002</v>
      </c>
      <c r="O43" s="80">
        <f>'16. Berekening parameters'!AL70</f>
        <v>0.98014950062500006</v>
      </c>
      <c r="P43" s="145"/>
    </row>
    <row r="44" spans="2:16" x14ac:dyDescent="0.2">
      <c r="B44" s="2">
        <v>2023</v>
      </c>
      <c r="F44" s="2" t="s">
        <v>278</v>
      </c>
      <c r="J44" s="36"/>
      <c r="K44" s="36"/>
      <c r="L44" s="80">
        <f>'16. Berekening parameters'!AI71</f>
        <v>1</v>
      </c>
      <c r="M44" s="80">
        <f>'16. Berekening parameters'!AJ71</f>
        <v>0.995</v>
      </c>
      <c r="N44" s="80">
        <f>'16. Berekening parameters'!AK71</f>
        <v>0.99002500000000004</v>
      </c>
      <c r="O44" s="80">
        <f>'16. Berekening parameters'!AL71</f>
        <v>0.98507487500000002</v>
      </c>
      <c r="P44" s="145"/>
    </row>
    <row r="45" spans="2:16" x14ac:dyDescent="0.2">
      <c r="B45" s="2">
        <v>2024</v>
      </c>
      <c r="F45" s="2" t="s">
        <v>278</v>
      </c>
      <c r="J45" s="36"/>
      <c r="K45" s="36"/>
      <c r="L45" s="36"/>
      <c r="M45" s="80">
        <f>'16. Berekening parameters'!AJ72</f>
        <v>1</v>
      </c>
      <c r="N45" s="80">
        <f>'16. Berekening parameters'!AK72</f>
        <v>0.995</v>
      </c>
      <c r="O45" s="80">
        <f>'16. Berekening parameters'!AL72</f>
        <v>0.99002500000000004</v>
      </c>
      <c r="P45" s="145"/>
    </row>
    <row r="46" spans="2:16" x14ac:dyDescent="0.2">
      <c r="B46" s="2">
        <v>2025</v>
      </c>
      <c r="F46" s="2" t="s">
        <v>278</v>
      </c>
      <c r="J46" s="36"/>
      <c r="K46" s="36"/>
      <c r="L46" s="36"/>
      <c r="M46" s="36"/>
      <c r="N46" s="80">
        <f>'16. Berekening parameters'!AK73</f>
        <v>1</v>
      </c>
      <c r="O46" s="80">
        <f>'16. Berekening parameters'!AL73</f>
        <v>0.995</v>
      </c>
      <c r="P46" s="145"/>
    </row>
    <row r="47" spans="2:16" x14ac:dyDescent="0.2">
      <c r="B47" s="2">
        <v>2026</v>
      </c>
      <c r="F47" s="2" t="s">
        <v>278</v>
      </c>
      <c r="J47" s="36"/>
      <c r="K47" s="36"/>
      <c r="L47" s="36"/>
      <c r="M47" s="36"/>
      <c r="N47" s="36"/>
      <c r="O47" s="80">
        <f>'16. Berekening parameters'!AL74</f>
        <v>1</v>
      </c>
      <c r="P47" s="145"/>
    </row>
    <row r="48" spans="2:16" x14ac:dyDescent="0.2">
      <c r="J48"/>
      <c r="K48"/>
    </row>
    <row r="49" spans="2:16" x14ac:dyDescent="0.2">
      <c r="B49" s="21" t="s">
        <v>324</v>
      </c>
      <c r="J49"/>
      <c r="K49"/>
    </row>
    <row r="50" spans="2:16" x14ac:dyDescent="0.2">
      <c r="B50" s="2">
        <v>2022</v>
      </c>
      <c r="F50" s="2" t="s">
        <v>143</v>
      </c>
      <c r="J50" s="36"/>
      <c r="K50" s="80">
        <f>'16. Berekening parameters'!AH87</f>
        <v>1</v>
      </c>
      <c r="L50" s="80">
        <f>'16. Berekening parameters'!AI87</f>
        <v>1.0299514551666986</v>
      </c>
      <c r="M50" s="80">
        <f>'16. Berekening parameters'!AJ87</f>
        <v>1.0968862110538176</v>
      </c>
      <c r="N50" s="80">
        <f>'16. Berekening parameters'!AK87</f>
        <v>1.1681709404500698</v>
      </c>
      <c r="O50" s="80">
        <f>'16. Berekening parameters'!AL87</f>
        <v>1.2265238590234881</v>
      </c>
      <c r="P50" s="80">
        <f>'16. Berekening parameters'!AM87</f>
        <v>1.2817027612575491</v>
      </c>
    </row>
    <row r="51" spans="2:16" x14ac:dyDescent="0.2">
      <c r="B51" s="2">
        <v>2023</v>
      </c>
      <c r="F51" s="2" t="s">
        <v>143</v>
      </c>
      <c r="J51" s="36"/>
      <c r="K51" s="36"/>
      <c r="L51" s="80">
        <f>'16. Berekening parameters'!AI88</f>
        <v>1</v>
      </c>
      <c r="M51" s="80">
        <f>'16. Berekening parameters'!AJ88</f>
        <v>1.0649882628461218</v>
      </c>
      <c r="N51" s="80">
        <f>'16. Berekening parameters'!AK88</f>
        <v>1.1342000000000003</v>
      </c>
      <c r="O51" s="80">
        <f>'16. Berekening parameters'!AL88</f>
        <v>1.1908559892514294</v>
      </c>
      <c r="P51" s="80">
        <f>'16. Berekening parameters'!AM88</f>
        <v>1.2444302639973495</v>
      </c>
    </row>
    <row r="52" spans="2:16" x14ac:dyDescent="0.2">
      <c r="B52" s="2">
        <v>2024</v>
      </c>
      <c r="F52" s="2" t="s">
        <v>143</v>
      </c>
      <c r="J52" s="36"/>
      <c r="K52" s="36"/>
      <c r="L52" s="36"/>
      <c r="M52" s="80">
        <f>'16. Berekening parameters'!AJ89</f>
        <v>1</v>
      </c>
      <c r="N52" s="80">
        <f>'16. Berekening parameters'!AK89</f>
        <v>1.0649882628461218</v>
      </c>
      <c r="O52" s="80">
        <f>'16. Berekening parameters'!AL89</f>
        <v>1.1181869611116024</v>
      </c>
      <c r="P52" s="80">
        <f>'16. Berekening parameters'!AM89</f>
        <v>1.1684919988429534</v>
      </c>
    </row>
    <row r="53" spans="2:16" x14ac:dyDescent="0.2">
      <c r="B53" s="2">
        <v>2025</v>
      </c>
      <c r="F53" s="2" t="s">
        <v>143</v>
      </c>
      <c r="J53" s="36"/>
      <c r="K53" s="36"/>
      <c r="L53" s="36"/>
      <c r="M53" s="36"/>
      <c r="N53" s="80">
        <f>'16. Berekening parameters'!AK90</f>
        <v>1</v>
      </c>
      <c r="O53" s="80">
        <f>'16. Berekening parameters'!AL90</f>
        <v>1.049952379872535</v>
      </c>
      <c r="P53" s="80">
        <f>'16. Berekening parameters'!AM90</f>
        <v>1.0971876776559242</v>
      </c>
    </row>
    <row r="54" spans="2:16" x14ac:dyDescent="0.2">
      <c r="B54" s="2">
        <v>2026</v>
      </c>
      <c r="F54" s="2" t="s">
        <v>143</v>
      </c>
      <c r="J54" s="36"/>
      <c r="K54" s="36"/>
      <c r="L54" s="36"/>
      <c r="M54" s="36"/>
      <c r="N54" s="36"/>
      <c r="O54" s="80">
        <f>'16. Berekening parameters'!AL91</f>
        <v>1</v>
      </c>
      <c r="P54" s="80">
        <f>'16. Berekening parameters'!AM91</f>
        <v>1.0449880382090506</v>
      </c>
    </row>
    <row r="55" spans="2:16" x14ac:dyDescent="0.2">
      <c r="B55" s="2">
        <v>2027</v>
      </c>
      <c r="F55" s="2" t="s">
        <v>143</v>
      </c>
      <c r="J55" s="36"/>
      <c r="K55" s="36"/>
      <c r="L55" s="36"/>
      <c r="M55" s="36"/>
      <c r="N55" s="36"/>
      <c r="O55" s="36"/>
      <c r="P55" s="80">
        <f>'16. Berekening parameters'!AM92</f>
        <v>1</v>
      </c>
    </row>
    <row r="57" spans="2:16" x14ac:dyDescent="0.2">
      <c r="B57" s="21" t="s">
        <v>286</v>
      </c>
    </row>
    <row r="58" spans="2:16" x14ac:dyDescent="0.2">
      <c r="B58" s="2" t="s">
        <v>286</v>
      </c>
      <c r="F58" s="2" t="s">
        <v>112</v>
      </c>
      <c r="H58" s="73">
        <f>'9. Parameters'!H34</f>
        <v>0.01</v>
      </c>
    </row>
    <row r="60" spans="2:16" x14ac:dyDescent="0.2">
      <c r="B60" s="21" t="s">
        <v>271</v>
      </c>
    </row>
    <row r="61" spans="2:16" x14ac:dyDescent="0.2">
      <c r="B61" s="2" t="s">
        <v>272</v>
      </c>
      <c r="F61" s="2" t="s">
        <v>112</v>
      </c>
      <c r="J61" s="73">
        <f>'9. Parameters'!AG38</f>
        <v>1</v>
      </c>
      <c r="K61" s="73">
        <f>'9. Parameters'!AH38</f>
        <v>1</v>
      </c>
      <c r="L61" s="73">
        <f>'9. Parameters'!AI38</f>
        <v>1</v>
      </c>
      <c r="M61" s="73">
        <f>'9. Parameters'!AJ38</f>
        <v>1</v>
      </c>
      <c r="N61" s="73">
        <f>'9. Parameters'!AK38</f>
        <v>1</v>
      </c>
      <c r="O61" s="73">
        <f>'9. Parameters'!AL38</f>
        <v>1</v>
      </c>
      <c r="P61" s="145"/>
    </row>
    <row r="63" spans="2:16" x14ac:dyDescent="0.2">
      <c r="B63" s="21" t="s">
        <v>287</v>
      </c>
    </row>
    <row r="64" spans="2:16" x14ac:dyDescent="0.2">
      <c r="B64" s="2" t="s">
        <v>228</v>
      </c>
      <c r="F64" s="2" t="s">
        <v>112</v>
      </c>
      <c r="H64" s="73">
        <f>'9. Parameters'!H62</f>
        <v>0.97443793491415276</v>
      </c>
    </row>
    <row r="65" spans="2:8" x14ac:dyDescent="0.2">
      <c r="B65" s="2" t="s">
        <v>229</v>
      </c>
      <c r="F65" s="2" t="s">
        <v>112</v>
      </c>
      <c r="H65" s="73">
        <f>'9. Parameters'!H63</f>
        <v>0.9501178320392909</v>
      </c>
    </row>
    <row r="66" spans="2:8" x14ac:dyDescent="0.2">
      <c r="B66" s="2" t="s">
        <v>230</v>
      </c>
      <c r="F66" s="2" t="s">
        <v>112</v>
      </c>
      <c r="H66" s="73">
        <f>'9. Parameters'!H64</f>
        <v>0.9501178320392909</v>
      </c>
    </row>
    <row r="67" spans="2:8" x14ac:dyDescent="0.2">
      <c r="B67" s="2" t="s">
        <v>231</v>
      </c>
      <c r="F67" s="2" t="s">
        <v>112</v>
      </c>
      <c r="H67" s="73">
        <f>'9. Parameters'!H65</f>
        <v>0.9501178320392909</v>
      </c>
    </row>
    <row r="68" spans="2:8" x14ac:dyDescent="0.2">
      <c r="B68" s="2" t="s">
        <v>232</v>
      </c>
      <c r="F68" s="2" t="s">
        <v>112</v>
      </c>
      <c r="H68" s="73">
        <f>'9. Parameters'!H66</f>
        <v>0.9501178320392909</v>
      </c>
    </row>
    <row r="69" spans="2:8" x14ac:dyDescent="0.2">
      <c r="B69" s="2" t="s">
        <v>233</v>
      </c>
      <c r="F69" s="2" t="s">
        <v>112</v>
      </c>
      <c r="H69" s="73">
        <f>'9. Parameters'!H67</f>
        <v>0.8732220164530794</v>
      </c>
    </row>
    <row r="70" spans="2:8" x14ac:dyDescent="0.2">
      <c r="B70" s="2" t="s">
        <v>234</v>
      </c>
      <c r="F70" s="2" t="s">
        <v>112</v>
      </c>
      <c r="H70" s="73">
        <f>'9. Parameters'!H68</f>
        <v>0.8732220164530794</v>
      </c>
    </row>
    <row r="71" spans="2:8" x14ac:dyDescent="0.2">
      <c r="B71" s="2" t="s">
        <v>235</v>
      </c>
      <c r="F71" s="2" t="s">
        <v>112</v>
      </c>
      <c r="H71" s="73">
        <f>'9. Parameters'!H69</f>
        <v>0.9501178320392909</v>
      </c>
    </row>
    <row r="72" spans="2:8" x14ac:dyDescent="0.2">
      <c r="B72" s="2" t="s">
        <v>236</v>
      </c>
      <c r="F72" s="2" t="s">
        <v>112</v>
      </c>
      <c r="H72" s="73">
        <f>'9. Parameters'!H70</f>
        <v>1</v>
      </c>
    </row>
    <row r="73" spans="2:8" x14ac:dyDescent="0.2">
      <c r="B73" s="2" t="s">
        <v>237</v>
      </c>
      <c r="F73" s="2" t="s">
        <v>112</v>
      </c>
      <c r="H73" s="73">
        <f>'9. Parameters'!H71</f>
        <v>1</v>
      </c>
    </row>
    <row r="74" spans="2:8" x14ac:dyDescent="0.2">
      <c r="B74" s="2" t="s">
        <v>238</v>
      </c>
      <c r="F74" s="2" t="s">
        <v>112</v>
      </c>
      <c r="H74" s="73">
        <f>'9. Parameters'!H72</f>
        <v>0.9912103633580529</v>
      </c>
    </row>
    <row r="75" spans="2:8" x14ac:dyDescent="0.2">
      <c r="B75" s="2" t="s">
        <v>239</v>
      </c>
      <c r="F75" s="2" t="s">
        <v>112</v>
      </c>
      <c r="H75" s="73">
        <f>'9. Parameters'!H73</f>
        <v>0.9912103633580529</v>
      </c>
    </row>
    <row r="76" spans="2:8" x14ac:dyDescent="0.2">
      <c r="B76" s="2" t="s">
        <v>240</v>
      </c>
      <c r="F76" s="2" t="s">
        <v>112</v>
      </c>
      <c r="H76" s="73">
        <f>'9. Parameters'!H74</f>
        <v>0.9912103633580529</v>
      </c>
    </row>
    <row r="77" spans="2:8" x14ac:dyDescent="0.2">
      <c r="B77" s="2" t="s">
        <v>241</v>
      </c>
      <c r="F77" s="2" t="s">
        <v>112</v>
      </c>
      <c r="H77" s="73">
        <f>'9. Parameters'!H75</f>
        <v>1</v>
      </c>
    </row>
    <row r="78" spans="2:8" x14ac:dyDescent="0.2">
      <c r="B78" s="2" t="s">
        <v>242</v>
      </c>
      <c r="F78" s="2" t="s">
        <v>112</v>
      </c>
      <c r="H78" s="73">
        <f>'9. Parameters'!H76</f>
        <v>1</v>
      </c>
    </row>
    <row r="79" spans="2:8" x14ac:dyDescent="0.2">
      <c r="B79" s="2" t="s">
        <v>243</v>
      </c>
      <c r="F79" s="2" t="s">
        <v>112</v>
      </c>
      <c r="H79" s="73">
        <f>'9. Parameters'!H77</f>
        <v>1</v>
      </c>
    </row>
    <row r="80" spans="2:8" x14ac:dyDescent="0.2">
      <c r="B80" s="2" t="s">
        <v>244</v>
      </c>
      <c r="F80" s="2" t="s">
        <v>112</v>
      </c>
      <c r="H80" s="73">
        <f>'9. Parameters'!H78</f>
        <v>7.146988531270318E-2</v>
      </c>
    </row>
    <row r="81" spans="2:8" x14ac:dyDescent="0.2">
      <c r="B81" s="2" t="s">
        <v>245</v>
      </c>
      <c r="F81" s="2" t="s">
        <v>112</v>
      </c>
      <c r="H81" s="73">
        <f>'9. Parameters'!H79</f>
        <v>7.146988531270318E-2</v>
      </c>
    </row>
    <row r="82" spans="2:8" x14ac:dyDescent="0.2">
      <c r="B82" s="2" t="s">
        <v>246</v>
      </c>
      <c r="F82" s="2" t="s">
        <v>112</v>
      </c>
      <c r="H82" s="73">
        <f>'9. Parameters'!H80</f>
        <v>0.9291228604561127</v>
      </c>
    </row>
    <row r="83" spans="2:8" x14ac:dyDescent="0.2">
      <c r="B83" s="2" t="s">
        <v>247</v>
      </c>
      <c r="F83" s="2" t="s">
        <v>112</v>
      </c>
      <c r="H83" s="73">
        <f>'9. Parameters'!H81</f>
        <v>0.9291228604561127</v>
      </c>
    </row>
    <row r="84" spans="2:8" x14ac:dyDescent="0.2">
      <c r="B84" s="2" t="s">
        <v>248</v>
      </c>
      <c r="F84" s="2" t="s">
        <v>112</v>
      </c>
      <c r="H84" s="73">
        <f>'9. Parameters'!H82</f>
        <v>0.9291228604561127</v>
      </c>
    </row>
    <row r="85" spans="2:8" x14ac:dyDescent="0.2">
      <c r="B85" s="2" t="s">
        <v>249</v>
      </c>
      <c r="F85" s="2" t="s">
        <v>112</v>
      </c>
      <c r="H85" s="73">
        <f>'9. Parameters'!H83</f>
        <v>1</v>
      </c>
    </row>
    <row r="86" spans="2:8" x14ac:dyDescent="0.2">
      <c r="B86" s="2" t="s">
        <v>250</v>
      </c>
      <c r="F86" s="2" t="s">
        <v>112</v>
      </c>
      <c r="H86" s="73">
        <f>'9. Parameters'!H84</f>
        <v>1</v>
      </c>
    </row>
    <row r="87" spans="2:8" x14ac:dyDescent="0.2">
      <c r="B87" s="2" t="s">
        <v>251</v>
      </c>
      <c r="F87" s="2" t="s">
        <v>112</v>
      </c>
      <c r="H87" s="73">
        <f>'9. Parameters'!H85</f>
        <v>0</v>
      </c>
    </row>
    <row r="88" spans="2:8" x14ac:dyDescent="0.2">
      <c r="B88" s="2" t="s">
        <v>252</v>
      </c>
      <c r="F88" s="2" t="s">
        <v>112</v>
      </c>
      <c r="H88" s="73">
        <f>'9. Parameters'!H86</f>
        <v>0</v>
      </c>
    </row>
    <row r="89" spans="2:8" x14ac:dyDescent="0.2">
      <c r="B89" s="2" t="s">
        <v>253</v>
      </c>
      <c r="F89" s="2" t="s">
        <v>112</v>
      </c>
      <c r="H89" s="73">
        <f>'9. Parameters'!H87</f>
        <v>0</v>
      </c>
    </row>
    <row r="90" spans="2:8" x14ac:dyDescent="0.2">
      <c r="B90" s="2" t="s">
        <v>254</v>
      </c>
      <c r="F90" s="2" t="s">
        <v>112</v>
      </c>
      <c r="H90" s="73">
        <f>'9. Parameters'!H88</f>
        <v>1</v>
      </c>
    </row>
    <row r="91" spans="2:8" x14ac:dyDescent="0.2">
      <c r="B91" s="2" t="s">
        <v>255</v>
      </c>
      <c r="F91" s="2" t="s">
        <v>112</v>
      </c>
      <c r="H91" s="73">
        <f>'9. Parameters'!H89</f>
        <v>1</v>
      </c>
    </row>
    <row r="92" spans="2:8" x14ac:dyDescent="0.2">
      <c r="B92" s="2" t="s">
        <v>256</v>
      </c>
      <c r="F92" s="2" t="s">
        <v>112</v>
      </c>
      <c r="H92" s="73">
        <f>'9. Parameters'!H90</f>
        <v>1</v>
      </c>
    </row>
    <row r="93" spans="2:8" x14ac:dyDescent="0.2">
      <c r="B93" s="2" t="s">
        <v>257</v>
      </c>
      <c r="F93" s="2" t="s">
        <v>112</v>
      </c>
      <c r="H93" s="73">
        <f>'9. Parameters'!H91</f>
        <v>1</v>
      </c>
    </row>
    <row r="94" spans="2:8" x14ac:dyDescent="0.2">
      <c r="B94" s="2" t="s">
        <v>258</v>
      </c>
      <c r="F94" s="2" t="s">
        <v>112</v>
      </c>
      <c r="H94" s="73">
        <f>'9. Parameters'!H92</f>
        <v>1</v>
      </c>
    </row>
    <row r="95" spans="2:8" x14ac:dyDescent="0.2">
      <c r="B95" s="2" t="s">
        <v>259</v>
      </c>
      <c r="F95" s="2" t="s">
        <v>112</v>
      </c>
      <c r="H95" s="73">
        <f>'9. Parameters'!H93</f>
        <v>1</v>
      </c>
    </row>
    <row r="96" spans="2:8" x14ac:dyDescent="0.2">
      <c r="B96" s="2" t="s">
        <v>260</v>
      </c>
      <c r="F96" s="2" t="s">
        <v>112</v>
      </c>
      <c r="H96" s="73">
        <f>'9. Parameters'!H94</f>
        <v>1</v>
      </c>
    </row>
    <row r="97" spans="1:29" x14ac:dyDescent="0.2">
      <c r="B97" s="2" t="s">
        <v>261</v>
      </c>
      <c r="F97" s="2" t="s">
        <v>112</v>
      </c>
      <c r="H97" s="73">
        <f>'9. Parameters'!H95</f>
        <v>1</v>
      </c>
    </row>
    <row r="99" spans="1:29" s="7" customFormat="1" x14ac:dyDescent="0.2">
      <c r="B99" s="7" t="s">
        <v>273</v>
      </c>
    </row>
    <row r="101" spans="1:29" x14ac:dyDescent="0.2">
      <c r="B101" s="84" t="s">
        <v>289</v>
      </c>
      <c r="C101" s="83"/>
      <c r="D101" s="83"/>
      <c r="E101" s="83"/>
      <c r="F101" s="83"/>
      <c r="G101" s="83"/>
      <c r="H101" s="83"/>
      <c r="I101" s="83"/>
      <c r="J101" s="83"/>
      <c r="K101" s="83"/>
      <c r="L101" s="83"/>
      <c r="M101" s="83"/>
      <c r="N101" s="83"/>
      <c r="O101" s="83"/>
      <c r="P101" s="83"/>
      <c r="Q101" s="83"/>
      <c r="R101" s="83"/>
      <c r="S101" s="83"/>
      <c r="U101" s="84" t="s">
        <v>291</v>
      </c>
      <c r="V101" s="83"/>
      <c r="X101" s="84" t="s">
        <v>285</v>
      </c>
      <c r="Y101" s="83"/>
      <c r="Z101" s="83"/>
      <c r="AA101" s="83"/>
      <c r="AB101" s="83"/>
      <c r="AC101" s="83"/>
    </row>
    <row r="102" spans="1:29" s="66" customFormat="1" ht="25.5" x14ac:dyDescent="0.2">
      <c r="A102" s="2"/>
      <c r="B102" s="85" t="s">
        <v>288</v>
      </c>
      <c r="C102" s="85"/>
      <c r="D102" s="85"/>
      <c r="E102" s="85"/>
      <c r="F102" s="85"/>
      <c r="G102" s="85"/>
      <c r="H102" s="85"/>
      <c r="I102" s="85"/>
      <c r="J102" s="85" t="s">
        <v>262</v>
      </c>
      <c r="K102" s="85" t="s">
        <v>290</v>
      </c>
      <c r="L102" s="85" t="s">
        <v>292</v>
      </c>
      <c r="M102" s="85" t="s">
        <v>263</v>
      </c>
      <c r="N102" s="85" t="s">
        <v>449</v>
      </c>
      <c r="O102" s="85"/>
      <c r="P102" s="85"/>
      <c r="Q102" s="85" t="s">
        <v>264</v>
      </c>
      <c r="R102" s="85" t="s">
        <v>265</v>
      </c>
      <c r="S102" s="85" t="s">
        <v>266</v>
      </c>
      <c r="U102" s="85" t="s">
        <v>226</v>
      </c>
      <c r="V102" s="85" t="s">
        <v>274</v>
      </c>
      <c r="X102" s="85">
        <v>2021</v>
      </c>
      <c r="Y102" s="85">
        <v>2022</v>
      </c>
      <c r="Z102" s="85">
        <v>2023</v>
      </c>
      <c r="AA102" s="85">
        <v>2024</v>
      </c>
      <c r="AB102" s="85">
        <v>2025</v>
      </c>
      <c r="AC102" s="85">
        <v>2026</v>
      </c>
    </row>
    <row r="103" spans="1:29" x14ac:dyDescent="0.2">
      <c r="X103" s="90"/>
      <c r="AA103" s="75"/>
      <c r="AB103" s="75"/>
      <c r="AC103" s="75"/>
    </row>
    <row r="104" spans="1:29" x14ac:dyDescent="0.2">
      <c r="B104" s="32">
        <f>'13. Input desinvesteringen'!B17</f>
        <v>1</v>
      </c>
      <c r="J104" s="32" t="str">
        <f>'13. Input desinvesteringen'!C17</f>
        <v>Transport</v>
      </c>
      <c r="K104" s="32" t="str">
        <f>'13. Input desinvesteringen'!D17</f>
        <v>EHS</v>
      </c>
      <c r="L104" s="32" t="str">
        <f>'13. Input desinvesteringen'!E17</f>
        <v>Nee</v>
      </c>
      <c r="M104" s="32" t="str">
        <f>'13. Input desinvesteringen'!F17</f>
        <v>GAW ultimo 2000 EHS OUD</v>
      </c>
      <c r="N104" s="82">
        <f>'13. Input desinvesteringen'!G17</f>
        <v>2000</v>
      </c>
      <c r="O104" s="82"/>
      <c r="P104" s="82"/>
      <c r="Q104" s="32">
        <f>'13. Input desinvesteringen'!H17</f>
        <v>54990</v>
      </c>
      <c r="R104" s="82">
        <f>'13. Input desinvesteringen'!I17</f>
        <v>2021</v>
      </c>
      <c r="S104" s="32">
        <f>'13. Input desinvesteringen'!J17</f>
        <v>1</v>
      </c>
      <c r="U104" s="76">
        <f t="shared" ref="U104:U116" si="0">(J104="Transport")*(L104="Nee")*(VLOOKUP($M104,$B$64:$H$97,7,FALSE))</f>
        <v>0.97443793491415276</v>
      </c>
      <c r="V104" s="76">
        <f t="shared" ref="V104:V111" si="1">1-U104</f>
        <v>2.5562065085847241E-2</v>
      </c>
      <c r="X104" s="33" cm="1">
        <f t="array" ref="X104">((X$102=$R104)*((13-$S104)/12)+(X$102&gt;$R104))*$Q104*INDEX($J$13:$O$39,$N104-1999,X$102-2020)</f>
        <v>81389.253650892613</v>
      </c>
      <c r="Y104" s="33" cm="1">
        <f t="array" ref="Y104">((Y$102=$R104)*((13-$S104)/12)+(Y$102&gt;$R104))*$Q104*INDEX($J$13:$O$39,$N104-1999,Y$102-2020)</f>
        <v>83342.595738514035</v>
      </c>
      <c r="Z104" s="33" cm="1">
        <f t="array" ref="Z104">((Z$102=$R104)*((13-$S104)/12)+(Z$102&gt;$R104))*$Q104*INDEX($J$13:$O$39,$N104-1999,Z$102-2020)</f>
        <v>93343.707227135717</v>
      </c>
      <c r="AA104" s="33" cm="1">
        <f t="array" ref="AA104">((AA$102=$R104)*((13-$S104)/12)+(AA$102&gt;$R104))*$Q104*INDEX($J$13:$O$39,$N104-1999,AA$102-2020)</f>
        <v>96144.018443949797</v>
      </c>
      <c r="AB104" s="33" cm="1">
        <f t="array" ref="AB104">((AB$102=$R104)*((13-$S104)/12)+(AB$102&gt;$R104))*$Q104*INDEX($J$13:$O$39,$N104-1999,AB$102-2020)</f>
        <v>99605.203107931986</v>
      </c>
      <c r="AC104" s="33" cm="1">
        <f t="array" ref="AC104">((AC$102=$R104)*((13-$S104)/12)+(AC$102&gt;$R104))*$Q104*INDEX($J$13:$O$39,$N104-1999,AC$102-2020)</f>
        <v>102394.14879495409</v>
      </c>
    </row>
    <row r="105" spans="1:29" x14ac:dyDescent="0.2">
      <c r="B105" s="32">
        <f>'13. Input desinvesteringen'!B18</f>
        <v>2</v>
      </c>
      <c r="J105" s="32" t="str">
        <f>'13. Input desinvesteringen'!C18</f>
        <v>Transport</v>
      </c>
      <c r="K105" s="32" t="str">
        <f>'13. Input desinvesteringen'!D18</f>
        <v>EHS</v>
      </c>
      <c r="L105" s="32" t="str">
        <f>'13. Input desinvesteringen'!E18</f>
        <v>Nee</v>
      </c>
      <c r="M105" s="32" t="str">
        <f>'13. Input desinvesteringen'!F18</f>
        <v>GAW ultimo 2000 EHS OUD</v>
      </c>
      <c r="N105" s="82">
        <f>'13. Input desinvesteringen'!G18</f>
        <v>2000</v>
      </c>
      <c r="O105" s="82"/>
      <c r="P105" s="82"/>
      <c r="Q105" s="32">
        <f>'13. Input desinvesteringen'!H18</f>
        <v>68043</v>
      </c>
      <c r="R105" s="82">
        <f>'13. Input desinvesteringen'!I18</f>
        <v>2021</v>
      </c>
      <c r="S105" s="32">
        <f>'13. Input desinvesteringen'!J18</f>
        <v>5</v>
      </c>
      <c r="U105" s="76">
        <f t="shared" si="0"/>
        <v>0.97443793491415276</v>
      </c>
      <c r="V105" s="76">
        <f t="shared" si="1"/>
        <v>2.5562065085847241E-2</v>
      </c>
      <c r="X105" s="33" cm="1">
        <f t="array" ref="X105">((X$102=$R105)*((13-$S105)/12)+(X$102&gt;$R105))*$Q105*INDEX($J$13:$O$39,$N105-1999,X$102-2020)</f>
        <v>67139.103911834711</v>
      </c>
      <c r="Y105" s="33" cm="1">
        <f t="array" ref="Y105">((Y$102=$R105)*((13-$S105)/12)+(Y$102&gt;$R105))*$Q105*INDEX($J$13:$O$39,$N105-1999,Y$102-2020)</f>
        <v>103125.66360857811</v>
      </c>
      <c r="Z105" s="33" cm="1">
        <f t="array" ref="Z105">((Z$102=$R105)*((13-$S105)/12)+(Z$102&gt;$R105))*$Q105*INDEX($J$13:$O$39,$N105-1999,Z$102-2020)</f>
        <v>115500.74324160749</v>
      </c>
      <c r="AA105" s="33" cm="1">
        <f t="array" ref="AA105">((AA$102=$R105)*((13-$S105)/12)+(AA$102&gt;$R105))*$Q105*INDEX($J$13:$O$39,$N105-1999,AA$102-2020)</f>
        <v>118965.76553885572</v>
      </c>
      <c r="AB105" s="33" cm="1">
        <f t="array" ref="AB105">((AB$102=$R105)*((13-$S105)/12)+(AB$102&gt;$R105))*$Q105*INDEX($J$13:$O$39,$N105-1999,AB$102-2020)</f>
        <v>123248.53309825453</v>
      </c>
      <c r="AC105" s="33" cm="1">
        <f t="array" ref="AC105">((AC$102=$R105)*((13-$S105)/12)+(AC$102&gt;$R105))*$Q105*INDEX($J$13:$O$39,$N105-1999,AC$102-2020)</f>
        <v>126699.49202500566</v>
      </c>
    </row>
    <row r="106" spans="1:29" x14ac:dyDescent="0.2">
      <c r="B106" s="32">
        <f>'13. Input desinvesteringen'!B19</f>
        <v>3</v>
      </c>
      <c r="J106" s="32" t="str">
        <f>'13. Input desinvesteringen'!C19</f>
        <v>Transport</v>
      </c>
      <c r="K106" s="32" t="str">
        <f>'13. Input desinvesteringen'!D19</f>
        <v>EHS</v>
      </c>
      <c r="L106" s="32" t="str">
        <f>'13. Input desinvesteringen'!E19</f>
        <v>Nee</v>
      </c>
      <c r="M106" s="32" t="str">
        <f>'13. Input desinvesteringen'!F19</f>
        <v>GAW ultimo 2000 EHS OUD</v>
      </c>
      <c r="N106" s="82">
        <f>'13. Input desinvesteringen'!G19</f>
        <v>2000</v>
      </c>
      <c r="O106" s="82"/>
      <c r="P106" s="82"/>
      <c r="Q106" s="32">
        <f>'13. Input desinvesteringen'!H19</f>
        <v>1781</v>
      </c>
      <c r="R106" s="82">
        <f>'13. Input desinvesteringen'!I19</f>
        <v>2021</v>
      </c>
      <c r="S106" s="32">
        <f>'13. Input desinvesteringen'!J19</f>
        <v>6</v>
      </c>
      <c r="U106" s="76">
        <f t="shared" si="0"/>
        <v>0.97443793491415276</v>
      </c>
      <c r="V106" s="76">
        <f t="shared" si="1"/>
        <v>2.5562065085847241E-2</v>
      </c>
      <c r="X106" s="33" cm="1">
        <f t="array" ref="X106">((X$102=$R106)*((13-$S106)/12)+(X$102&gt;$R106))*$Q106*INDEX($J$13:$O$39,$N106-1999,X$102-2020)</f>
        <v>1537.6732515998033</v>
      </c>
      <c r="Y106" s="33" cm="1">
        <f t="array" ref="Y106">((Y$102=$R106)*((13-$S106)/12)+(Y$102&gt;$R106))*$Q106*INDEX($J$13:$O$39,$N106-1999,Y$102-2020)</f>
        <v>2699.2755593797688</v>
      </c>
      <c r="Z106" s="33" cm="1">
        <f t="array" ref="Z106">((Z$102=$R106)*((13-$S106)/12)+(Z$102&gt;$R106))*$Q106*INDEX($J$13:$O$39,$N106-1999,Z$102-2020)</f>
        <v>3023.1886265053413</v>
      </c>
      <c r="AA106" s="33" cm="1">
        <f t="array" ref="AA106">((AA$102=$R106)*((13-$S106)/12)+(AA$102&gt;$R106))*$Q106*INDEX($J$13:$O$39,$N106-1999,AA$102-2020)</f>
        <v>3113.8842853005017</v>
      </c>
      <c r="AB106" s="33" cm="1">
        <f t="array" ref="AB106">((AB$102=$R106)*((13-$S106)/12)+(AB$102&gt;$R106))*$Q106*INDEX($J$13:$O$39,$N106-1999,AB$102-2020)</f>
        <v>3225.9841195713198</v>
      </c>
      <c r="AC106" s="33" cm="1">
        <f t="array" ref="AC106">((AC$102=$R106)*((13-$S106)/12)+(AC$102&gt;$R106))*$Q106*INDEX($J$13:$O$39,$N106-1999,AC$102-2020)</f>
        <v>3316.3116749193168</v>
      </c>
    </row>
    <row r="107" spans="1:29" x14ac:dyDescent="0.2">
      <c r="B107" s="32">
        <f>'13. Input desinvesteringen'!B20</f>
        <v>4</v>
      </c>
      <c r="J107" s="32" t="str">
        <f>'13. Input desinvesteringen'!C20</f>
        <v>Transport</v>
      </c>
      <c r="K107" s="32" t="str">
        <f>'13. Input desinvesteringen'!D20</f>
        <v>EHS</v>
      </c>
      <c r="L107" s="32" t="str">
        <f>'13. Input desinvesteringen'!E20</f>
        <v>Nee</v>
      </c>
      <c r="M107" s="32" t="str">
        <f>'13. Input desinvesteringen'!F20</f>
        <v>GAW ultimo 2000 EHS OUD</v>
      </c>
      <c r="N107" s="82">
        <f>'13. Input desinvesteringen'!G20</f>
        <v>2000</v>
      </c>
      <c r="O107" s="82"/>
      <c r="P107" s="82"/>
      <c r="Q107" s="32">
        <f>'13. Input desinvesteringen'!H20</f>
        <v>205399</v>
      </c>
      <c r="R107" s="82">
        <f>'13. Input desinvesteringen'!I20</f>
        <v>2021</v>
      </c>
      <c r="S107" s="32">
        <f>'13. Input desinvesteringen'!J20</f>
        <v>7</v>
      </c>
      <c r="U107" s="76">
        <f t="shared" si="0"/>
        <v>0.97443793491415276</v>
      </c>
      <c r="V107" s="76">
        <f t="shared" si="1"/>
        <v>2.5562065085847241E-2</v>
      </c>
      <c r="X107" s="33" cm="1">
        <f t="array" ref="X107">((X$102=$R107)*((13-$S107)/12)+(X$102&gt;$R107))*$Q107*INDEX($J$13:$O$39,$N107-1999,X$102-2020)</f>
        <v>152002.83061138107</v>
      </c>
      <c r="Y107" s="33" cm="1">
        <f t="array" ref="Y107">((Y$102=$R107)*((13-$S107)/12)+(Y$102&gt;$R107))*$Q107*INDEX($J$13:$O$39,$N107-1999,Y$102-2020)</f>
        <v>311301.79709210846</v>
      </c>
      <c r="Z107" s="33" cm="1">
        <f t="array" ref="Z107">((Z$102=$R107)*((13-$S107)/12)+(Z$102&gt;$R107))*$Q107*INDEX($J$13:$O$39,$N107-1999,Z$102-2020)</f>
        <v>348658.01274316147</v>
      </c>
      <c r="AA107" s="33" cm="1">
        <f t="array" ref="AA107">((AA$102=$R107)*((13-$S107)/12)+(AA$102&gt;$R107))*$Q107*INDEX($J$13:$O$39,$N107-1999,AA$102-2020)</f>
        <v>359117.75312545634</v>
      </c>
      <c r="AB107" s="33" cm="1">
        <f t="array" ref="AB107">((AB$102=$R107)*((13-$S107)/12)+(AB$102&gt;$R107))*$Q107*INDEX($J$13:$O$39,$N107-1999,AB$102-2020)</f>
        <v>372045.99223797279</v>
      </c>
      <c r="AC107" s="33" cm="1">
        <f t="array" ref="AC107">((AC$102=$R107)*((13-$S107)/12)+(AC$102&gt;$R107))*$Q107*INDEX($J$13:$O$39,$N107-1999,AC$102-2020)</f>
        <v>382463.28002063604</v>
      </c>
    </row>
    <row r="108" spans="1:29" x14ac:dyDescent="0.2">
      <c r="B108" s="32">
        <f>'13. Input desinvesteringen'!B21</f>
        <v>5</v>
      </c>
      <c r="J108" s="32" t="str">
        <f>'13. Input desinvesteringen'!C21</f>
        <v>Transport</v>
      </c>
      <c r="K108" s="32" t="str">
        <f>'13. Input desinvesteringen'!D21</f>
        <v>EHS</v>
      </c>
      <c r="L108" s="32" t="str">
        <f>'13. Input desinvesteringen'!E21</f>
        <v>Nee</v>
      </c>
      <c r="M108" s="32" t="str">
        <f>'13. Input desinvesteringen'!F21</f>
        <v>GAW ultimo 2000 EHS OUD</v>
      </c>
      <c r="N108" s="82">
        <f>'13. Input desinvesteringen'!G21</f>
        <v>2000</v>
      </c>
      <c r="O108" s="82"/>
      <c r="P108" s="82"/>
      <c r="Q108" s="32">
        <f>'13. Input desinvesteringen'!H21</f>
        <v>147410</v>
      </c>
      <c r="R108" s="82">
        <f>'13. Input desinvesteringen'!I21</f>
        <v>2021</v>
      </c>
      <c r="S108" s="32">
        <f>'13. Input desinvesteringen'!J21</f>
        <v>10</v>
      </c>
      <c r="U108" s="76">
        <f t="shared" si="0"/>
        <v>0.97443793491415276</v>
      </c>
      <c r="V108" s="76">
        <f t="shared" si="1"/>
        <v>2.5562065085847241E-2</v>
      </c>
      <c r="X108" s="33" cm="1">
        <f t="array" ref="X108">((X$102=$R108)*((13-$S108)/12)+(X$102&gt;$R108))*$Q108*INDEX($J$13:$O$39,$N108-1999,X$102-2020)</f>
        <v>54544.416624286598</v>
      </c>
      <c r="Y108" s="33" cm="1">
        <f t="array" ref="Y108">((Y$102=$R108)*((13-$S108)/12)+(Y$102&gt;$R108))*$Q108*INDEX($J$13:$O$39,$N108-1999,Y$102-2020)</f>
        <v>223413.93049307787</v>
      </c>
      <c r="Z108" s="33" cm="1">
        <f t="array" ref="Z108">((Z$102=$R108)*((13-$S108)/12)+(Z$102&gt;$R108))*$Q108*INDEX($J$13:$O$39,$N108-1999,Z$102-2020)</f>
        <v>250223.60215224727</v>
      </c>
      <c r="AA108" s="33" cm="1">
        <f t="array" ref="AA108">((AA$102=$R108)*((13-$S108)/12)+(AA$102&gt;$R108))*$Q108*INDEX($J$13:$O$39,$N108-1999,AA$102-2020)</f>
        <v>257730.31021681469</v>
      </c>
      <c r="AB108" s="33" cm="1">
        <f t="array" ref="AB108">((AB$102=$R108)*((13-$S108)/12)+(AB$102&gt;$R108))*$Q108*INDEX($J$13:$O$39,$N108-1999,AB$102-2020)</f>
        <v>267008.60138462001</v>
      </c>
      <c r="AC108" s="33" cm="1">
        <f t="array" ref="AC108">((AC$102=$R108)*((13-$S108)/12)+(AC$102&gt;$R108))*$Q108*INDEX($J$13:$O$39,$N108-1999,AC$102-2020)</f>
        <v>274484.84222338937</v>
      </c>
    </row>
    <row r="109" spans="1:29" x14ac:dyDescent="0.2">
      <c r="B109" s="32">
        <f>'13. Input desinvesteringen'!B22</f>
        <v>6</v>
      </c>
      <c r="J109" s="32" t="str">
        <f>'13. Input desinvesteringen'!C22</f>
        <v>Transport</v>
      </c>
      <c r="K109" s="32" t="str">
        <f>'13. Input desinvesteringen'!D22</f>
        <v>EHS</v>
      </c>
      <c r="L109" s="32" t="str">
        <f>'13. Input desinvesteringen'!E22</f>
        <v>Nee</v>
      </c>
      <c r="M109" s="32" t="str">
        <f>'13. Input desinvesteringen'!F22</f>
        <v>GAW ultimo 2000 EHS OUD</v>
      </c>
      <c r="N109" s="82">
        <f>'13. Input desinvesteringen'!G22</f>
        <v>2000</v>
      </c>
      <c r="O109" s="82"/>
      <c r="P109" s="82"/>
      <c r="Q109" s="32">
        <f>'13. Input desinvesteringen'!H22</f>
        <v>5854</v>
      </c>
      <c r="R109" s="82">
        <f>'13. Input desinvesteringen'!I22</f>
        <v>2021</v>
      </c>
      <c r="S109" s="32">
        <f>'13. Input desinvesteringen'!J22</f>
        <v>11</v>
      </c>
      <c r="U109" s="76">
        <f>(J109="Transport")*(L109="Nee")*(VLOOKUP($M109,$B$64:$H$97,7,FALSE))</f>
        <v>0.97443793491415276</v>
      </c>
      <c r="V109" s="76">
        <f t="shared" si="1"/>
        <v>2.5562065085847241E-2</v>
      </c>
      <c r="X109" s="33" cm="1">
        <f t="array" ref="X109">((X$102=$R109)*((13-$S109)/12)+(X$102&gt;$R109))*$Q109*INDEX($J$13:$O$39,$N109-1999,X$102-2020)</f>
        <v>1444.058589053541</v>
      </c>
      <c r="Y109" s="33" cm="1">
        <f t="array" ref="Y109">((Y$102=$R109)*((13-$S109)/12)+(Y$102&gt;$R109))*$Q109*INDEX($J$13:$O$39,$N109-1999,Y$102-2020)</f>
        <v>8872.2959711449566</v>
      </c>
      <c r="Z109" s="33" cm="1">
        <f t="array" ref="Z109">((Z$102=$R109)*((13-$S109)/12)+(Z$102&gt;$R109))*$Q109*INDEX($J$13:$O$39,$N109-1999,Z$102-2020)</f>
        <v>9936.9714876823509</v>
      </c>
      <c r="AA109" s="33" cm="1">
        <f t="array" ref="AA109">((AA$102=$R109)*((13-$S109)/12)+(AA$102&gt;$R109))*$Q109*INDEX($J$13:$O$39,$N109-1999,AA$102-2020)</f>
        <v>10235.080632312824</v>
      </c>
      <c r="AB109" s="33" cm="1">
        <f t="array" ref="AB109">((AB$102=$R109)*((13-$S109)/12)+(AB$102&gt;$R109))*$Q109*INDEX($J$13:$O$39,$N109-1999,AB$102-2020)</f>
        <v>10603.543535076084</v>
      </c>
      <c r="AC109" s="33" cm="1">
        <f t="array" ref="AC109">((AC$102=$R109)*((13-$S109)/12)+(AC$102&gt;$R109))*$Q109*INDEX($J$13:$O$39,$N109-1999,AC$102-2020)</f>
        <v>10900.442754058215</v>
      </c>
    </row>
    <row r="110" spans="1:29" x14ac:dyDescent="0.2">
      <c r="B110" s="32">
        <f>'13. Input desinvesteringen'!B23</f>
        <v>7</v>
      </c>
      <c r="J110" s="32" t="str">
        <f>'13. Input desinvesteringen'!C23</f>
        <v>Transport</v>
      </c>
      <c r="K110" s="32" t="str">
        <f>'13. Input desinvesteringen'!D23</f>
        <v>EHS</v>
      </c>
      <c r="L110" s="32" t="str">
        <f>'13. Input desinvesteringen'!E23</f>
        <v>Nee</v>
      </c>
      <c r="M110" s="32" t="str">
        <f>'13. Input desinvesteringen'!F23</f>
        <v>GAW ultimo 2000 EHS OUD</v>
      </c>
      <c r="N110" s="82">
        <f>'13. Input desinvesteringen'!G23</f>
        <v>2000</v>
      </c>
      <c r="O110" s="82"/>
      <c r="P110" s="82"/>
      <c r="Q110" s="32">
        <f>'13. Input desinvesteringen'!H23</f>
        <v>27637</v>
      </c>
      <c r="R110" s="82">
        <f>'13. Input desinvesteringen'!I23</f>
        <v>2021</v>
      </c>
      <c r="S110" s="32">
        <f>'13. Input desinvesteringen'!J23</f>
        <v>12</v>
      </c>
      <c r="U110" s="76">
        <f t="shared" si="0"/>
        <v>0.97443793491415276</v>
      </c>
      <c r="V110" s="76">
        <f t="shared" si="1"/>
        <v>2.5562065085847241E-2</v>
      </c>
      <c r="X110" s="33" cm="1">
        <f t="array" ref="X110">((X$102=$R110)*((13-$S110)/12)+(X$102&gt;$R110))*$Q110*INDEX($J$13:$O$39,$N110-1999,X$102-2020)</f>
        <v>3408.7331077615909</v>
      </c>
      <c r="Y110" s="33" cm="1">
        <f t="array" ref="Y110">((Y$102=$R110)*((13-$S110)/12)+(Y$102&gt;$R110))*$Q110*INDEX($J$13:$O$39,$N110-1999,Y$102-2020)</f>
        <v>41886.512428174436</v>
      </c>
      <c r="Z110" s="33" cm="1">
        <f t="array" ref="Z110">((Z$102=$R110)*((13-$S110)/12)+(Z$102&gt;$R110))*$Q110*INDEX($J$13:$O$39,$N110-1999,Z$102-2020)</f>
        <v>46912.893919555376</v>
      </c>
      <c r="AA110" s="33" cm="1">
        <f t="array" ref="AA110">((AA$102=$R110)*((13-$S110)/12)+(AA$102&gt;$R110))*$Q110*INDEX($J$13:$O$39,$N110-1999,AA$102-2020)</f>
        <v>48320.280737142035</v>
      </c>
      <c r="AB110" s="33" cm="1">
        <f t="array" ref="AB110">((AB$102=$R110)*((13-$S110)/12)+(AB$102&gt;$R110))*$Q110*INDEX($J$13:$O$39,$N110-1999,AB$102-2020)</f>
        <v>50059.810843679152</v>
      </c>
      <c r="AC110" s="33" cm="1">
        <f t="array" ref="AC110">((AC$102=$R110)*((13-$S110)/12)+(AC$102&gt;$R110))*$Q110*INDEX($J$13:$O$39,$N110-1999,AC$102-2020)</f>
        <v>51461.485547302167</v>
      </c>
    </row>
    <row r="111" spans="1:29" x14ac:dyDescent="0.2">
      <c r="B111" s="32">
        <f>'13. Input desinvesteringen'!B24</f>
        <v>8</v>
      </c>
      <c r="J111" s="32" t="str">
        <f>'13. Input desinvesteringen'!C24</f>
        <v>Transport</v>
      </c>
      <c r="K111" s="32" t="str">
        <f>'13. Input desinvesteringen'!D24</f>
        <v>HS</v>
      </c>
      <c r="L111" s="32" t="str">
        <f>'13. Input desinvesteringen'!E24</f>
        <v>Nee</v>
      </c>
      <c r="M111" s="32" t="str">
        <f>'13. Input desinvesteringen'!F24</f>
        <v>GAW ultimo 2000 Delta</v>
      </c>
      <c r="N111" s="82">
        <f>'13. Input desinvesteringen'!G24</f>
        <v>2008</v>
      </c>
      <c r="O111" s="82"/>
      <c r="P111" s="82"/>
      <c r="Q111" s="32">
        <f>'13. Input desinvesteringen'!H24</f>
        <v>857116</v>
      </c>
      <c r="R111" s="82">
        <f>'13. Input desinvesteringen'!I24</f>
        <v>2021</v>
      </c>
      <c r="S111" s="32">
        <f>'13. Input desinvesteringen'!J24</f>
        <v>6</v>
      </c>
      <c r="U111" s="76">
        <f t="shared" si="0"/>
        <v>0.9501178320392909</v>
      </c>
      <c r="V111" s="76">
        <f t="shared" si="1"/>
        <v>4.9882167960709101E-2</v>
      </c>
      <c r="X111" s="33" cm="1">
        <f t="array" ref="X111">((X$102=$R111)*((13-$S111)/12)+(X$102&gt;$R111))*$Q111*INDEX($J$13:$O$39,$N111-1999,X$102-2020)</f>
        <v>619662.31855188706</v>
      </c>
      <c r="Y111" s="33" cm="1">
        <f t="array" ref="Y111">((Y$102=$R111)*((13-$S111)/12)+(Y$102&gt;$R111))*$Q111*INDEX($J$13:$O$39,$N111-1999,Y$102-2020)</f>
        <v>1087772.9386236554</v>
      </c>
      <c r="Z111" s="33" cm="1">
        <f t="array" ref="Z111">((Z$102=$R111)*((13-$S111)/12)+(Z$102&gt;$R111))*$Q111*INDEX($J$13:$O$39,$N111-1999,Z$102-2020)</f>
        <v>1218305.691258494</v>
      </c>
      <c r="AA111" s="33" cm="1">
        <f t="array" ref="AA111">((AA$102=$R111)*((13-$S111)/12)+(AA$102&gt;$R111))*$Q111*INDEX($J$13:$O$39,$N111-1999,AA$102-2020)</f>
        <v>1254854.8619962491</v>
      </c>
      <c r="AB111" s="33" cm="1">
        <f t="array" ref="AB111">((AB$102=$R111)*((13-$S111)/12)+(AB$102&gt;$R111))*$Q111*INDEX($J$13:$O$39,$N111-1999,AB$102-2020)</f>
        <v>1300029.6370281142</v>
      </c>
      <c r="AC111" s="33" cm="1">
        <f t="array" ref="AC111">((AC$102=$R111)*((13-$S111)/12)+(AC$102&gt;$R111))*$Q111*INDEX($J$13:$O$39,$N111-1999,AC$102-2020)</f>
        <v>1336430.4668649011</v>
      </c>
    </row>
    <row r="112" spans="1:29" x14ac:dyDescent="0.2">
      <c r="B112" s="32">
        <f>'13. Input desinvesteringen'!B25</f>
        <v>9</v>
      </c>
      <c r="J112" s="32" t="str">
        <f>'13. Input desinvesteringen'!C25</f>
        <v>Transport</v>
      </c>
      <c r="K112" s="32" t="str">
        <f>'13. Input desinvesteringen'!D25</f>
        <v>HS</v>
      </c>
      <c r="L112" s="32" t="str">
        <f>'13. Input desinvesteringen'!E25</f>
        <v>Nee</v>
      </c>
      <c r="M112" s="32" t="str">
        <f>'13. Input desinvesteringen'!F25</f>
        <v>GAW ultimo 2000 Delta</v>
      </c>
      <c r="N112" s="82">
        <f>'13. Input desinvesteringen'!G25</f>
        <v>2008</v>
      </c>
      <c r="O112" s="82"/>
      <c r="P112" s="82"/>
      <c r="Q112" s="32">
        <f>'13. Input desinvesteringen'!H25</f>
        <v>12498</v>
      </c>
      <c r="R112" s="82">
        <f>'13. Input desinvesteringen'!I25</f>
        <v>2021</v>
      </c>
      <c r="S112" s="32">
        <f>'13. Input desinvesteringen'!J25</f>
        <v>7</v>
      </c>
      <c r="U112" s="76">
        <f t="shared" si="0"/>
        <v>0.9501178320392909</v>
      </c>
      <c r="V112" s="76">
        <f t="shared" ref="V112:V116" si="2">1-U112</f>
        <v>4.9882167960709101E-2</v>
      </c>
      <c r="X112" s="33" cm="1">
        <f t="array" ref="X112">((X$102=$R112)*((13-$S112)/12)+(X$102&gt;$R112))*$Q112*INDEX($J$13:$O$39,$N112-1999,X$102-2020)</f>
        <v>7744.7823271077332</v>
      </c>
      <c r="Y112" s="33" cm="1">
        <f t="array" ref="Y112">((Y$102=$R112)*((13-$S112)/12)+(Y$102&gt;$R112))*$Q112*INDEX($J$13:$O$39,$N112-1999,Y$102-2020)</f>
        <v>15861.314205916637</v>
      </c>
      <c r="Z112" s="33" cm="1">
        <f t="array" ref="Z112">((Z$102=$R112)*((13-$S112)/12)+(Z$102&gt;$R112))*$Q112*INDEX($J$13:$O$39,$N112-1999,Z$102-2020)</f>
        <v>17764.671910626636</v>
      </c>
      <c r="AA112" s="33" cm="1">
        <f t="array" ref="AA112">((AA$102=$R112)*((13-$S112)/12)+(AA$102&gt;$R112))*$Q112*INDEX($J$13:$O$39,$N112-1999,AA$102-2020)</f>
        <v>18297.612067945436</v>
      </c>
      <c r="AB112" s="33" cm="1">
        <f t="array" ref="AB112">((AB$102=$R112)*((13-$S112)/12)+(AB$102&gt;$R112))*$Q112*INDEX($J$13:$O$39,$N112-1999,AB$102-2020)</f>
        <v>18956.326102391471</v>
      </c>
      <c r="AC112" s="33" cm="1">
        <f t="array" ref="AC112">((AC$102=$R112)*((13-$S112)/12)+(AC$102&gt;$R112))*$Q112*INDEX($J$13:$O$39,$N112-1999,AC$102-2020)</f>
        <v>19487.103233258433</v>
      </c>
    </row>
    <row r="113" spans="2:29" x14ac:dyDescent="0.2">
      <c r="B113" s="32">
        <f>'13. Input desinvesteringen'!B26</f>
        <v>10</v>
      </c>
      <c r="J113" s="32" t="str">
        <f>'13. Input desinvesteringen'!C26</f>
        <v>Transport</v>
      </c>
      <c r="K113" s="32" t="str">
        <f>'13. Input desinvesteringen'!D26</f>
        <v>HS</v>
      </c>
      <c r="L113" s="32" t="str">
        <f>'13. Input desinvesteringen'!E26</f>
        <v>Nee</v>
      </c>
      <c r="M113" s="32" t="str">
        <f>'13. Input desinvesteringen'!F26</f>
        <v>GAW ultimo 2000 Delta</v>
      </c>
      <c r="N113" s="82">
        <f>'13. Input desinvesteringen'!G26</f>
        <v>2008</v>
      </c>
      <c r="O113" s="82"/>
      <c r="P113" s="82"/>
      <c r="Q113" s="32">
        <f>'13. Input desinvesteringen'!H26</f>
        <v>98253</v>
      </c>
      <c r="R113" s="82">
        <f>'13. Input desinvesteringen'!I26</f>
        <v>2021</v>
      </c>
      <c r="S113" s="32">
        <f>'13. Input desinvesteringen'!J26</f>
        <v>10</v>
      </c>
      <c r="U113" s="76">
        <f t="shared" si="0"/>
        <v>0.9501178320392909</v>
      </c>
      <c r="V113" s="76">
        <f t="shared" si="2"/>
        <v>4.9882167960709101E-2</v>
      </c>
      <c r="X113" s="33" cm="1">
        <f t="array" ref="X113">((X$102=$R113)*((13-$S113)/12)+(X$102&gt;$R113))*$Q113*INDEX($J$13:$O$39,$N113-1999,X$102-2020)</f>
        <v>30442.794766575294</v>
      </c>
      <c r="Y113" s="33" cm="1">
        <f t="array" ref="Y113">((Y$102=$R113)*((13-$S113)/12)+(Y$102&gt;$R113))*$Q113*INDEX($J$13:$O$39,$N113-1999,Y$102-2020)</f>
        <v>124693.68736389242</v>
      </c>
      <c r="Z113" s="33" cm="1">
        <f t="array" ref="Z113">((Z$102=$R113)*((13-$S113)/12)+(Z$102&gt;$R113))*$Q113*INDEX($J$13:$O$39,$N113-1999,Z$102-2020)</f>
        <v>139656.92984755951</v>
      </c>
      <c r="AA113" s="33" cm="1">
        <f t="array" ref="AA113">((AA$102=$R113)*((13-$S113)/12)+(AA$102&gt;$R113))*$Q113*INDEX($J$13:$O$39,$N113-1999,AA$102-2020)</f>
        <v>143846.63774298632</v>
      </c>
      <c r="AB113" s="33" cm="1">
        <f t="array" ref="AB113">((AB$102=$R113)*((13-$S113)/12)+(AB$102&gt;$R113))*$Q113*INDEX($J$13:$O$39,$N113-1999,AB$102-2020)</f>
        <v>149025.11670173382</v>
      </c>
      <c r="AC113" s="33" cm="1">
        <f t="array" ref="AC113">((AC$102=$R113)*((13-$S113)/12)+(AC$102&gt;$R113))*$Q113*INDEX($J$13:$O$39,$N113-1999,AC$102-2020)</f>
        <v>153197.81996938237</v>
      </c>
    </row>
    <row r="114" spans="2:29" x14ac:dyDescent="0.2">
      <c r="B114" s="32">
        <f>'13. Input desinvesteringen'!B27</f>
        <v>11</v>
      </c>
      <c r="J114" s="32" t="str">
        <f>'13. Input desinvesteringen'!C27</f>
        <v>Transport</v>
      </c>
      <c r="K114" s="32" t="str">
        <f>'13. Input desinvesteringen'!D27</f>
        <v>HS</v>
      </c>
      <c r="L114" s="32" t="str">
        <f>'13. Input desinvesteringen'!E27</f>
        <v>Nee</v>
      </c>
      <c r="M114" s="32" t="str">
        <f>'13. Input desinvesteringen'!F27</f>
        <v>GAW ultimo 2000 Enexis</v>
      </c>
      <c r="N114" s="82">
        <f>'13. Input desinvesteringen'!G27</f>
        <v>2008</v>
      </c>
      <c r="O114" s="82"/>
      <c r="P114" s="82"/>
      <c r="Q114" s="32">
        <f>'13. Input desinvesteringen'!H27</f>
        <v>305457</v>
      </c>
      <c r="R114" s="82">
        <f>'13. Input desinvesteringen'!I27</f>
        <v>2021</v>
      </c>
      <c r="S114" s="32">
        <f>'13. Input desinvesteringen'!J27</f>
        <v>1</v>
      </c>
      <c r="U114" s="76">
        <f t="shared" si="0"/>
        <v>0.9501178320392909</v>
      </c>
      <c r="V114" s="76">
        <f t="shared" si="2"/>
        <v>4.9882167960709101E-2</v>
      </c>
      <c r="X114" s="33" cm="1">
        <f t="array" ref="X114">((X$102=$R114)*((13-$S114)/12)+(X$102&gt;$R114))*$Q114*INDEX($J$13:$O$39,$N114-1999,X$102-2020)</f>
        <v>378572.24760623247</v>
      </c>
      <c r="Y114" s="33" cm="1">
        <f t="array" ref="Y114">((Y$102=$R114)*((13-$S114)/12)+(Y$102&gt;$R114))*$Q114*INDEX($J$13:$O$39,$N114-1999,Y$102-2020)</f>
        <v>387657.98154878209</v>
      </c>
      <c r="Z114" s="33" cm="1">
        <f t="array" ref="Z114">((Z$102=$R114)*((13-$S114)/12)+(Z$102&gt;$R114))*$Q114*INDEX($J$13:$O$39,$N114-1999,Z$102-2020)</f>
        <v>434176.93933463591</v>
      </c>
      <c r="AA114" s="33" cm="1">
        <f t="array" ref="AA114">((AA$102=$R114)*((13-$S114)/12)+(AA$102&gt;$R114))*$Q114*INDEX($J$13:$O$39,$N114-1999,AA$102-2020)</f>
        <v>447202.24751467508</v>
      </c>
      <c r="AB114" s="33" cm="1">
        <f t="array" ref="AB114">((AB$102=$R114)*((13-$S114)/12)+(AB$102&gt;$R114))*$Q114*INDEX($J$13:$O$39,$N114-1999,AB$102-2020)</f>
        <v>463301.5284252034</v>
      </c>
      <c r="AC114" s="33" cm="1">
        <f t="array" ref="AC114">((AC$102=$R114)*((13-$S114)/12)+(AC$102&gt;$R114))*$Q114*INDEX($J$13:$O$39,$N114-1999,AC$102-2020)</f>
        <v>476273.9712211091</v>
      </c>
    </row>
    <row r="115" spans="2:29" x14ac:dyDescent="0.2">
      <c r="B115" s="32">
        <f>'13. Input desinvesteringen'!B28</f>
        <v>12</v>
      </c>
      <c r="J115" s="32" t="str">
        <f>'13. Input desinvesteringen'!C28</f>
        <v>Transport</v>
      </c>
      <c r="K115" s="32" t="str">
        <f>'13. Input desinvesteringen'!D28</f>
        <v>HS</v>
      </c>
      <c r="L115" s="32" t="str">
        <f>'13. Input desinvesteringen'!E28</f>
        <v>Nee</v>
      </c>
      <c r="M115" s="32" t="str">
        <f>'13. Input desinvesteringen'!F28</f>
        <v>GAW ultimo 2000 Enexis</v>
      </c>
      <c r="N115" s="82">
        <f>'13. Input desinvesteringen'!G28</f>
        <v>2008</v>
      </c>
      <c r="O115" s="82"/>
      <c r="P115" s="82"/>
      <c r="Q115" s="32">
        <f>'13. Input desinvesteringen'!H28</f>
        <v>7561</v>
      </c>
      <c r="R115" s="82">
        <f>'13. Input desinvesteringen'!I28</f>
        <v>2021</v>
      </c>
      <c r="S115" s="32">
        <f>'13. Input desinvesteringen'!J28</f>
        <v>2</v>
      </c>
      <c r="U115" s="76">
        <f t="shared" si="0"/>
        <v>0.9501178320392909</v>
      </c>
      <c r="V115" s="76">
        <f t="shared" si="2"/>
        <v>4.9882167960709101E-2</v>
      </c>
      <c r="X115" s="33" cm="1">
        <f t="array" ref="X115">((X$102=$R115)*((13-$S115)/12)+(X$102&gt;$R115))*$Q115*INDEX($J$13:$O$39,$N115-1999,X$102-2020)</f>
        <v>8589.9249336944195</v>
      </c>
      <c r="Y115" s="33" cm="1">
        <f t="array" ref="Y115">((Y$102=$R115)*((13-$S115)/12)+(Y$102&gt;$R115))*$Q115*INDEX($J$13:$O$39,$N115-1999,Y$102-2020)</f>
        <v>9595.727053203369</v>
      </c>
      <c r="Z115" s="33" cm="1">
        <f t="array" ref="Z115">((Z$102=$R115)*((13-$S115)/12)+(Z$102&gt;$R115))*$Q115*INDEX($J$13:$O$39,$N115-1999,Z$102-2020)</f>
        <v>10747.214299587773</v>
      </c>
      <c r="AA115" s="33" cm="1">
        <f t="array" ref="AA115">((AA$102=$R115)*((13-$S115)/12)+(AA$102&gt;$R115))*$Q115*INDEX($J$13:$O$39,$N115-1999,AA$102-2020)</f>
        <v>11069.630728575406</v>
      </c>
      <c r="AB115" s="33" cm="1">
        <f t="array" ref="AB115">((AB$102=$R115)*((13-$S115)/12)+(AB$102&gt;$R115))*$Q115*INDEX($J$13:$O$39,$N115-1999,AB$102-2020)</f>
        <v>11468.137434804123</v>
      </c>
      <c r="AC115" s="33" cm="1">
        <f t="array" ref="AC115">((AC$102=$R115)*((13-$S115)/12)+(AC$102&gt;$R115))*$Q115*INDEX($J$13:$O$39,$N115-1999,AC$102-2020)</f>
        <v>11789.245282978638</v>
      </c>
    </row>
    <row r="116" spans="2:29" x14ac:dyDescent="0.2">
      <c r="B116" s="32">
        <f>'13. Input desinvesteringen'!B29</f>
        <v>13</v>
      </c>
      <c r="J116" s="32" t="str">
        <f>'13. Input desinvesteringen'!C29</f>
        <v>Transport</v>
      </c>
      <c r="K116" s="32" t="str">
        <f>'13. Input desinvesteringen'!D29</f>
        <v>HS</v>
      </c>
      <c r="L116" s="32" t="str">
        <f>'13. Input desinvesteringen'!E29</f>
        <v>Nee</v>
      </c>
      <c r="M116" s="32" t="str">
        <f>'13. Input desinvesteringen'!F29</f>
        <v>GAW ultimo 2000 Enexis</v>
      </c>
      <c r="N116" s="82">
        <f>'13. Input desinvesteringen'!G29</f>
        <v>2008</v>
      </c>
      <c r="O116" s="82"/>
      <c r="P116" s="82"/>
      <c r="Q116" s="32">
        <f>'13. Input desinvesteringen'!H29</f>
        <v>16842</v>
      </c>
      <c r="R116" s="82">
        <f>'13. Input desinvesteringen'!I29</f>
        <v>2021</v>
      </c>
      <c r="S116" s="32">
        <f>'13. Input desinvesteringen'!J29</f>
        <v>3</v>
      </c>
      <c r="U116" s="76">
        <f t="shared" si="0"/>
        <v>0.9501178320392909</v>
      </c>
      <c r="V116" s="76">
        <f t="shared" si="2"/>
        <v>4.9882167960709101E-2</v>
      </c>
      <c r="X116" s="33" cm="1">
        <f t="array" ref="X116">((X$102=$R116)*((13-$S116)/12)+(X$102&gt;$R116))*$Q116*INDEX($J$13:$O$39,$N116-1999,X$102-2020)</f>
        <v>17394.466308362462</v>
      </c>
      <c r="Y116" s="33" cm="1">
        <f t="array" ref="Y116">((Y$102=$R116)*((13-$S116)/12)+(Y$102&gt;$R116))*$Q116*INDEX($J$13:$O$39,$N116-1999,Y$102-2020)</f>
        <v>21374.320199715796</v>
      </c>
      <c r="Z116" s="33" cm="1">
        <f t="array" ref="Z116">((Z$102=$R116)*((13-$S116)/12)+(Z$102&gt;$R116))*$Q116*INDEX($J$13:$O$39,$N116-1999,Z$102-2020)</f>
        <v>23939.238623681693</v>
      </c>
      <c r="AA116" s="33" cm="1">
        <f t="array" ref="AA116">((AA$102=$R116)*((13-$S116)/12)+(AA$102&gt;$R116))*$Q116*INDEX($J$13:$O$39,$N116-1999,AA$102-2020)</f>
        <v>24657.415782392145</v>
      </c>
      <c r="AB116" s="33" cm="1">
        <f t="array" ref="AB116">((AB$102=$R116)*((13-$S116)/12)+(AB$102&gt;$R116))*$Q116*INDEX($J$13:$O$39,$N116-1999,AB$102-2020)</f>
        <v>25545.082750558264</v>
      </c>
      <c r="AC116" s="33" cm="1">
        <f t="array" ref="AC116">((AC$102=$R116)*((13-$S116)/12)+(AC$102&gt;$R116))*$Q116*INDEX($J$13:$O$39,$N116-1999,AC$102-2020)</f>
        <v>26260.345067573897</v>
      </c>
    </row>
    <row r="117" spans="2:29" x14ac:dyDescent="0.2">
      <c r="B117" s="32">
        <f>'13. Input desinvesteringen'!B30</f>
        <v>14</v>
      </c>
      <c r="J117" s="32" t="str">
        <f>'13. Input desinvesteringen'!C30</f>
        <v>Transport</v>
      </c>
      <c r="K117" s="32" t="str">
        <f>'13. Input desinvesteringen'!D30</f>
        <v>HS</v>
      </c>
      <c r="L117" s="32" t="str">
        <f>'13. Input desinvesteringen'!E30</f>
        <v>Nee</v>
      </c>
      <c r="M117" s="32" t="str">
        <f>'13. Input desinvesteringen'!F30</f>
        <v>GAW ultimo 2000 Enexis</v>
      </c>
      <c r="N117" s="82">
        <f>'13. Input desinvesteringen'!G30</f>
        <v>2008</v>
      </c>
      <c r="O117" s="82"/>
      <c r="P117" s="82"/>
      <c r="Q117" s="32">
        <f>'13. Input desinvesteringen'!H30</f>
        <v>386159</v>
      </c>
      <c r="R117" s="82">
        <f>'13. Input desinvesteringen'!I30</f>
        <v>2021</v>
      </c>
      <c r="S117" s="32">
        <f>'13. Input desinvesteringen'!J30</f>
        <v>4</v>
      </c>
      <c r="U117" s="76">
        <f t="shared" ref="U117:U143" si="3">(J117="Transport")*(L117="Nee")*(VLOOKUP($M117,$B$64:$H$97,7,FALSE))</f>
        <v>0.9501178320392909</v>
      </c>
      <c r="V117" s="76">
        <f t="shared" ref="V117:V143" si="4">1-U117</f>
        <v>4.9882167960709101E-2</v>
      </c>
      <c r="X117" s="33" cm="1">
        <f t="array" ref="X117">((X$102=$R117)*((13-$S117)/12)+(X$102&gt;$R117))*$Q117*INDEX($J$13:$O$39,$N117-1999,X$102-2020)</f>
        <v>358943.51880143961</v>
      </c>
      <c r="Y117" s="33" cm="1">
        <f t="array" ref="Y117">((Y$102=$R117)*((13-$S117)/12)+(Y$102&gt;$R117))*$Q117*INDEX($J$13:$O$39,$N117-1999,Y$102-2020)</f>
        <v>490077.5510035656</v>
      </c>
      <c r="Z117" s="33" cm="1">
        <f t="array" ref="Z117">((Z$102=$R117)*((13-$S117)/12)+(Z$102&gt;$R117))*$Q117*INDEX($J$13:$O$39,$N117-1999,Z$102-2020)</f>
        <v>548886.85712399345</v>
      </c>
      <c r="AA117" s="33" cm="1">
        <f t="array" ref="AA117">((AA$102=$R117)*((13-$S117)/12)+(AA$102&gt;$R117))*$Q117*INDEX($J$13:$O$39,$N117-1999,AA$102-2020)</f>
        <v>565353.4628377133</v>
      </c>
      <c r="AB117" s="33" cm="1">
        <f t="array" ref="AB117">((AB$102=$R117)*((13-$S117)/12)+(AB$102&gt;$R117))*$Q117*INDEX($J$13:$O$39,$N117-1999,AB$102-2020)</f>
        <v>585706.18749987113</v>
      </c>
      <c r="AC117" s="33" cm="1">
        <f t="array" ref="AC117">((AC$102=$R117)*((13-$S117)/12)+(AC$102&gt;$R117))*$Q117*INDEX($J$13:$O$39,$N117-1999,AC$102-2020)</f>
        <v>602105.96074986749</v>
      </c>
    </row>
    <row r="118" spans="2:29" x14ac:dyDescent="0.2">
      <c r="B118" s="32">
        <f>'13. Input desinvesteringen'!B31</f>
        <v>15</v>
      </c>
      <c r="J118" s="32" t="str">
        <f>'13. Input desinvesteringen'!C31</f>
        <v>Transport</v>
      </c>
      <c r="K118" s="32" t="str">
        <f>'13. Input desinvesteringen'!D31</f>
        <v>HS</v>
      </c>
      <c r="L118" s="32" t="str">
        <f>'13. Input desinvesteringen'!E31</f>
        <v>Nee</v>
      </c>
      <c r="M118" s="32" t="str">
        <f>'13. Input desinvesteringen'!F31</f>
        <v>GAW ultimo 2000 Enexis</v>
      </c>
      <c r="N118" s="82">
        <f>'13. Input desinvesteringen'!G31</f>
        <v>2008</v>
      </c>
      <c r="O118" s="82"/>
      <c r="P118" s="82"/>
      <c r="Q118" s="32">
        <f>'13. Input desinvesteringen'!H31</f>
        <v>107656</v>
      </c>
      <c r="R118" s="82">
        <f>'13. Input desinvesteringen'!I31</f>
        <v>2021</v>
      </c>
      <c r="S118" s="32">
        <f>'13. Input desinvesteringen'!J31</f>
        <v>5</v>
      </c>
      <c r="U118" s="76">
        <f t="shared" si="3"/>
        <v>0.9501178320392909</v>
      </c>
      <c r="V118" s="76">
        <f t="shared" si="4"/>
        <v>4.9882167960709101E-2</v>
      </c>
      <c r="X118" s="33" cm="1">
        <f t="array" ref="X118">((X$102=$R118)*((13-$S118)/12)+(X$102&gt;$R118))*$Q118*INDEX($J$13:$O$39,$N118-1999,X$102-2020)</f>
        <v>88949.942519561533</v>
      </c>
      <c r="Y118" s="33" cm="1">
        <f t="array" ref="Y118">((Y$102=$R118)*((13-$S118)/12)+(Y$102&gt;$R118))*$Q118*INDEX($J$13:$O$39,$N118-1999,Y$102-2020)</f>
        <v>136627.11171004653</v>
      </c>
      <c r="Z118" s="33" cm="1">
        <f t="array" ref="Z118">((Z$102=$R118)*((13-$S118)/12)+(Z$102&gt;$R118))*$Q118*INDEX($J$13:$O$39,$N118-1999,Z$102-2020)</f>
        <v>153022.36511525212</v>
      </c>
      <c r="AA118" s="33" cm="1">
        <f t="array" ref="AA118">((AA$102=$R118)*((13-$S118)/12)+(AA$102&gt;$R118))*$Q118*INDEX($J$13:$O$39,$N118-1999,AA$102-2020)</f>
        <v>157613.03606870968</v>
      </c>
      <c r="AB118" s="33" cm="1">
        <f t="array" ref="AB118">((AB$102=$R118)*((13-$S118)/12)+(AB$102&gt;$R118))*$Q118*INDEX($J$13:$O$39,$N118-1999,AB$102-2020)</f>
        <v>163287.10536718325</v>
      </c>
      <c r="AC118" s="33" cm="1">
        <f t="array" ref="AC118">((AC$102=$R118)*((13-$S118)/12)+(AC$102&gt;$R118))*$Q118*INDEX($J$13:$O$39,$N118-1999,AC$102-2020)</f>
        <v>167859.14431746438</v>
      </c>
    </row>
    <row r="119" spans="2:29" x14ac:dyDescent="0.2">
      <c r="B119" s="32">
        <f>'13. Input desinvesteringen'!B32</f>
        <v>16</v>
      </c>
      <c r="J119" s="32" t="str">
        <f>'13. Input desinvesteringen'!C32</f>
        <v>Transport</v>
      </c>
      <c r="K119" s="32" t="str">
        <f>'13. Input desinvesteringen'!D32</f>
        <v>HS</v>
      </c>
      <c r="L119" s="32" t="str">
        <f>'13. Input desinvesteringen'!E32</f>
        <v>Nee</v>
      </c>
      <c r="M119" s="32" t="str">
        <f>'13. Input desinvesteringen'!F32</f>
        <v>GAW ultimo 2000 Enexis</v>
      </c>
      <c r="N119" s="82">
        <f>'13. Input desinvesteringen'!G32</f>
        <v>2008</v>
      </c>
      <c r="O119" s="82"/>
      <c r="P119" s="82"/>
      <c r="Q119" s="32">
        <f>'13. Input desinvesteringen'!H32</f>
        <v>2346</v>
      </c>
      <c r="R119" s="82">
        <f>'13. Input desinvesteringen'!I32</f>
        <v>2021</v>
      </c>
      <c r="S119" s="32">
        <f>'13. Input desinvesteringen'!J32</f>
        <v>6</v>
      </c>
      <c r="U119" s="76">
        <f t="shared" si="3"/>
        <v>0.9501178320392909</v>
      </c>
      <c r="V119" s="76">
        <f t="shared" si="4"/>
        <v>4.9882167960709101E-2</v>
      </c>
      <c r="X119" s="33" cm="1">
        <f t="array" ref="X119">((X$102=$R119)*((13-$S119)/12)+(X$102&gt;$R119))*$Q119*INDEX($J$13:$O$39,$N119-1999,X$102-2020)</f>
        <v>1696.0689093690082</v>
      </c>
      <c r="Y119" s="33" cm="1">
        <f t="array" ref="Y119">((Y$102=$R119)*((13-$S119)/12)+(Y$102&gt;$R119))*$Q119*INDEX($J$13:$O$39,$N119-1999,Y$102-2020)</f>
        <v>2977.3278226180532</v>
      </c>
      <c r="Z119" s="33" cm="1">
        <f t="array" ref="Z119">((Z$102=$R119)*((13-$S119)/12)+(Z$102&gt;$R119))*$Q119*INDEX($J$13:$O$39,$N119-1999,Z$102-2020)</f>
        <v>3334.6071613322201</v>
      </c>
      <c r="AA119" s="33" cm="1">
        <f t="array" ref="AA119">((AA$102=$R119)*((13-$S119)/12)+(AA$102&gt;$R119))*$Q119*INDEX($J$13:$O$39,$N119-1999,AA$102-2020)</f>
        <v>3434.6453761721868</v>
      </c>
      <c r="AB119" s="33" cm="1">
        <f t="array" ref="AB119">((AB$102=$R119)*((13-$S119)/12)+(AB$102&gt;$R119))*$Q119*INDEX($J$13:$O$39,$N119-1999,AB$102-2020)</f>
        <v>3558.2926097143859</v>
      </c>
      <c r="AC119" s="33" cm="1">
        <f t="array" ref="AC119">((AC$102=$R119)*((13-$S119)/12)+(AC$102&gt;$R119))*$Q119*INDEX($J$13:$O$39,$N119-1999,AC$102-2020)</f>
        <v>3657.9248027863887</v>
      </c>
    </row>
    <row r="120" spans="2:29" x14ac:dyDescent="0.2">
      <c r="B120" s="32">
        <f>'13. Input desinvesteringen'!B33</f>
        <v>17</v>
      </c>
      <c r="J120" s="32" t="str">
        <f>'13. Input desinvesteringen'!C33</f>
        <v>Transport</v>
      </c>
      <c r="K120" s="32" t="str">
        <f>'13. Input desinvesteringen'!D33</f>
        <v>HS</v>
      </c>
      <c r="L120" s="32" t="str">
        <f>'13. Input desinvesteringen'!E33</f>
        <v>Nee</v>
      </c>
      <c r="M120" s="32" t="str">
        <f>'13. Input desinvesteringen'!F33</f>
        <v>GAW ultimo 2000 Enexis</v>
      </c>
      <c r="N120" s="82">
        <f>'13. Input desinvesteringen'!G33</f>
        <v>2008</v>
      </c>
      <c r="O120" s="82"/>
      <c r="P120" s="82"/>
      <c r="Q120" s="32">
        <f>'13. Input desinvesteringen'!H33</f>
        <v>14384</v>
      </c>
      <c r="R120" s="82">
        <f>'13. Input desinvesteringen'!I33</f>
        <v>2021</v>
      </c>
      <c r="S120" s="32">
        <f>'13. Input desinvesteringen'!J33</f>
        <v>7</v>
      </c>
      <c r="U120" s="76">
        <f t="shared" si="3"/>
        <v>0.9501178320392909</v>
      </c>
      <c r="V120" s="76">
        <f t="shared" si="4"/>
        <v>4.9882167960709101E-2</v>
      </c>
      <c r="X120" s="33" cm="1">
        <f t="array" ref="X120">((X$102=$R120)*((13-$S120)/12)+(X$102&gt;$R120))*$Q120*INDEX($J$13:$O$39,$N120-1999,X$102-2020)</f>
        <v>8913.5020797821762</v>
      </c>
      <c r="Y120" s="33" cm="1">
        <f t="array" ref="Y120">((Y$102=$R120)*((13-$S120)/12)+(Y$102&gt;$R120))*$Q120*INDEX($J$13:$O$39,$N120-1999,Y$102-2020)</f>
        <v>18254.852259393894</v>
      </c>
      <c r="Z120" s="33" cm="1">
        <f t="array" ref="Z120">((Z$102=$R120)*((13-$S120)/12)+(Z$102&gt;$R120))*$Q120*INDEX($J$13:$O$39,$N120-1999,Z$102-2020)</f>
        <v>20445.434530521165</v>
      </c>
      <c r="AA120" s="33" cm="1">
        <f t="array" ref="AA120">((AA$102=$R120)*((13-$S120)/12)+(AA$102&gt;$R120))*$Q120*INDEX($J$13:$O$39,$N120-1999,AA$102-2020)</f>
        <v>21058.797566436802</v>
      </c>
      <c r="AB120" s="33" cm="1">
        <f t="array" ref="AB120">((AB$102=$R120)*((13-$S120)/12)+(AB$102&gt;$R120))*$Q120*INDEX($J$13:$O$39,$N120-1999,AB$102-2020)</f>
        <v>21816.914278828528</v>
      </c>
      <c r="AC120" s="33" cm="1">
        <f t="array" ref="AC120">((AC$102=$R120)*((13-$S120)/12)+(AC$102&gt;$R120))*$Q120*INDEX($J$13:$O$39,$N120-1999,AC$102-2020)</f>
        <v>22427.787878635725</v>
      </c>
    </row>
    <row r="121" spans="2:29" x14ac:dyDescent="0.2">
      <c r="B121" s="32">
        <f>'13. Input desinvesteringen'!B34</f>
        <v>18</v>
      </c>
      <c r="J121" s="32" t="str">
        <f>'13. Input desinvesteringen'!C34</f>
        <v>Transport</v>
      </c>
      <c r="K121" s="32" t="str">
        <f>'13. Input desinvesteringen'!D34</f>
        <v>HS</v>
      </c>
      <c r="L121" s="32" t="str">
        <f>'13. Input desinvesteringen'!E34</f>
        <v>Nee</v>
      </c>
      <c r="M121" s="32" t="str">
        <f>'13. Input desinvesteringen'!F34</f>
        <v>GAW ultimo 2000 Enexis</v>
      </c>
      <c r="N121" s="82">
        <f>'13. Input desinvesteringen'!G34</f>
        <v>2008</v>
      </c>
      <c r="O121" s="82"/>
      <c r="P121" s="82"/>
      <c r="Q121" s="32">
        <f>'13. Input desinvesteringen'!H34</f>
        <v>19197</v>
      </c>
      <c r="R121" s="82">
        <f>'13. Input desinvesteringen'!I34</f>
        <v>2021</v>
      </c>
      <c r="S121" s="32">
        <f>'13. Input desinvesteringen'!J34</f>
        <v>8</v>
      </c>
      <c r="U121" s="76">
        <f t="shared" si="3"/>
        <v>0.9501178320392909</v>
      </c>
      <c r="V121" s="76">
        <f t="shared" si="4"/>
        <v>4.9882167960709101E-2</v>
      </c>
      <c r="X121" s="33" cm="1">
        <f t="array" ref="X121">((X$102=$R121)*((13-$S121)/12)+(X$102&gt;$R121))*$Q121*INDEX($J$13:$O$39,$N121-1999,X$102-2020)</f>
        <v>9913.358559602013</v>
      </c>
      <c r="Y121" s="33" cm="1">
        <f t="array" ref="Y121">((Y$102=$R121)*((13-$S121)/12)+(Y$102&gt;$R121))*$Q121*INDEX($J$13:$O$39,$N121-1999,Y$102-2020)</f>
        <v>24363.069996077906</v>
      </c>
      <c r="Z121" s="33" cm="1">
        <f t="array" ref="Z121">((Z$102=$R121)*((13-$S121)/12)+(Z$102&gt;$R121))*$Q121*INDEX($J$13:$O$39,$N121-1999,Z$102-2020)</f>
        <v>27286.638395607257</v>
      </c>
      <c r="AA121" s="33" cm="1">
        <f t="array" ref="AA121">((AA$102=$R121)*((13-$S121)/12)+(AA$102&gt;$R121))*$Q121*INDEX($J$13:$O$39,$N121-1999,AA$102-2020)</f>
        <v>28105.237547475477</v>
      </c>
      <c r="AB121" s="33" cm="1">
        <f t="array" ref="AB121">((AB$102=$R121)*((13-$S121)/12)+(AB$102&gt;$R121))*$Q121*INDEX($J$13:$O$39,$N121-1999,AB$102-2020)</f>
        <v>29117.026099184597</v>
      </c>
      <c r="AC121" s="33" cm="1">
        <f t="array" ref="AC121">((AC$102=$R121)*((13-$S121)/12)+(AC$102&gt;$R121))*$Q121*INDEX($J$13:$O$39,$N121-1999,AC$102-2020)</f>
        <v>29932.302829961765</v>
      </c>
    </row>
    <row r="122" spans="2:29" x14ac:dyDescent="0.2">
      <c r="B122" s="32">
        <f>'13. Input desinvesteringen'!B35</f>
        <v>19</v>
      </c>
      <c r="J122" s="32" t="str">
        <f>'13. Input desinvesteringen'!C35</f>
        <v>Transport</v>
      </c>
      <c r="K122" s="32" t="str">
        <f>'13. Input desinvesteringen'!D35</f>
        <v>HS</v>
      </c>
      <c r="L122" s="32" t="str">
        <f>'13. Input desinvesteringen'!E35</f>
        <v>Nee</v>
      </c>
      <c r="M122" s="32" t="str">
        <f>'13. Input desinvesteringen'!F35</f>
        <v>GAW ultimo 2000 Enexis</v>
      </c>
      <c r="N122" s="82">
        <f>'13. Input desinvesteringen'!G35</f>
        <v>2008</v>
      </c>
      <c r="O122" s="82"/>
      <c r="P122" s="82"/>
      <c r="Q122" s="32">
        <f>'13. Input desinvesteringen'!H35</f>
        <v>28252</v>
      </c>
      <c r="R122" s="82">
        <f>'13. Input desinvesteringen'!I35</f>
        <v>2021</v>
      </c>
      <c r="S122" s="32">
        <f>'13. Input desinvesteringen'!J35</f>
        <v>9</v>
      </c>
      <c r="U122" s="76">
        <f t="shared" si="3"/>
        <v>0.9501178320392909</v>
      </c>
      <c r="V122" s="76">
        <f t="shared" si="4"/>
        <v>4.9882167960709101E-2</v>
      </c>
      <c r="X122" s="33" cm="1">
        <f t="array" ref="X122">((X$102=$R122)*((13-$S122)/12)+(X$102&gt;$R122))*$Q122*INDEX($J$13:$O$39,$N122-1999,X$102-2020)</f>
        <v>11671.498922784853</v>
      </c>
      <c r="Y122" s="33" cm="1">
        <f t="array" ref="Y122">((Y$102=$R122)*((13-$S122)/12)+(Y$102&gt;$R122))*$Q122*INDEX($J$13:$O$39,$N122-1999,Y$102-2020)</f>
        <v>35854.844690795071</v>
      </c>
      <c r="Z122" s="33" cm="1">
        <f t="array" ref="Z122">((Z$102=$R122)*((13-$S122)/12)+(Z$102&gt;$R122))*$Q122*INDEX($J$13:$O$39,$N122-1999,Z$102-2020)</f>
        <v>40157.426053690484</v>
      </c>
      <c r="AA122" s="33" cm="1">
        <f t="array" ref="AA122">((AA$102=$R122)*((13-$S122)/12)+(AA$102&gt;$R122))*$Q122*INDEX($J$13:$O$39,$N122-1999,AA$102-2020)</f>
        <v>41362.148835301203</v>
      </c>
      <c r="AB122" s="33" cm="1">
        <f t="array" ref="AB122">((AB$102=$R122)*((13-$S122)/12)+(AB$102&gt;$R122))*$Q122*INDEX($J$13:$O$39,$N122-1999,AB$102-2020)</f>
        <v>42851.18619337205</v>
      </c>
      <c r="AC122" s="33" cm="1">
        <f t="array" ref="AC122">((AC$102=$R122)*((13-$S122)/12)+(AC$102&gt;$R122))*$Q122*INDEX($J$13:$O$39,$N122-1999,AC$102-2020)</f>
        <v>44051.019406786465</v>
      </c>
    </row>
    <row r="123" spans="2:29" x14ac:dyDescent="0.2">
      <c r="B123" s="32">
        <f>'13. Input desinvesteringen'!B36</f>
        <v>20</v>
      </c>
      <c r="J123" s="32" t="str">
        <f>'13. Input desinvesteringen'!C36</f>
        <v>Transport</v>
      </c>
      <c r="K123" s="32" t="str">
        <f>'13. Input desinvesteringen'!D36</f>
        <v>HS</v>
      </c>
      <c r="L123" s="32" t="str">
        <f>'13. Input desinvesteringen'!E36</f>
        <v>Nee</v>
      </c>
      <c r="M123" s="32" t="str">
        <f>'13. Input desinvesteringen'!F36</f>
        <v>GAW ultimo 2000 Enexis</v>
      </c>
      <c r="N123" s="82">
        <f>'13. Input desinvesteringen'!G36</f>
        <v>2008</v>
      </c>
      <c r="O123" s="82"/>
      <c r="P123" s="82"/>
      <c r="Q123" s="32">
        <f>'13. Input desinvesteringen'!H36</f>
        <v>55181</v>
      </c>
      <c r="R123" s="82">
        <f>'13. Input desinvesteringen'!I36</f>
        <v>2021</v>
      </c>
      <c r="S123" s="32">
        <f>'13. Input desinvesteringen'!J36</f>
        <v>10</v>
      </c>
      <c r="U123" s="76">
        <f t="shared" si="3"/>
        <v>0.9501178320392909</v>
      </c>
      <c r="V123" s="76">
        <f t="shared" si="4"/>
        <v>4.9882167960709101E-2</v>
      </c>
      <c r="X123" s="33" cm="1">
        <f t="array" ref="X123">((X$102=$R123)*((13-$S123)/12)+(X$102&gt;$R123))*$Q123*INDEX($J$13:$O$39,$N123-1999,X$102-2020)</f>
        <v>17097.328916311882</v>
      </c>
      <c r="Y123" s="33" cm="1">
        <f t="array" ref="Y123">((Y$102=$R123)*((13-$S123)/12)+(Y$102&gt;$R123))*$Q123*INDEX($J$13:$O$39,$N123-1999,Y$102-2020)</f>
        <v>70030.659241213478</v>
      </c>
      <c r="Z123" s="33" cm="1">
        <f t="array" ref="Z123">((Z$102=$R123)*((13-$S123)/12)+(Z$102&gt;$R123))*$Q123*INDEX($J$13:$O$39,$N123-1999,Z$102-2020)</f>
        <v>78434.338350159087</v>
      </c>
      <c r="AA123" s="33" cm="1">
        <f t="array" ref="AA123">((AA$102=$R123)*((13-$S123)/12)+(AA$102&gt;$R123))*$Q123*INDEX($J$13:$O$39,$N123-1999,AA$102-2020)</f>
        <v>80787.36850066387</v>
      </c>
      <c r="AB123" s="33" cm="1">
        <f t="array" ref="AB123">((AB$102=$R123)*((13-$S123)/12)+(AB$102&gt;$R123))*$Q123*INDEX($J$13:$O$39,$N123-1999,AB$102-2020)</f>
        <v>83695.713766687782</v>
      </c>
      <c r="AC123" s="33" cm="1">
        <f t="array" ref="AC123">((AC$102=$R123)*((13-$S123)/12)+(AC$102&gt;$R123))*$Q123*INDEX($J$13:$O$39,$N123-1999,AC$102-2020)</f>
        <v>86039.193752155043</v>
      </c>
    </row>
    <row r="124" spans="2:29" x14ac:dyDescent="0.2">
      <c r="B124" s="32">
        <f>'13. Input desinvesteringen'!B37</f>
        <v>21</v>
      </c>
      <c r="J124" s="32" t="str">
        <f>'13. Input desinvesteringen'!C37</f>
        <v>Transport</v>
      </c>
      <c r="K124" s="32" t="str">
        <f>'13. Input desinvesteringen'!D37</f>
        <v>HS</v>
      </c>
      <c r="L124" s="32" t="str">
        <f>'13. Input desinvesteringen'!E37</f>
        <v>Nee</v>
      </c>
      <c r="M124" s="32" t="str">
        <f>'13. Input desinvesteringen'!F37</f>
        <v>GAW ultimo 2000 Enexis</v>
      </c>
      <c r="N124" s="82">
        <f>'13. Input desinvesteringen'!G37</f>
        <v>2008</v>
      </c>
      <c r="O124" s="82"/>
      <c r="P124" s="82"/>
      <c r="Q124" s="32">
        <f>'13. Input desinvesteringen'!H37</f>
        <v>384034</v>
      </c>
      <c r="R124" s="82">
        <f>'13. Input desinvesteringen'!I37</f>
        <v>2021</v>
      </c>
      <c r="S124" s="32">
        <f>'13. Input desinvesteringen'!J37</f>
        <v>11</v>
      </c>
      <c r="U124" s="76">
        <f t="shared" si="3"/>
        <v>0.9501178320392909</v>
      </c>
      <c r="V124" s="76">
        <f t="shared" si="4"/>
        <v>4.9882167960709101E-2</v>
      </c>
      <c r="X124" s="33" cm="1">
        <f t="array" ref="X124">((X$102=$R124)*((13-$S124)/12)+(X$102&gt;$R124))*$Q124*INDEX($J$13:$O$39,$N124-1999,X$102-2020)</f>
        <v>79326.285171187148</v>
      </c>
      <c r="Y124" s="33" cm="1">
        <f t="array" ref="Y124">((Y$102=$R124)*((13-$S124)/12)+(Y$102&gt;$R124))*$Q124*INDEX($J$13:$O$39,$N124-1999,Y$102-2020)</f>
        <v>487380.69609177386</v>
      </c>
      <c r="Z124" s="33" cm="1">
        <f t="array" ref="Z124">((Z$102=$R124)*((13-$S124)/12)+(Z$102&gt;$R124))*$Q124*INDEX($J$13:$O$39,$N124-1999,Z$102-2020)</f>
        <v>545866.37962278677</v>
      </c>
      <c r="AA124" s="33" cm="1">
        <f t="array" ref="AA124">((AA$102=$R124)*((13-$S124)/12)+(AA$102&gt;$R124))*$Q124*INDEX($J$13:$O$39,$N124-1999,AA$102-2020)</f>
        <v>562242.37101147044</v>
      </c>
      <c r="AB124" s="33" cm="1">
        <f t="array" ref="AB124">((AB$102=$R124)*((13-$S124)/12)+(AB$102&gt;$R124))*$Q124*INDEX($J$13:$O$39,$N124-1999,AB$102-2020)</f>
        <v>582483.09636788338</v>
      </c>
      <c r="AC124" s="33" cm="1">
        <f t="array" ref="AC124">((AC$102=$R124)*((13-$S124)/12)+(AC$102&gt;$R124))*$Q124*INDEX($J$13:$O$39,$N124-1999,AC$102-2020)</f>
        <v>598792.62306618411</v>
      </c>
    </row>
    <row r="125" spans="2:29" x14ac:dyDescent="0.2">
      <c r="B125" s="32">
        <f>'13. Input desinvesteringen'!B38</f>
        <v>22</v>
      </c>
      <c r="J125" s="32" t="str">
        <f>'13. Input desinvesteringen'!C38</f>
        <v>Transport</v>
      </c>
      <c r="K125" s="32" t="str">
        <f>'13. Input desinvesteringen'!D38</f>
        <v>HS</v>
      </c>
      <c r="L125" s="32" t="str">
        <f>'13. Input desinvesteringen'!E38</f>
        <v>Nee</v>
      </c>
      <c r="M125" s="32" t="str">
        <f>'13. Input desinvesteringen'!F38</f>
        <v>GAW ultimo 2000 Enexis</v>
      </c>
      <c r="N125" s="82">
        <f>'13. Input desinvesteringen'!G38</f>
        <v>2008</v>
      </c>
      <c r="O125" s="82"/>
      <c r="P125" s="82"/>
      <c r="Q125" s="32">
        <f>'13. Input desinvesteringen'!H38</f>
        <v>9542</v>
      </c>
      <c r="R125" s="82">
        <f>'13. Input desinvesteringen'!I38</f>
        <v>2021</v>
      </c>
      <c r="S125" s="32">
        <f>'13. Input desinvesteringen'!J38</f>
        <v>12</v>
      </c>
      <c r="U125" s="76">
        <f t="shared" si="3"/>
        <v>0.9501178320392909</v>
      </c>
      <c r="V125" s="76">
        <f t="shared" si="4"/>
        <v>4.9882167960709101E-2</v>
      </c>
      <c r="X125" s="33" cm="1">
        <f t="array" ref="X125">((X$102=$R125)*((13-$S125)/12)+(X$102&gt;$R125))*$Q125*INDEX($J$13:$O$39,$N125-1999,X$102-2020)</f>
        <v>985.50051961996564</v>
      </c>
      <c r="Y125" s="33" cm="1">
        <f t="array" ref="Y125">((Y$102=$R125)*((13-$S125)/12)+(Y$102&gt;$R125))*$Q125*INDEX($J$13:$O$39,$N125-1999,Y$102-2020)</f>
        <v>12109.830385090139</v>
      </c>
      <c r="Z125" s="33" cm="1">
        <f t="array" ref="Z125">((Z$102=$R125)*((13-$S125)/12)+(Z$102&gt;$R125))*$Q125*INDEX($J$13:$O$39,$N125-1999,Z$102-2020)</f>
        <v>13563.010031300955</v>
      </c>
      <c r="AA125" s="33" cm="1">
        <f t="array" ref="AA125">((AA$102=$R125)*((13-$S125)/12)+(AA$102&gt;$R125))*$Q125*INDEX($J$13:$O$39,$N125-1999,AA$102-2020)</f>
        <v>13969.900332239986</v>
      </c>
      <c r="AB125" s="33" cm="1">
        <f t="array" ref="AB125">((AB$102=$R125)*((13-$S125)/12)+(AB$102&gt;$R125))*$Q125*INDEX($J$13:$O$39,$N125-1999,AB$102-2020)</f>
        <v>14472.816744200627</v>
      </c>
      <c r="AC125" s="33" cm="1">
        <f t="array" ref="AC125">((AC$102=$R125)*((13-$S125)/12)+(AC$102&gt;$R125))*$Q125*INDEX($J$13:$O$39,$N125-1999,AC$102-2020)</f>
        <v>14878.055613038245</v>
      </c>
    </row>
    <row r="126" spans="2:29" x14ac:dyDescent="0.2">
      <c r="B126" s="32">
        <f>'13. Input desinvesteringen'!B39</f>
        <v>23</v>
      </c>
      <c r="J126" s="32" t="str">
        <f>'13. Input desinvesteringen'!C39</f>
        <v>Transport</v>
      </c>
      <c r="K126" s="32" t="str">
        <f>'13. Input desinvesteringen'!D39</f>
        <v>HS</v>
      </c>
      <c r="L126" s="32" t="str">
        <f>'13. Input desinvesteringen'!E39</f>
        <v>Nee</v>
      </c>
      <c r="M126" s="32" t="str">
        <f>'13. Input desinvesteringen'!F39</f>
        <v>GAW ultimo 2000 Liander (overname: 2008)</v>
      </c>
      <c r="N126" s="82">
        <f>'13. Input desinvesteringen'!G39</f>
        <v>2008</v>
      </c>
      <c r="O126" s="82"/>
      <c r="P126" s="82"/>
      <c r="Q126" s="32">
        <f>'13. Input desinvesteringen'!H39</f>
        <v>41888</v>
      </c>
      <c r="R126" s="82">
        <f>'13. Input desinvesteringen'!I39</f>
        <v>2021</v>
      </c>
      <c r="S126" s="32">
        <f>'13. Input desinvesteringen'!J39</f>
        <v>1</v>
      </c>
      <c r="U126" s="76">
        <f t="shared" si="3"/>
        <v>0.9501178320392909</v>
      </c>
      <c r="V126" s="76">
        <f t="shared" si="4"/>
        <v>4.9882167960709101E-2</v>
      </c>
      <c r="X126" s="33" cm="1">
        <f t="array" ref="X126">((X$102=$R126)*((13-$S126)/12)+(X$102&gt;$R126))*$Q126*INDEX($J$13:$O$39,$N126-1999,X$102-2020)</f>
        <v>51914.45705199051</v>
      </c>
      <c r="Y126" s="33" cm="1">
        <f t="array" ref="Y126">((Y$102=$R126)*((13-$S126)/12)+(Y$102&gt;$R126))*$Q126*INDEX($J$13:$O$39,$N126-1999,Y$102-2020)</f>
        <v>53160.40402123829</v>
      </c>
      <c r="Z126" s="33" cm="1">
        <f t="array" ref="Z126">((Z$102=$R126)*((13-$S126)/12)+(Z$102&gt;$R126))*$Q126*INDEX($J$13:$O$39,$N126-1999,Z$102-2020)</f>
        <v>59539.652503786885</v>
      </c>
      <c r="AA126" s="33" cm="1">
        <f t="array" ref="AA126">((AA$102=$R126)*((13-$S126)/12)+(AA$102&gt;$R126))*$Q126*INDEX($J$13:$O$39,$N126-1999,AA$102-2020)</f>
        <v>61325.842078900496</v>
      </c>
      <c r="AB126" s="33" cm="1">
        <f t="array" ref="AB126">((AB$102=$R126)*((13-$S126)/12)+(AB$102&gt;$R126))*$Q126*INDEX($J$13:$O$39,$N126-1999,AB$102-2020)</f>
        <v>63533.57239374092</v>
      </c>
      <c r="AC126" s="33" cm="1">
        <f t="array" ref="AC126">((AC$102=$R126)*((13-$S126)/12)+(AC$102&gt;$R126))*$Q126*INDEX($J$13:$O$39,$N126-1999,AC$102-2020)</f>
        <v>65312.512420765663</v>
      </c>
    </row>
    <row r="127" spans="2:29" x14ac:dyDescent="0.2">
      <c r="B127" s="32">
        <f>'13. Input desinvesteringen'!B40</f>
        <v>24</v>
      </c>
      <c r="J127" s="32" t="str">
        <f>'13. Input desinvesteringen'!C40</f>
        <v>Transport</v>
      </c>
      <c r="K127" s="32" t="str">
        <f>'13. Input desinvesteringen'!D40</f>
        <v>HS</v>
      </c>
      <c r="L127" s="32" t="str">
        <f>'13. Input desinvesteringen'!E40</f>
        <v>Nee</v>
      </c>
      <c r="M127" s="32" t="str">
        <f>'13. Input desinvesteringen'!F40</f>
        <v>GAW ultimo 2000 Liander (overname: 2008)</v>
      </c>
      <c r="N127" s="82">
        <f>'13. Input desinvesteringen'!G40</f>
        <v>2008</v>
      </c>
      <c r="O127" s="82"/>
      <c r="P127" s="82"/>
      <c r="Q127" s="32">
        <f>'13. Input desinvesteringen'!H40</f>
        <v>451</v>
      </c>
      <c r="R127" s="82">
        <f>'13. Input desinvesteringen'!I40</f>
        <v>2021</v>
      </c>
      <c r="S127" s="32">
        <f>'13. Input desinvesteringen'!J40</f>
        <v>3</v>
      </c>
      <c r="U127" s="76">
        <f t="shared" si="3"/>
        <v>0.9501178320392909</v>
      </c>
      <c r="V127" s="76">
        <f t="shared" si="4"/>
        <v>4.9882167960709101E-2</v>
      </c>
      <c r="X127" s="33" cm="1">
        <f t="array" ref="X127">((X$102=$R127)*((13-$S127)/12)+(X$102&gt;$R127))*$Q127*INDEX($J$13:$O$39,$N127-1999,X$102-2020)</f>
        <v>465.79410432677065</v>
      </c>
      <c r="Y127" s="33" cm="1">
        <f t="array" ref="Y127">((Y$102=$R127)*((13-$S127)/12)+(Y$102&gt;$R127))*$Q127*INDEX($J$13:$O$39,$N127-1999,Y$102-2020)</f>
        <v>572.3677953967358</v>
      </c>
      <c r="Z127" s="33" cm="1">
        <f t="array" ref="Z127">((Z$102=$R127)*((13-$S127)/12)+(Z$102&gt;$R127))*$Q127*INDEX($J$13:$O$39,$N127-1999,Z$102-2020)</f>
        <v>641.05193084434404</v>
      </c>
      <c r="AA127" s="33" cm="1">
        <f t="array" ref="AA127">((AA$102=$R127)*((13-$S127)/12)+(AA$102&gt;$R127))*$Q127*INDEX($J$13:$O$39,$N127-1999,AA$102-2020)</f>
        <v>660.28348876967448</v>
      </c>
      <c r="AB127" s="33" cm="1">
        <f t="array" ref="AB127">((AB$102=$R127)*((13-$S127)/12)+(AB$102&gt;$R127))*$Q127*INDEX($J$13:$O$39,$N127-1999,AB$102-2020)</f>
        <v>684.05369436538285</v>
      </c>
      <c r="AC127" s="33" cm="1">
        <f t="array" ref="AC127">((AC$102=$R127)*((13-$S127)/12)+(AC$102&gt;$R127))*$Q127*INDEX($J$13:$O$39,$N127-1999,AC$102-2020)</f>
        <v>703.20719780761351</v>
      </c>
    </row>
    <row r="128" spans="2:29" x14ac:dyDescent="0.2">
      <c r="B128" s="32">
        <f>'13. Input desinvesteringen'!B41</f>
        <v>25</v>
      </c>
      <c r="J128" s="32" t="str">
        <f>'13. Input desinvesteringen'!C41</f>
        <v>Transport</v>
      </c>
      <c r="K128" s="32" t="str">
        <f>'13. Input desinvesteringen'!D41</f>
        <v>HS</v>
      </c>
      <c r="L128" s="32" t="str">
        <f>'13. Input desinvesteringen'!E41</f>
        <v>Nee</v>
      </c>
      <c r="M128" s="32" t="str">
        <f>'13. Input desinvesteringen'!F41</f>
        <v>GAW ultimo 2000 Liander (overname: 2008)</v>
      </c>
      <c r="N128" s="82">
        <f>'13. Input desinvesteringen'!G41</f>
        <v>2008</v>
      </c>
      <c r="O128" s="82"/>
      <c r="P128" s="82"/>
      <c r="Q128" s="32">
        <f>'13. Input desinvesteringen'!H41</f>
        <v>32157</v>
      </c>
      <c r="R128" s="82">
        <f>'13. Input desinvesteringen'!I41</f>
        <v>2021</v>
      </c>
      <c r="S128" s="32">
        <f>'13. Input desinvesteringen'!J41</f>
        <v>4</v>
      </c>
      <c r="U128" s="76">
        <f t="shared" si="3"/>
        <v>0.9501178320392909</v>
      </c>
      <c r="V128" s="76">
        <f t="shared" si="4"/>
        <v>4.9882167960709101E-2</v>
      </c>
      <c r="X128" s="33" cm="1">
        <f t="array" ref="X128">((X$102=$R128)*((13-$S128)/12)+(X$102&gt;$R128))*$Q128*INDEX($J$13:$O$39,$N128-1999,X$102-2020)</f>
        <v>29890.65834047088</v>
      </c>
      <c r="Y128" s="33" cm="1">
        <f t="array" ref="Y128">((Y$102=$R128)*((13-$S128)/12)+(Y$102&gt;$R128))*$Q128*INDEX($J$13:$O$39,$N128-1999,Y$102-2020)</f>
        <v>40810.712187522906</v>
      </c>
      <c r="Z128" s="33" cm="1">
        <f t="array" ref="Z128">((Z$102=$R128)*((13-$S128)/12)+(Z$102&gt;$R128))*$Q128*INDEX($J$13:$O$39,$N128-1999,Z$102-2020)</f>
        <v>45707.99765002566</v>
      </c>
      <c r="AA128" s="33" cm="1">
        <f t="array" ref="AA128">((AA$102=$R128)*((13-$S128)/12)+(AA$102&gt;$R128))*$Q128*INDEX($J$13:$O$39,$N128-1999,AA$102-2020)</f>
        <v>47079.237579526431</v>
      </c>
      <c r="AB128" s="33" cm="1">
        <f t="array" ref="AB128">((AB$102=$R128)*((13-$S128)/12)+(AB$102&gt;$R128))*$Q128*INDEX($J$13:$O$39,$N128-1999,AB$102-2020)</f>
        <v>48774.090132389392</v>
      </c>
      <c r="AC128" s="33" cm="1">
        <f t="array" ref="AC128">((AC$102=$R128)*((13-$S128)/12)+(AC$102&gt;$R128))*$Q128*INDEX($J$13:$O$39,$N128-1999,AC$102-2020)</f>
        <v>50139.764656096289</v>
      </c>
    </row>
    <row r="129" spans="2:29" x14ac:dyDescent="0.2">
      <c r="B129" s="32">
        <f>'13. Input desinvesteringen'!B42</f>
        <v>26</v>
      </c>
      <c r="J129" s="32" t="str">
        <f>'13. Input desinvesteringen'!C42</f>
        <v>Transport</v>
      </c>
      <c r="K129" s="32" t="str">
        <f>'13. Input desinvesteringen'!D42</f>
        <v>HS</v>
      </c>
      <c r="L129" s="32" t="str">
        <f>'13. Input desinvesteringen'!E42</f>
        <v>Nee</v>
      </c>
      <c r="M129" s="32" t="str">
        <f>'13. Input desinvesteringen'!F42</f>
        <v>GAW ultimo 2000 Liander (overname: 2008)</v>
      </c>
      <c r="N129" s="82">
        <f>'13. Input desinvesteringen'!G42</f>
        <v>2008</v>
      </c>
      <c r="O129" s="82"/>
      <c r="P129" s="82"/>
      <c r="Q129" s="32">
        <f>'13. Input desinvesteringen'!H42</f>
        <v>719562</v>
      </c>
      <c r="R129" s="82">
        <f>'13. Input desinvesteringen'!I42</f>
        <v>2021</v>
      </c>
      <c r="S129" s="32">
        <f>'13. Input desinvesteringen'!J42</f>
        <v>5</v>
      </c>
      <c r="U129" s="76">
        <f t="shared" si="3"/>
        <v>0.9501178320392909</v>
      </c>
      <c r="V129" s="76">
        <f t="shared" si="4"/>
        <v>4.9882167960709101E-2</v>
      </c>
      <c r="X129" s="33" cm="1">
        <f t="array" ref="X129">((X$102=$R129)*((13-$S129)/12)+(X$102&gt;$R129))*$Q129*INDEX($J$13:$O$39,$N129-1999,X$102-2020)</f>
        <v>594532.57170302386</v>
      </c>
      <c r="Y129" s="33" cm="1">
        <f t="array" ref="Y129">((Y$102=$R129)*((13-$S129)/12)+(Y$102&gt;$R129))*$Q129*INDEX($J$13:$O$39,$N129-1999,Y$102-2020)</f>
        <v>913202.03013584472</v>
      </c>
      <c r="Z129" s="33" cm="1">
        <f t="array" ref="Z129">((Z$102=$R129)*((13-$S129)/12)+(Z$102&gt;$R129))*$Q129*INDEX($J$13:$O$39,$N129-1999,Z$102-2020)</f>
        <v>1022786.2737521462</v>
      </c>
      <c r="AA129" s="33" cm="1">
        <f t="array" ref="AA129">((AA$102=$R129)*((13-$S129)/12)+(AA$102&gt;$R129))*$Q129*INDEX($J$13:$O$39,$N129-1999,AA$102-2020)</f>
        <v>1053469.8619647105</v>
      </c>
      <c r="AB129" s="33" cm="1">
        <f t="array" ref="AB129">((AB$102=$R129)*((13-$S129)/12)+(AB$102&gt;$R129))*$Q129*INDEX($J$13:$O$39,$N129-1999,AB$102-2020)</f>
        <v>1091394.7769954402</v>
      </c>
      <c r="AC129" s="33" cm="1">
        <f t="array" ref="AC129">((AC$102=$R129)*((13-$S129)/12)+(AC$102&gt;$R129))*$Q129*INDEX($J$13:$O$39,$N129-1999,AC$102-2020)</f>
        <v>1121953.8307513127</v>
      </c>
    </row>
    <row r="130" spans="2:29" x14ac:dyDescent="0.2">
      <c r="B130" s="32">
        <f>'13. Input desinvesteringen'!B43</f>
        <v>27</v>
      </c>
      <c r="J130" s="32" t="str">
        <f>'13. Input desinvesteringen'!C43</f>
        <v>Transport</v>
      </c>
      <c r="K130" s="32" t="str">
        <f>'13. Input desinvesteringen'!D43</f>
        <v>HS</v>
      </c>
      <c r="L130" s="32" t="str">
        <f>'13. Input desinvesteringen'!E43</f>
        <v>Nee</v>
      </c>
      <c r="M130" s="32" t="str">
        <f>'13. Input desinvesteringen'!F43</f>
        <v>GAW ultimo 2000 Liander (overname: 2008)</v>
      </c>
      <c r="N130" s="82">
        <f>'13. Input desinvesteringen'!G43</f>
        <v>2008</v>
      </c>
      <c r="O130" s="82"/>
      <c r="P130" s="82"/>
      <c r="Q130" s="32">
        <f>'13. Input desinvesteringen'!H43</f>
        <v>3167</v>
      </c>
      <c r="R130" s="82">
        <f>'13. Input desinvesteringen'!I43</f>
        <v>2021</v>
      </c>
      <c r="S130" s="32">
        <f>'13. Input desinvesteringen'!J43</f>
        <v>7</v>
      </c>
      <c r="U130" s="76">
        <f t="shared" si="3"/>
        <v>0.9501178320392909</v>
      </c>
      <c r="V130" s="76">
        <f t="shared" si="4"/>
        <v>4.9882167960709101E-2</v>
      </c>
      <c r="X130" s="33" cm="1">
        <f t="array" ref="X130">((X$102=$R130)*((13-$S130)/12)+(X$102&gt;$R130))*$Q130*INDEX($J$13:$O$39,$N130-1999,X$102-2020)</f>
        <v>1962.5320555248991</v>
      </c>
      <c r="Y130" s="33" cm="1">
        <f t="array" ref="Y130">((Y$102=$R130)*((13-$S130)/12)+(Y$102&gt;$R130))*$Q130*INDEX($J$13:$O$39,$N130-1999,Y$102-2020)</f>
        <v>4019.2656497149937</v>
      </c>
      <c r="Z130" s="33" cm="1">
        <f t="array" ref="Z130">((Z$102=$R130)*((13-$S130)/12)+(Z$102&gt;$R130))*$Q130*INDEX($J$13:$O$39,$N130-1999,Z$102-2020)</f>
        <v>4501.5775276807926</v>
      </c>
      <c r="AA130" s="33" cm="1">
        <f t="array" ref="AA130">((AA$102=$R130)*((13-$S130)/12)+(AA$102&gt;$R130))*$Q130*INDEX($J$13:$O$39,$N130-1999,AA$102-2020)</f>
        <v>4636.6248535112172</v>
      </c>
      <c r="AB130" s="33" cm="1">
        <f t="array" ref="AB130">((AB$102=$R130)*((13-$S130)/12)+(AB$102&gt;$R130))*$Q130*INDEX($J$13:$O$39,$N130-1999,AB$102-2020)</f>
        <v>4803.5433482376211</v>
      </c>
      <c r="AC130" s="33" cm="1">
        <f t="array" ref="AC130">((AC$102=$R130)*((13-$S130)/12)+(AC$102&gt;$R130))*$Q130*INDEX($J$13:$O$39,$N130-1999,AC$102-2020)</f>
        <v>4938.0425619882753</v>
      </c>
    </row>
    <row r="131" spans="2:29" x14ac:dyDescent="0.2">
      <c r="B131" s="32">
        <f>'13. Input desinvesteringen'!B44</f>
        <v>28</v>
      </c>
      <c r="J131" s="32" t="str">
        <f>'13. Input desinvesteringen'!C44</f>
        <v>Transport</v>
      </c>
      <c r="K131" s="32" t="str">
        <f>'13. Input desinvesteringen'!D44</f>
        <v>HS</v>
      </c>
      <c r="L131" s="32" t="str">
        <f>'13. Input desinvesteringen'!E44</f>
        <v>Nee</v>
      </c>
      <c r="M131" s="32" t="str">
        <f>'13. Input desinvesteringen'!F44</f>
        <v>GAW ultimo 2000 Liander (overname: 2008)</v>
      </c>
      <c r="N131" s="82">
        <f>'13. Input desinvesteringen'!G44</f>
        <v>2008</v>
      </c>
      <c r="O131" s="82"/>
      <c r="P131" s="82"/>
      <c r="Q131" s="32">
        <f>'13. Input desinvesteringen'!H44</f>
        <v>400947</v>
      </c>
      <c r="R131" s="82">
        <f>'13. Input desinvesteringen'!I44</f>
        <v>2021</v>
      </c>
      <c r="S131" s="32">
        <f>'13. Input desinvesteringen'!J44</f>
        <v>8</v>
      </c>
      <c r="U131" s="76">
        <f t="shared" si="3"/>
        <v>0.9501178320392909</v>
      </c>
      <c r="V131" s="76">
        <f t="shared" si="4"/>
        <v>4.9882167960709101E-2</v>
      </c>
      <c r="X131" s="33" cm="1">
        <f t="array" ref="X131">((X$102=$R131)*((13-$S131)/12)+(X$102&gt;$R131))*$Q131*INDEX($J$13:$O$39,$N131-1999,X$102-2020)</f>
        <v>207049.61058481786</v>
      </c>
      <c r="Y131" s="33" cm="1">
        <f t="array" ref="Y131">((Y$102=$R131)*((13-$S131)/12)+(Y$102&gt;$R131))*$Q131*INDEX($J$13:$O$39,$N131-1999,Y$102-2020)</f>
        <v>508845.12297324836</v>
      </c>
      <c r="Z131" s="33" cm="1">
        <f t="array" ref="Z131">((Z$102=$R131)*((13-$S131)/12)+(Z$102&gt;$R131))*$Q131*INDEX($J$13:$O$39,$N131-1999,Z$102-2020)</f>
        <v>569906.53773003817</v>
      </c>
      <c r="AA131" s="33" cm="1">
        <f t="array" ref="AA131">((AA$102=$R131)*((13-$S131)/12)+(AA$102&gt;$R131))*$Q131*INDEX($J$13:$O$39,$N131-1999,AA$102-2020)</f>
        <v>587003.7338619394</v>
      </c>
      <c r="AB131" s="33" cm="1">
        <f t="array" ref="AB131">((AB$102=$R131)*((13-$S131)/12)+(AB$102&gt;$R131))*$Q131*INDEX($J$13:$O$39,$N131-1999,AB$102-2020)</f>
        <v>608135.86828096921</v>
      </c>
      <c r="AC131" s="33" cm="1">
        <f t="array" ref="AC131">((AC$102=$R131)*((13-$S131)/12)+(AC$102&gt;$R131))*$Q131*INDEX($J$13:$O$39,$N131-1999,AC$102-2020)</f>
        <v>625163.67259283643</v>
      </c>
    </row>
    <row r="132" spans="2:29" x14ac:dyDescent="0.2">
      <c r="B132" s="32">
        <f>'13. Input desinvesteringen'!B45</f>
        <v>29</v>
      </c>
      <c r="J132" s="32" t="str">
        <f>'13. Input desinvesteringen'!C45</f>
        <v>Transport</v>
      </c>
      <c r="K132" s="32" t="str">
        <f>'13. Input desinvesteringen'!D45</f>
        <v>HS</v>
      </c>
      <c r="L132" s="32" t="str">
        <f>'13. Input desinvesteringen'!E45</f>
        <v>Nee</v>
      </c>
      <c r="M132" s="32" t="str">
        <f>'13. Input desinvesteringen'!F45</f>
        <v>GAW ultimo 2000 Liander (overname: 2008)</v>
      </c>
      <c r="N132" s="82">
        <f>'13. Input desinvesteringen'!G45</f>
        <v>2008</v>
      </c>
      <c r="O132" s="82"/>
      <c r="P132" s="82"/>
      <c r="Q132" s="32">
        <f>'13. Input desinvesteringen'!H45</f>
        <v>18451</v>
      </c>
      <c r="R132" s="82">
        <f>'13. Input desinvesteringen'!I45</f>
        <v>2021</v>
      </c>
      <c r="S132" s="32">
        <f>'13. Input desinvesteringen'!J45</f>
        <v>9</v>
      </c>
      <c r="U132" s="76">
        <f t="shared" si="3"/>
        <v>0.9501178320392909</v>
      </c>
      <c r="V132" s="76">
        <f t="shared" si="4"/>
        <v>4.9882167960709101E-2</v>
      </c>
      <c r="X132" s="33" cm="1">
        <f t="array" ref="X132">((X$102=$R132)*((13-$S132)/12)+(X$102&gt;$R132))*$Q132*INDEX($J$13:$O$39,$N132-1999,X$102-2020)</f>
        <v>7622.4984646858038</v>
      </c>
      <c r="Y132" s="33" cm="1">
        <f t="array" ref="Y132">((Y$102=$R132)*((13-$S132)/12)+(Y$102&gt;$R132))*$Q132*INDEX($J$13:$O$39,$N132-1999,Y$102-2020)</f>
        <v>23416.315283514792</v>
      </c>
      <c r="Z132" s="33" cm="1">
        <f t="array" ref="Z132">((Z$102=$R132)*((13-$S132)/12)+(Z$102&gt;$R132))*$Q132*INDEX($J$13:$O$39,$N132-1999,Z$102-2020)</f>
        <v>26226.27311753657</v>
      </c>
      <c r="AA132" s="33" cm="1">
        <f t="array" ref="AA132">((AA$102=$R132)*((13-$S132)/12)+(AA$102&gt;$R132))*$Q132*INDEX($J$13:$O$39,$N132-1999,AA$102-2020)</f>
        <v>27013.061311062669</v>
      </c>
      <c r="AB132" s="33" cm="1">
        <f t="array" ref="AB132">((AB$102=$R132)*((13-$S132)/12)+(AB$102&gt;$R132))*$Q132*INDEX($J$13:$O$39,$N132-1999,AB$102-2020)</f>
        <v>27985.531518260927</v>
      </c>
      <c r="AC132" s="33" cm="1">
        <f t="array" ref="AC132">((AC$102=$R132)*((13-$S132)/12)+(AC$102&gt;$R132))*$Q132*INDEX($J$13:$O$39,$N132-1999,AC$102-2020)</f>
        <v>28769.126400772231</v>
      </c>
    </row>
    <row r="133" spans="2:29" x14ac:dyDescent="0.2">
      <c r="B133" s="32">
        <f>'13. Input desinvesteringen'!B46</f>
        <v>30</v>
      </c>
      <c r="J133" s="32" t="str">
        <f>'13. Input desinvesteringen'!C46</f>
        <v>Transport</v>
      </c>
      <c r="K133" s="32" t="str">
        <f>'13. Input desinvesteringen'!D46</f>
        <v>HS</v>
      </c>
      <c r="L133" s="32" t="str">
        <f>'13. Input desinvesteringen'!E46</f>
        <v>Nee</v>
      </c>
      <c r="M133" s="32" t="str">
        <f>'13. Input desinvesteringen'!F46</f>
        <v>GAW ultimo 2000 Liander (overname: 2008)</v>
      </c>
      <c r="N133" s="82">
        <f>'13. Input desinvesteringen'!G46</f>
        <v>2008</v>
      </c>
      <c r="O133" s="82"/>
      <c r="P133" s="82"/>
      <c r="Q133" s="32">
        <f>'13. Input desinvesteringen'!H46</f>
        <v>199352</v>
      </c>
      <c r="R133" s="82">
        <f>'13. Input desinvesteringen'!I46</f>
        <v>2021</v>
      </c>
      <c r="S133" s="32">
        <f>'13. Input desinvesteringen'!J46</f>
        <v>10</v>
      </c>
      <c r="U133" s="76">
        <f t="shared" si="3"/>
        <v>0.9501178320392909</v>
      </c>
      <c r="V133" s="76">
        <f t="shared" si="4"/>
        <v>4.9882167960709101E-2</v>
      </c>
      <c r="X133" s="33" cm="1">
        <f t="array" ref="X133">((X$102=$R133)*((13-$S133)/12)+(X$102&gt;$R133))*$Q133*INDEX($J$13:$O$39,$N133-1999,X$102-2020)</f>
        <v>61767.396642406013</v>
      </c>
      <c r="Y133" s="33" cm="1">
        <f t="array" ref="Y133">((Y$102=$R133)*((13-$S133)/12)+(Y$102&gt;$R133))*$Q133*INDEX($J$13:$O$39,$N133-1999,Y$102-2020)</f>
        <v>252999.25664729506</v>
      </c>
      <c r="Z133" s="33" cm="1">
        <f t="array" ref="Z133">((Z$102=$R133)*((13-$S133)/12)+(Z$102&gt;$R133))*$Q133*INDEX($J$13:$O$39,$N133-1999,Z$102-2020)</f>
        <v>283359.16744497046</v>
      </c>
      <c r="AA133" s="33" cm="1">
        <f t="array" ref="AA133">((AA$102=$R133)*((13-$S133)/12)+(AA$102&gt;$R133))*$Q133*INDEX($J$13:$O$39,$N133-1999,AA$102-2020)</f>
        <v>291859.94246831961</v>
      </c>
      <c r="AB133" s="33" cm="1">
        <f t="array" ref="AB133">((AB$102=$R133)*((13-$S133)/12)+(AB$102&gt;$R133))*$Q133*INDEX($J$13:$O$39,$N133-1999,AB$102-2020)</f>
        <v>302366.90039717912</v>
      </c>
      <c r="AC133" s="33" cm="1">
        <f t="array" ref="AC133">((AC$102=$R133)*((13-$S133)/12)+(AC$102&gt;$R133))*$Q133*INDEX($J$13:$O$39,$N133-1999,AC$102-2020)</f>
        <v>310833.17360830016</v>
      </c>
    </row>
    <row r="134" spans="2:29" x14ac:dyDescent="0.2">
      <c r="B134" s="32">
        <f>'13. Input desinvesteringen'!B47</f>
        <v>31</v>
      </c>
      <c r="J134" s="32" t="str">
        <f>'13. Input desinvesteringen'!C47</f>
        <v>Transport</v>
      </c>
      <c r="K134" s="32" t="str">
        <f>'13. Input desinvesteringen'!D47</f>
        <v>HS</v>
      </c>
      <c r="L134" s="32" t="str">
        <f>'13. Input desinvesteringen'!E47</f>
        <v>Nee</v>
      </c>
      <c r="M134" s="32" t="str">
        <f>'13. Input desinvesteringen'!F47</f>
        <v>GAW ultimo 2000 Liander (overname: 2008)</v>
      </c>
      <c r="N134" s="82">
        <f>'13. Input desinvesteringen'!G47</f>
        <v>2008</v>
      </c>
      <c r="O134" s="82"/>
      <c r="P134" s="82"/>
      <c r="Q134" s="32">
        <f>'13. Input desinvesteringen'!H47</f>
        <v>34832</v>
      </c>
      <c r="R134" s="82">
        <f>'13. Input desinvesteringen'!I47</f>
        <v>2021</v>
      </c>
      <c r="S134" s="32">
        <f>'13. Input desinvesteringen'!J47</f>
        <v>11</v>
      </c>
      <c r="U134" s="76">
        <f t="shared" si="3"/>
        <v>0.9501178320392909</v>
      </c>
      <c r="V134" s="76">
        <f t="shared" si="4"/>
        <v>4.9882167960709101E-2</v>
      </c>
      <c r="X134" s="33" cm="1">
        <f t="array" ref="X134">((X$102=$R134)*((13-$S134)/12)+(X$102&gt;$R134))*$Q134*INDEX($J$13:$O$39,$N134-1999,X$102-2020)</f>
        <v>7194.9180673658857</v>
      </c>
      <c r="Y134" s="33" cm="1">
        <f t="array" ref="Y134">((Y$102=$R134)*((13-$S134)/12)+(Y$102&gt;$R134))*$Q134*INDEX($J$13:$O$39,$N134-1999,Y$102-2020)</f>
        <v>44205.576605896007</v>
      </c>
      <c r="Z134" s="33" cm="1">
        <f t="array" ref="Z134">((Z$102=$R134)*((13-$S134)/12)+(Z$102&gt;$R134))*$Q134*INDEX($J$13:$O$39,$N134-1999,Z$102-2020)</f>
        <v>49510.24579860353</v>
      </c>
      <c r="AA134" s="33" cm="1">
        <f t="array" ref="AA134">((AA$102=$R134)*((13-$S134)/12)+(AA$102&gt;$R134))*$Q134*INDEX($J$13:$O$39,$N134-1999,AA$102-2020)</f>
        <v>50995.553172561646</v>
      </c>
      <c r="AB134" s="33" cm="1">
        <f t="array" ref="AB134">((AB$102=$R134)*((13-$S134)/12)+(AB$102&gt;$R134))*$Q134*INDEX($J$13:$O$39,$N134-1999,AB$102-2020)</f>
        <v>52831.393086773867</v>
      </c>
      <c r="AC134" s="33" cm="1">
        <f t="array" ref="AC134">((AC$102=$R134)*((13-$S134)/12)+(AC$102&gt;$R134))*$Q134*INDEX($J$13:$O$39,$N134-1999,AC$102-2020)</f>
        <v>54310.672093203531</v>
      </c>
    </row>
    <row r="135" spans="2:29" x14ac:dyDescent="0.2">
      <c r="B135" s="32">
        <f>'13. Input desinvesteringen'!B48</f>
        <v>32</v>
      </c>
      <c r="J135" s="32" t="str">
        <f>'13. Input desinvesteringen'!C48</f>
        <v>Transport</v>
      </c>
      <c r="K135" s="32" t="str">
        <f>'13. Input desinvesteringen'!D48</f>
        <v>HS</v>
      </c>
      <c r="L135" s="32" t="str">
        <f>'13. Input desinvesteringen'!E48</f>
        <v>Nee</v>
      </c>
      <c r="M135" s="32" t="str">
        <f>'13. Input desinvesteringen'!F48</f>
        <v>GAW ultimo 2000 Liander (overname: 2008)</v>
      </c>
      <c r="N135" s="82">
        <f>'13. Input desinvesteringen'!G48</f>
        <v>2008</v>
      </c>
      <c r="O135" s="82"/>
      <c r="P135" s="82"/>
      <c r="Q135" s="32">
        <f>'13. Input desinvesteringen'!H48</f>
        <v>88222</v>
      </c>
      <c r="R135" s="82">
        <f>'13. Input desinvesteringen'!I48</f>
        <v>2021</v>
      </c>
      <c r="S135" s="32">
        <f>'13. Input desinvesteringen'!J48</f>
        <v>12</v>
      </c>
      <c r="U135" s="76">
        <f t="shared" si="3"/>
        <v>0.9501178320392909</v>
      </c>
      <c r="V135" s="76">
        <f t="shared" si="4"/>
        <v>4.9882167960709101E-2</v>
      </c>
      <c r="X135" s="33" cm="1">
        <f t="array" ref="X135">((X$102=$R135)*((13-$S135)/12)+(X$102&gt;$R135))*$Q135*INDEX($J$13:$O$39,$N135-1999,X$102-2020)</f>
        <v>9111.5936744825631</v>
      </c>
      <c r="Y135" s="33" cm="1">
        <f t="array" ref="Y135">((Y$102=$R135)*((13-$S135)/12)+(Y$102&gt;$R135))*$Q135*INDEX($J$13:$O$39,$N135-1999,Y$102-2020)</f>
        <v>111963.26307204174</v>
      </c>
      <c r="Z135" s="33" cm="1">
        <f t="array" ref="Z135">((Z$102=$R135)*((13-$S135)/12)+(Z$102&gt;$R135))*$Q135*INDEX($J$13:$O$39,$N135-1999,Z$102-2020)</f>
        <v>125398.85464068675</v>
      </c>
      <c r="AA135" s="33" cm="1">
        <f t="array" ref="AA135">((AA$102=$R135)*((13-$S135)/12)+(AA$102&gt;$R135))*$Q135*INDEX($J$13:$O$39,$N135-1999,AA$102-2020)</f>
        <v>129160.82027990736</v>
      </c>
      <c r="AB135" s="33" cm="1">
        <f t="array" ref="AB135">((AB$102=$R135)*((13-$S135)/12)+(AB$102&gt;$R135))*$Q135*INDEX($J$13:$O$39,$N135-1999,AB$102-2020)</f>
        <v>133810.60980998405</v>
      </c>
      <c r="AC135" s="33" cm="1">
        <f t="array" ref="AC135">((AC$102=$R135)*((13-$S135)/12)+(AC$102&gt;$R135))*$Q135*INDEX($J$13:$O$39,$N135-1999,AC$102-2020)</f>
        <v>137557.30688466359</v>
      </c>
    </row>
    <row r="136" spans="2:29" x14ac:dyDescent="0.2">
      <c r="B136" s="32">
        <f>'13. Input desinvesteringen'!B49</f>
        <v>33</v>
      </c>
      <c r="J136" s="32" t="str">
        <f>'13. Input desinvesteringen'!C49</f>
        <v>Transport</v>
      </c>
      <c r="K136" s="32" t="str">
        <f>'13. Input desinvesteringen'!D49</f>
        <v>HS</v>
      </c>
      <c r="L136" s="32" t="str">
        <f>'13. Input desinvesteringen'!E49</f>
        <v>Nee</v>
      </c>
      <c r="M136" s="32" t="str">
        <f>'13. Input desinvesteringen'!F49</f>
        <v>GAW ultimo 2000 Stedin - HS Eneco Classic (Zuid-Holland)</v>
      </c>
      <c r="N136" s="82">
        <f>'13. Input desinvesteringen'!G49</f>
        <v>2015</v>
      </c>
      <c r="O136" s="82"/>
      <c r="P136" s="82"/>
      <c r="Q136" s="32">
        <f>'13. Input desinvesteringen'!H49</f>
        <v>30382</v>
      </c>
      <c r="R136" s="82">
        <f>'13. Input desinvesteringen'!I49</f>
        <v>2021</v>
      </c>
      <c r="S136" s="32">
        <f>'13. Input desinvesteringen'!J49</f>
        <v>5</v>
      </c>
      <c r="U136" s="76">
        <f t="shared" si="3"/>
        <v>0.8732220164530794</v>
      </c>
      <c r="V136" s="76">
        <f t="shared" si="4"/>
        <v>0.1267779835469206</v>
      </c>
      <c r="X136" s="33" cm="1">
        <f t="array" ref="X136">((X$102=$R136)*((13-$S136)/12)+(X$102&gt;$R136))*$Q136*INDEX($J$13:$O$39,$N136-1999,X$102-2020)</f>
        <v>21925.001728826395</v>
      </c>
      <c r="Y136" s="33" cm="1">
        <f t="array" ref="Y136">((Y$102=$R136)*((13-$S136)/12)+(Y$102&gt;$R136))*$Q136*INDEX($J$13:$O$39,$N136-1999,Y$102-2020)</f>
        <v>33676.802655477353</v>
      </c>
      <c r="Z136" s="33" cm="1">
        <f t="array" ref="Z136">((Z$102=$R136)*((13-$S136)/12)+(Z$102&gt;$R136))*$Q136*INDEX($J$13:$O$39,$N136-1999,Z$102-2020)</f>
        <v>37718.018974134633</v>
      </c>
      <c r="AA136" s="33" cm="1">
        <f t="array" ref="AA136">((AA$102=$R136)*((13-$S136)/12)+(AA$102&gt;$R136))*$Q136*INDEX($J$13:$O$39,$N136-1999,AA$102-2020)</f>
        <v>38849.559543358671</v>
      </c>
      <c r="AB136" s="33" cm="1">
        <f t="array" ref="AB136">((AB$102=$R136)*((13-$S136)/12)+(AB$102&gt;$R136))*$Q136*INDEX($J$13:$O$39,$N136-1999,AB$102-2020)</f>
        <v>40248.143686919582</v>
      </c>
      <c r="AC136" s="33" cm="1">
        <f t="array" ref="AC136">((AC$102=$R136)*((13-$S136)/12)+(AC$102&gt;$R136))*$Q136*INDEX($J$13:$O$39,$N136-1999,AC$102-2020)</f>
        <v>41375.091710153334</v>
      </c>
    </row>
    <row r="137" spans="2:29" x14ac:dyDescent="0.2">
      <c r="B137" s="32">
        <f>'13. Input desinvesteringen'!B50</f>
        <v>34</v>
      </c>
      <c r="J137" s="32" t="str">
        <f>'13. Input desinvesteringen'!C50</f>
        <v>Transport</v>
      </c>
      <c r="K137" s="32" t="str">
        <f>'13. Input desinvesteringen'!D50</f>
        <v>HS</v>
      </c>
      <c r="L137" s="32" t="str">
        <f>'13. Input desinvesteringen'!E50</f>
        <v>Nee</v>
      </c>
      <c r="M137" s="32" t="str">
        <f>'13. Input desinvesteringen'!F50</f>
        <v>GAW ultimo 2000 Stedin - HS Eneco Classic (Zuid-Holland)</v>
      </c>
      <c r="N137" s="82">
        <f>'13. Input desinvesteringen'!G50</f>
        <v>2015</v>
      </c>
      <c r="O137" s="82"/>
      <c r="P137" s="82"/>
      <c r="Q137" s="32">
        <f>'13. Input desinvesteringen'!H50</f>
        <v>14530</v>
      </c>
      <c r="R137" s="82">
        <f>'13. Input desinvesteringen'!I50</f>
        <v>2021</v>
      </c>
      <c r="S137" s="32">
        <f>'13. Input desinvesteringen'!J50</f>
        <v>8</v>
      </c>
      <c r="U137" s="76">
        <f t="shared" si="3"/>
        <v>0.8732220164530794</v>
      </c>
      <c r="V137" s="76">
        <f t="shared" si="4"/>
        <v>0.1267779835469206</v>
      </c>
      <c r="X137" s="33" cm="1">
        <f t="array" ref="X137">((X$102=$R137)*((13-$S137)/12)+(X$102&gt;$R137))*$Q137*INDEX($J$13:$O$39,$N137-1999,X$102-2020)</f>
        <v>6553.4336761867144</v>
      </c>
      <c r="Y137" s="33" cm="1">
        <f t="array" ref="Y137">((Y$102=$R137)*((13-$S137)/12)+(Y$102&gt;$R137))*$Q137*INDEX($J$13:$O$39,$N137-1999,Y$102-2020)</f>
        <v>16105.718602596467</v>
      </c>
      <c r="Z137" s="33" cm="1">
        <f t="array" ref="Z137">((Z$102=$R137)*((13-$S137)/12)+(Z$102&gt;$R137))*$Q137*INDEX($J$13:$O$39,$N137-1999,Z$102-2020)</f>
        <v>18038.404834908044</v>
      </c>
      <c r="AA137" s="33" cm="1">
        <f t="array" ref="AA137">((AA$102=$R137)*((13-$S137)/12)+(AA$102&gt;$R137))*$Q137*INDEX($J$13:$O$39,$N137-1999,AA$102-2020)</f>
        <v>18579.556979955287</v>
      </c>
      <c r="AB137" s="33" cm="1">
        <f t="array" ref="AB137">((AB$102=$R137)*((13-$S137)/12)+(AB$102&gt;$R137))*$Q137*INDEX($J$13:$O$39,$N137-1999,AB$102-2020)</f>
        <v>19248.421031233676</v>
      </c>
      <c r="AC137" s="33" cm="1">
        <f t="array" ref="AC137">((AC$102=$R137)*((13-$S137)/12)+(AC$102&gt;$R137))*$Q137*INDEX($J$13:$O$39,$N137-1999,AC$102-2020)</f>
        <v>19787.37682010822</v>
      </c>
    </row>
    <row r="138" spans="2:29" x14ac:dyDescent="0.2">
      <c r="B138" s="32">
        <f>'13. Input desinvesteringen'!B51</f>
        <v>35</v>
      </c>
      <c r="J138" s="32" t="str">
        <f>'13. Input desinvesteringen'!C51</f>
        <v>Transport</v>
      </c>
      <c r="K138" s="32" t="str">
        <f>'13. Input desinvesteringen'!D51</f>
        <v>HS</v>
      </c>
      <c r="L138" s="32" t="str">
        <f>'13. Input desinvesteringen'!E51</f>
        <v>Nee</v>
      </c>
      <c r="M138" s="32" t="str">
        <f>'13. Input desinvesteringen'!F51</f>
        <v>GAW ultimo 2000 Stedin - HS Eneco Classic (Zuid-Holland)</v>
      </c>
      <c r="N138" s="82">
        <f>'13. Input desinvesteringen'!G51</f>
        <v>2015</v>
      </c>
      <c r="O138" s="82"/>
      <c r="P138" s="82"/>
      <c r="Q138" s="32">
        <f>'13. Input desinvesteringen'!H51</f>
        <v>65861</v>
      </c>
      <c r="R138" s="82">
        <f>'13. Input desinvesteringen'!I51</f>
        <v>2021</v>
      </c>
      <c r="S138" s="32">
        <f>'13. Input desinvesteringen'!J51</f>
        <v>9</v>
      </c>
      <c r="U138" s="76">
        <f t="shared" si="3"/>
        <v>0.8732220164530794</v>
      </c>
      <c r="V138" s="76">
        <f t="shared" si="4"/>
        <v>0.1267779835469206</v>
      </c>
      <c r="X138" s="33" cm="1">
        <f t="array" ref="X138">((X$102=$R138)*((13-$S138)/12)+(X$102&gt;$R138))*$Q138*INDEX($J$13:$O$39,$N138-1999,X$102-2020)</f>
        <v>23764.112613755435</v>
      </c>
      <c r="Y138" s="33" cm="1">
        <f t="array" ref="Y138">((Y$102=$R138)*((13-$S138)/12)+(Y$102&gt;$R138))*$Q138*INDEX($J$13:$O$39,$N138-1999,Y$102-2020)</f>
        <v>73003.353949456709</v>
      </c>
      <c r="Z138" s="33" cm="1">
        <f t="array" ref="Z138">((Z$102=$R138)*((13-$S138)/12)+(Z$102&gt;$R138))*$Q138*INDEX($J$13:$O$39,$N138-1999,Z$102-2020)</f>
        <v>81763.756423391518</v>
      </c>
      <c r="AA138" s="33" cm="1">
        <f t="array" ref="AA138">((AA$102=$R138)*((13-$S138)/12)+(AA$102&gt;$R138))*$Q138*INDEX($J$13:$O$39,$N138-1999,AA$102-2020)</f>
        <v>84216.669116093268</v>
      </c>
      <c r="AB138" s="33" cm="1">
        <f t="array" ref="AB138">((AB$102=$R138)*((13-$S138)/12)+(AB$102&gt;$R138))*$Q138*INDEX($J$13:$O$39,$N138-1999,AB$102-2020)</f>
        <v>87248.469204272624</v>
      </c>
      <c r="AC138" s="33" cm="1">
        <f t="array" ref="AC138">((AC$102=$R138)*((13-$S138)/12)+(AC$102&gt;$R138))*$Q138*INDEX($J$13:$O$39,$N138-1999,AC$102-2020)</f>
        <v>89691.426341992264</v>
      </c>
    </row>
    <row r="139" spans="2:29" x14ac:dyDescent="0.2">
      <c r="B139" s="32">
        <f>'13. Input desinvesteringen'!B52</f>
        <v>36</v>
      </c>
      <c r="J139" s="32" t="str">
        <f>'13. Input desinvesteringen'!C52</f>
        <v>Transport</v>
      </c>
      <c r="K139" s="32" t="str">
        <f>'13. Input desinvesteringen'!D52</f>
        <v>HS</v>
      </c>
      <c r="L139" s="32" t="str">
        <f>'13. Input desinvesteringen'!E52</f>
        <v>Nee</v>
      </c>
      <c r="M139" s="32" t="str">
        <f>'13. Input desinvesteringen'!F52</f>
        <v>GAW ultimo 2000 Stedin - HS Utrecht (ENBU)</v>
      </c>
      <c r="N139" s="82">
        <f>'13. Input desinvesteringen'!G52</f>
        <v>2015</v>
      </c>
      <c r="O139" s="82"/>
      <c r="P139" s="82"/>
      <c r="Q139" s="32">
        <f>'13. Input desinvesteringen'!H52</f>
        <v>18085</v>
      </c>
      <c r="R139" s="82">
        <f>'13. Input desinvesteringen'!I52</f>
        <v>2021</v>
      </c>
      <c r="S139" s="32">
        <f>'13. Input desinvesteringen'!J52</f>
        <v>11</v>
      </c>
      <c r="U139" s="76">
        <f t="shared" si="3"/>
        <v>0.8732220164530794</v>
      </c>
      <c r="V139" s="76">
        <f t="shared" si="4"/>
        <v>0.1267779835469206</v>
      </c>
      <c r="X139" s="33" cm="1">
        <f t="array" ref="X139">((X$102=$R139)*((13-$S139)/12)+(X$102&gt;$R139))*$Q139*INDEX($J$13:$O$39,$N139-1999,X$102-2020)</f>
        <v>3262.7349768434055</v>
      </c>
      <c r="Y139" s="33" cm="1">
        <f t="array" ref="Y139">((Y$102=$R139)*((13-$S139)/12)+(Y$102&gt;$R139))*$Q139*INDEX($J$13:$O$39,$N139-1999,Y$102-2020)</f>
        <v>20046.243697725888</v>
      </c>
      <c r="Z139" s="33" cm="1">
        <f t="array" ref="Z139">((Z$102=$R139)*((13-$S139)/12)+(Z$102&gt;$R139))*$Q139*INDEX($J$13:$O$39,$N139-1999,Z$102-2020)</f>
        <v>22451.792941452994</v>
      </c>
      <c r="AA139" s="33" cm="1">
        <f t="array" ref="AA139">((AA$102=$R139)*((13-$S139)/12)+(AA$102&gt;$R139))*$Q139*INDEX($J$13:$O$39,$N139-1999,AA$102-2020)</f>
        <v>23125.346729696583</v>
      </c>
      <c r="AB139" s="33" cm="1">
        <f t="array" ref="AB139">((AB$102=$R139)*((13-$S139)/12)+(AB$102&gt;$R139))*$Q139*INDEX($J$13:$O$39,$N139-1999,AB$102-2020)</f>
        <v>23957.859211965661</v>
      </c>
      <c r="AC139" s="33" cm="1">
        <f t="array" ref="AC139">((AC$102=$R139)*((13-$S139)/12)+(AC$102&gt;$R139))*$Q139*INDEX($J$13:$O$39,$N139-1999,AC$102-2020)</f>
        <v>24628.679269900702</v>
      </c>
    </row>
    <row r="140" spans="2:29" x14ac:dyDescent="0.2">
      <c r="B140" s="32">
        <f>'13. Input desinvesteringen'!B53</f>
        <v>37</v>
      </c>
      <c r="J140" s="32" t="str">
        <f>'13. Input desinvesteringen'!C53</f>
        <v>Transport</v>
      </c>
      <c r="K140" s="32" t="str">
        <f>'13. Input desinvesteringen'!D53</f>
        <v>HS</v>
      </c>
      <c r="L140" s="32" t="str">
        <f>'13. Input desinvesteringen'!E53</f>
        <v>Nee</v>
      </c>
      <c r="M140" s="32" t="str">
        <f>'13. Input desinvesteringen'!F53</f>
        <v>GAW ultimo 2000 TZH</v>
      </c>
      <c r="N140" s="82">
        <f>'13. Input desinvesteringen'!G53</f>
        <v>2008</v>
      </c>
      <c r="O140" s="82"/>
      <c r="P140" s="82"/>
      <c r="Q140" s="32">
        <f>'13. Input desinvesteringen'!H53</f>
        <v>95204</v>
      </c>
      <c r="R140" s="82">
        <f>'13. Input desinvesteringen'!I53</f>
        <v>2021</v>
      </c>
      <c r="S140" s="32">
        <f>'13. Input desinvesteringen'!J53</f>
        <v>1</v>
      </c>
      <c r="U140" s="76">
        <f t="shared" si="3"/>
        <v>0.9501178320392909</v>
      </c>
      <c r="V140" s="76">
        <f t="shared" si="4"/>
        <v>4.9882167960709101E-2</v>
      </c>
      <c r="X140" s="33" cm="1">
        <f t="array" ref="X140">((X$102=$R140)*((13-$S140)/12)+(X$102&gt;$R140))*$Q140*INDEX($J$13:$O$39,$N140-1999,X$102-2020)</f>
        <v>117992.3598447695</v>
      </c>
      <c r="Y140" s="33" cm="1">
        <f t="array" ref="Y140">((Y$102=$R140)*((13-$S140)/12)+(Y$102&gt;$R140))*$Q140*INDEX($J$13:$O$39,$N140-1999,Y$102-2020)</f>
        <v>120824.17648104396</v>
      </c>
      <c r="Z140" s="33" cm="1">
        <f t="array" ref="Z140">((Z$102=$R140)*((13-$S140)/12)+(Z$102&gt;$R140))*$Q140*INDEX($J$13:$O$39,$N140-1999,Z$102-2020)</f>
        <v>135323.07765876927</v>
      </c>
      <c r="AA140" s="33" cm="1">
        <f t="array" ref="AA140">((AA$102=$R140)*((13-$S140)/12)+(AA$102&gt;$R140))*$Q140*INDEX($J$13:$O$39,$N140-1999,AA$102-2020)</f>
        <v>139382.76998853235</v>
      </c>
      <c r="AB140" s="33" cm="1">
        <f t="array" ref="AB140">((AB$102=$R140)*((13-$S140)/12)+(AB$102&gt;$R140))*$Q140*INDEX($J$13:$O$39,$N140-1999,AB$102-2020)</f>
        <v>144400.54970811951</v>
      </c>
      <c r="AC140" s="33" cm="1">
        <f t="array" ref="AC140">((AC$102=$R140)*((13-$S140)/12)+(AC$102&gt;$R140))*$Q140*INDEX($J$13:$O$39,$N140-1999,AC$102-2020)</f>
        <v>148443.76509994688</v>
      </c>
    </row>
    <row r="141" spans="2:29" x14ac:dyDescent="0.2">
      <c r="B141" s="32">
        <f>'13. Input desinvesteringen'!B54</f>
        <v>38</v>
      </c>
      <c r="J141" s="32" t="str">
        <f>'13. Input desinvesteringen'!C54</f>
        <v>Transport</v>
      </c>
      <c r="K141" s="32" t="str">
        <f>'13. Input desinvesteringen'!D54</f>
        <v>HS</v>
      </c>
      <c r="L141" s="32" t="str">
        <f>'13. Input desinvesteringen'!E54</f>
        <v>Nee</v>
      </c>
      <c r="M141" s="32" t="str">
        <f>'13. Input desinvesteringen'!F54</f>
        <v>GAW ultimo 2000 TZH</v>
      </c>
      <c r="N141" s="82">
        <f>'13. Input desinvesteringen'!G54</f>
        <v>2008</v>
      </c>
      <c r="O141" s="82"/>
      <c r="P141" s="82"/>
      <c r="Q141" s="32">
        <f>'13. Input desinvesteringen'!H54</f>
        <v>8192536</v>
      </c>
      <c r="R141" s="82">
        <f>'13. Input desinvesteringen'!I54</f>
        <v>2021</v>
      </c>
      <c r="S141" s="32">
        <f>'13. Input desinvesteringen'!J54</f>
        <v>7</v>
      </c>
      <c r="U141" s="76">
        <f t="shared" si="3"/>
        <v>0.9501178320392909</v>
      </c>
      <c r="V141" s="76">
        <f t="shared" si="4"/>
        <v>4.9882167960709101E-2</v>
      </c>
      <c r="X141" s="33" cm="1">
        <f t="array" ref="X141">((X$102=$R141)*((13-$S141)/12)+(X$102&gt;$R141))*$Q141*INDEX($J$13:$O$39,$N141-1999,X$102-2020)</f>
        <v>5076764.9245474376</v>
      </c>
      <c r="Y141" s="33" cm="1">
        <f t="array" ref="Y141">((Y$102=$R141)*((13-$S141)/12)+(Y$102&gt;$R141))*$Q141*INDEX($J$13:$O$39,$N141-1999,Y$102-2020)</f>
        <v>10397214.565473152</v>
      </c>
      <c r="Z141" s="33" cm="1">
        <f t="array" ref="Z141">((Z$102=$R141)*((13-$S141)/12)+(Z$102&gt;$R141))*$Q141*INDEX($J$13:$O$39,$N141-1999,Z$102-2020)</f>
        <v>11644880.313329931</v>
      </c>
      <c r="AA141" s="33" cm="1">
        <f t="array" ref="AA141">((AA$102=$R141)*((13-$S141)/12)+(AA$102&gt;$R141))*$Q141*INDEX($J$13:$O$39,$N141-1999,AA$102-2020)</f>
        <v>11994226.72272983</v>
      </c>
      <c r="AB141" s="33" cm="1">
        <f t="array" ref="AB141">((AB$102=$R141)*((13-$S141)/12)+(AB$102&gt;$R141))*$Q141*INDEX($J$13:$O$39,$N141-1999,AB$102-2020)</f>
        <v>12426018.884748105</v>
      </c>
      <c r="AC141" s="33" cm="1">
        <f t="array" ref="AC141">((AC$102=$R141)*((13-$S141)/12)+(AC$102&gt;$R141))*$Q141*INDEX($J$13:$O$39,$N141-1999,AC$102-2020)</f>
        <v>12773947.413521053</v>
      </c>
    </row>
    <row r="142" spans="2:29" x14ac:dyDescent="0.2">
      <c r="B142" s="32">
        <f>'13. Input desinvesteringen'!B55</f>
        <v>39</v>
      </c>
      <c r="J142" s="32" t="str">
        <f>'13. Input desinvesteringen'!C55</f>
        <v>Transport</v>
      </c>
      <c r="K142" s="32" t="str">
        <f>'13. Input desinvesteringen'!D55</f>
        <v>HS</v>
      </c>
      <c r="L142" s="32" t="str">
        <f>'13. Input desinvesteringen'!E55</f>
        <v>Nee</v>
      </c>
      <c r="M142" s="32" t="str">
        <f>'13. Input desinvesteringen'!F55</f>
        <v>GAW ultimo 2000 TZH</v>
      </c>
      <c r="N142" s="82">
        <f>'13. Input desinvesteringen'!G55</f>
        <v>2008</v>
      </c>
      <c r="O142" s="82"/>
      <c r="P142" s="82"/>
      <c r="Q142" s="32">
        <f>'13. Input desinvesteringen'!H55</f>
        <v>24050</v>
      </c>
      <c r="R142" s="82">
        <f>'13. Input desinvesteringen'!I55</f>
        <v>2021</v>
      </c>
      <c r="S142" s="32">
        <f>'13. Input desinvesteringen'!J55</f>
        <v>10</v>
      </c>
      <c r="U142" s="76">
        <f t="shared" si="3"/>
        <v>0.9501178320392909</v>
      </c>
      <c r="V142" s="76">
        <f t="shared" si="4"/>
        <v>4.9882167960709101E-2</v>
      </c>
      <c r="X142" s="33" cm="1">
        <f t="array" ref="X142">((X$102=$R142)*((13-$S142)/12)+(X$102&gt;$R142))*$Q142*INDEX($J$13:$O$39,$N142-1999,X$102-2020)</f>
        <v>7451.6728663362528</v>
      </c>
      <c r="Y142" s="33" cm="1">
        <f t="array" ref="Y142">((Y$102=$R142)*((13-$S142)/12)+(Y$102&gt;$R142))*$Q142*INDEX($J$13:$O$39,$N142-1999,Y$102-2020)</f>
        <v>30522.052060513292</v>
      </c>
      <c r="Z142" s="33" cm="1">
        <f t="array" ref="Z142">((Z$102=$R142)*((13-$S142)/12)+(Z$102&gt;$R142))*$Q142*INDEX($J$13:$O$39,$N142-1999,Z$102-2020)</f>
        <v>34184.698307774888</v>
      </c>
      <c r="AA142" s="33" cm="1">
        <f t="array" ref="AA142">((AA$102=$R142)*((13-$S142)/12)+(AA$102&gt;$R142))*$Q142*INDEX($J$13:$O$39,$N142-1999,AA$102-2020)</f>
        <v>35210.239257008136</v>
      </c>
      <c r="AB142" s="33" cm="1">
        <f t="array" ref="AB142">((AB$102=$R142)*((13-$S142)/12)+(AB$102&gt;$R142))*$Q142*INDEX($J$13:$O$39,$N142-1999,AB$102-2020)</f>
        <v>36477.807870260433</v>
      </c>
      <c r="AC142" s="33" cm="1">
        <f t="array" ref="AC142">((AC$102=$R142)*((13-$S142)/12)+(AC$102&gt;$R142))*$Q142*INDEX($J$13:$O$39,$N142-1999,AC$102-2020)</f>
        <v>37499.186490627726</v>
      </c>
    </row>
    <row r="143" spans="2:29" x14ac:dyDescent="0.2">
      <c r="B143" s="32">
        <f>'13. Input desinvesteringen'!B56</f>
        <v>40</v>
      </c>
      <c r="J143" s="32" t="str">
        <f>'13. Input desinvesteringen'!C56</f>
        <v>Transport</v>
      </c>
      <c r="K143" s="32" t="str">
        <f>'13. Input desinvesteringen'!D56</f>
        <v>HS</v>
      </c>
      <c r="L143" s="32" t="str">
        <f>'13. Input desinvesteringen'!E56</f>
        <v>Nee</v>
      </c>
      <c r="M143" s="32" t="str">
        <f>'13. Input desinvesteringen'!F56</f>
        <v>GAW ultimo 2000 TZH</v>
      </c>
      <c r="N143" s="82">
        <f>'13. Input desinvesteringen'!G56</f>
        <v>2008</v>
      </c>
      <c r="O143" s="82"/>
      <c r="P143" s="82"/>
      <c r="Q143" s="32">
        <f>'13. Input desinvesteringen'!H56</f>
        <v>464847</v>
      </c>
      <c r="R143" s="82">
        <f>'13. Input desinvesteringen'!I56</f>
        <v>2021</v>
      </c>
      <c r="S143" s="32">
        <f>'13. Input desinvesteringen'!J56</f>
        <v>12</v>
      </c>
      <c r="U143" s="76">
        <f t="shared" si="3"/>
        <v>0.9501178320392909</v>
      </c>
      <c r="V143" s="76">
        <f t="shared" si="4"/>
        <v>4.9882167960709101E-2</v>
      </c>
      <c r="X143" s="33" cm="1">
        <f t="array" ref="X143">((X$102=$R143)*((13-$S143)/12)+(X$102&gt;$R143))*$Q143*INDEX($J$13:$O$39,$N143-1999,X$102-2020)</f>
        <v>48009.53259733622</v>
      </c>
      <c r="Y143" s="33" cm="1">
        <f t="array" ref="Y143">((Y$102=$R143)*((13-$S143)/12)+(Y$102&gt;$R143))*$Q143*INDEX($J$13:$O$39,$N143-1999,Y$102-2020)</f>
        <v>589941.1365560675</v>
      </c>
      <c r="Z143" s="33" cm="1">
        <f t="array" ref="Z143">((Z$102=$R143)*((13-$S143)/12)+(Z$102&gt;$R143))*$Q143*INDEX($J$13:$O$39,$N143-1999,Z$102-2020)</f>
        <v>660734.07294279558</v>
      </c>
      <c r="AA143" s="33" cm="1">
        <f t="array" ref="AA143">((AA$102=$R143)*((13-$S143)/12)+(AA$102&gt;$R143))*$Q143*INDEX($J$13:$O$39,$N143-1999,AA$102-2020)</f>
        <v>680556.09513107955</v>
      </c>
      <c r="AB143" s="33" cm="1">
        <f t="array" ref="AB143">((AB$102=$R143)*((13-$S143)/12)+(AB$102&gt;$R143))*$Q143*INDEX($J$13:$O$39,$N143-1999,AB$102-2020)</f>
        <v>705056.11455579847</v>
      </c>
      <c r="AC143" s="33" cm="1">
        <f t="array" ref="AC143">((AC$102=$R143)*((13-$S143)/12)+(AC$102&gt;$R143))*$Q143*INDEX($J$13:$O$39,$N143-1999,AC$102-2020)</f>
        <v>724797.68576336082</v>
      </c>
    </row>
    <row r="144" spans="2:29" x14ac:dyDescent="0.2">
      <c r="B144" s="32">
        <f>'13. Input desinvesteringen'!B57</f>
        <v>41</v>
      </c>
      <c r="J144" s="32" t="str">
        <f>'13. Input desinvesteringen'!C57</f>
        <v>Systeem</v>
      </c>
      <c r="K144" s="32" t="str">
        <f>'13. Input desinvesteringen'!D57</f>
        <v>EHS</v>
      </c>
      <c r="L144" s="32" t="str">
        <f>'13. Input desinvesteringen'!E57</f>
        <v>Nee</v>
      </c>
      <c r="M144" s="32" t="str">
        <f>'13. Input desinvesteringen'!F57</f>
        <v>Overige bedrijfsmiddelen</v>
      </c>
      <c r="N144" s="82">
        <f>'13. Input desinvesteringen'!G57</f>
        <v>2003</v>
      </c>
      <c r="O144" s="82"/>
      <c r="P144" s="82"/>
      <c r="Q144" s="32">
        <f>'13. Input desinvesteringen'!H57</f>
        <v>18715</v>
      </c>
      <c r="R144" s="82">
        <f>'13. Input desinvesteringen'!I57</f>
        <v>2021</v>
      </c>
      <c r="S144" s="32">
        <f>'13. Input desinvesteringen'!J57</f>
        <v>2</v>
      </c>
      <c r="U144" s="76">
        <f t="shared" ref="U144:U182" si="5">(J144="Transport")*(L144="Nee")*(VLOOKUP($M144,$B$64:$H$97,7,FALSE))</f>
        <v>0</v>
      </c>
      <c r="V144" s="76">
        <f t="shared" ref="V144:V182" si="6">1-U144</f>
        <v>1</v>
      </c>
      <c r="X144" s="33" cm="1">
        <f t="array" ref="X144">((X$102=$R144)*((13-$S144)/12)+(X$102&gt;$R144))*$Q144*INDEX($J$13:$O$39,$N144-1999,X$102-2020)</f>
        <v>22904.127270950052</v>
      </c>
      <c r="Y144" s="33" cm="1">
        <f t="array" ref="Y144">((Y$102=$R144)*((13-$S144)/12)+(Y$102&gt;$R144))*$Q144*INDEX($J$13:$O$39,$N144-1999,Y$102-2020)</f>
        <v>25585.992355039481</v>
      </c>
      <c r="Z144" s="33" cm="1">
        <f t="array" ref="Z144">((Z$102=$R144)*((13-$S144)/12)+(Z$102&gt;$R144))*$Q144*INDEX($J$13:$O$39,$N144-1999,Z$102-2020)</f>
        <v>28656.311437644221</v>
      </c>
      <c r="AA144" s="33" cm="1">
        <f t="array" ref="AA144">((AA$102=$R144)*((13-$S144)/12)+(AA$102&gt;$R144))*$Q144*INDEX($J$13:$O$39,$N144-1999,AA$102-2020)</f>
        <v>29516.000780773549</v>
      </c>
      <c r="AB144" s="33" cm="1">
        <f t="array" ref="AB144">((AB$102=$R144)*((13-$S144)/12)+(AB$102&gt;$R144))*$Q144*INDEX($J$13:$O$39,$N144-1999,AB$102-2020)</f>
        <v>30578.576808881397</v>
      </c>
      <c r="AC144" s="33" cm="1">
        <f t="array" ref="AC144">((AC$102=$R144)*((13-$S144)/12)+(AC$102&gt;$R144))*$Q144*INDEX($J$13:$O$39,$N144-1999,AC$102-2020)</f>
        <v>31434.776959530078</v>
      </c>
    </row>
    <row r="145" spans="2:29" x14ac:dyDescent="0.2">
      <c r="B145" s="32">
        <f>'13. Input desinvesteringen'!B58</f>
        <v>42</v>
      </c>
      <c r="J145" s="32" t="str">
        <f>'13. Input desinvesteringen'!C58</f>
        <v>Systeem</v>
      </c>
      <c r="K145" s="32" t="str">
        <f>'13. Input desinvesteringen'!D58</f>
        <v>EHS</v>
      </c>
      <c r="L145" s="32" t="str">
        <f>'13. Input desinvesteringen'!E58</f>
        <v>Nee</v>
      </c>
      <c r="M145" s="32" t="str">
        <f>'13. Input desinvesteringen'!F58</f>
        <v>Overige bedrijfsmiddelen</v>
      </c>
      <c r="N145" s="82">
        <f>'13. Input desinvesteringen'!G58</f>
        <v>2003</v>
      </c>
      <c r="O145" s="82"/>
      <c r="P145" s="82"/>
      <c r="Q145" s="32">
        <f>'13. Input desinvesteringen'!H58</f>
        <v>10903</v>
      </c>
      <c r="R145" s="82">
        <f>'13. Input desinvesteringen'!I58</f>
        <v>2021</v>
      </c>
      <c r="S145" s="32">
        <f>'13. Input desinvesteringen'!J58</f>
        <v>2</v>
      </c>
      <c r="U145" s="76">
        <f t="shared" si="5"/>
        <v>0</v>
      </c>
      <c r="V145" s="76">
        <f t="shared" si="6"/>
        <v>1</v>
      </c>
      <c r="X145" s="33" cm="1">
        <f t="array" ref="X145">((X$102=$R145)*((13-$S145)/12)+(X$102&gt;$R145))*$Q145*INDEX($J$13:$O$39,$N145-1999,X$102-2020)</f>
        <v>13343.505190230748</v>
      </c>
      <c r="Y145" s="33" cm="1">
        <f t="array" ref="Y145">((Y$102=$R145)*((13-$S145)/12)+(Y$102&gt;$R145))*$Q145*INDEX($J$13:$O$39,$N145-1999,Y$102-2020)</f>
        <v>14905.90834341413</v>
      </c>
      <c r="Z145" s="33" cm="1">
        <f t="array" ref="Z145">((Z$102=$R145)*((13-$S145)/12)+(Z$102&gt;$R145))*$Q145*INDEX($J$13:$O$39,$N145-1999,Z$102-2020)</f>
        <v>16694.617344623828</v>
      </c>
      <c r="AA145" s="33" cm="1">
        <f t="array" ref="AA145">((AA$102=$R145)*((13-$S145)/12)+(AA$102&gt;$R145))*$Q145*INDEX($J$13:$O$39,$N145-1999,AA$102-2020)</f>
        <v>17195.455864962543</v>
      </c>
      <c r="AB145" s="33" cm="1">
        <f t="array" ref="AB145">((AB$102=$R145)*((13-$S145)/12)+(AB$102&gt;$R145))*$Q145*INDEX($J$13:$O$39,$N145-1999,AB$102-2020)</f>
        <v>17814.492276101195</v>
      </c>
      <c r="AC145" s="33" cm="1">
        <f t="array" ref="AC145">((AC$102=$R145)*((13-$S145)/12)+(AC$102&gt;$R145))*$Q145*INDEX($J$13:$O$39,$N145-1999,AC$102-2020)</f>
        <v>18313.298059832032</v>
      </c>
    </row>
    <row r="146" spans="2:29" x14ac:dyDescent="0.2">
      <c r="B146" s="32">
        <f>'13. Input desinvesteringen'!B59</f>
        <v>43</v>
      </c>
      <c r="J146" s="32" t="str">
        <f>'13. Input desinvesteringen'!C59</f>
        <v>Systeem</v>
      </c>
      <c r="K146" s="32" t="str">
        <f>'13. Input desinvesteringen'!D59</f>
        <v>EHS</v>
      </c>
      <c r="L146" s="32" t="str">
        <f>'13. Input desinvesteringen'!E59</f>
        <v>Nee</v>
      </c>
      <c r="M146" s="32" t="str">
        <f>'13. Input desinvesteringen'!F59</f>
        <v>Overige bedrijfsmiddelen</v>
      </c>
      <c r="N146" s="82">
        <f>'13. Input desinvesteringen'!G59</f>
        <v>2003</v>
      </c>
      <c r="O146" s="82"/>
      <c r="P146" s="82"/>
      <c r="Q146" s="32">
        <f>'13. Input desinvesteringen'!H59</f>
        <v>47811</v>
      </c>
      <c r="R146" s="82">
        <f>'13. Input desinvesteringen'!I59</f>
        <v>2021</v>
      </c>
      <c r="S146" s="32">
        <f>'13. Input desinvesteringen'!J59</f>
        <v>2</v>
      </c>
      <c r="U146" s="76">
        <f t="shared" si="5"/>
        <v>0</v>
      </c>
      <c r="V146" s="76">
        <f t="shared" si="6"/>
        <v>1</v>
      </c>
      <c r="X146" s="33" cm="1">
        <f t="array" ref="X146">((X$102=$R146)*((13-$S146)/12)+(X$102&gt;$R146))*$Q146*INDEX($J$13:$O$39,$N146-1999,X$102-2020)</f>
        <v>58512.916321207216</v>
      </c>
      <c r="Y146" s="33" cm="1">
        <f t="array" ref="Y146">((Y$102=$R146)*((13-$S146)/12)+(Y$102&gt;$R146))*$Q146*INDEX($J$13:$O$39,$N146-1999,Y$102-2020)</f>
        <v>65364.246886817666</v>
      </c>
      <c r="Z146" s="33" cm="1">
        <f t="array" ref="Z146">((Z$102=$R146)*((13-$S146)/12)+(Z$102&gt;$R146))*$Q146*INDEX($J$13:$O$39,$N146-1999,Z$102-2020)</f>
        <v>73207.956513235797</v>
      </c>
      <c r="AA146" s="33" cm="1">
        <f t="array" ref="AA146">((AA$102=$R146)*((13-$S146)/12)+(AA$102&gt;$R146))*$Q146*INDEX($J$13:$O$39,$N146-1999,AA$102-2020)</f>
        <v>75404.195208632867</v>
      </c>
      <c r="AB146" s="33" cm="1">
        <f t="array" ref="AB146">((AB$102=$R146)*((13-$S146)/12)+(AB$102&gt;$R146))*$Q146*INDEX($J$13:$O$39,$N146-1999,AB$102-2020)</f>
        <v>78118.746236143648</v>
      </c>
      <c r="AC146" s="33" cm="1">
        <f t="array" ref="AC146">((AC$102=$R146)*((13-$S146)/12)+(AC$102&gt;$R146))*$Q146*INDEX($J$13:$O$39,$N146-1999,AC$102-2020)</f>
        <v>80306.071130755678</v>
      </c>
    </row>
    <row r="147" spans="2:29" x14ac:dyDescent="0.2">
      <c r="B147" s="32">
        <f>'13. Input desinvesteringen'!B60</f>
        <v>44</v>
      </c>
      <c r="J147" s="32" t="str">
        <f>'13. Input desinvesteringen'!C60</f>
        <v>Systeem</v>
      </c>
      <c r="K147" s="32" t="str">
        <f>'13. Input desinvesteringen'!D60</f>
        <v>EHS</v>
      </c>
      <c r="L147" s="32" t="str">
        <f>'13. Input desinvesteringen'!E60</f>
        <v>Nee</v>
      </c>
      <c r="M147" s="32" t="str">
        <f>'13. Input desinvesteringen'!F60</f>
        <v>Overige bedrijfsmiddelen</v>
      </c>
      <c r="N147" s="82">
        <f>'13. Input desinvesteringen'!G60</f>
        <v>2004</v>
      </c>
      <c r="O147" s="82"/>
      <c r="P147" s="82"/>
      <c r="Q147" s="32">
        <f>'13. Input desinvesteringen'!H60</f>
        <v>13652</v>
      </c>
      <c r="R147" s="82">
        <f>'13. Input desinvesteringen'!I60</f>
        <v>2021</v>
      </c>
      <c r="S147" s="32">
        <f>'13. Input desinvesteringen'!J60</f>
        <v>2</v>
      </c>
      <c r="U147" s="76">
        <f t="shared" si="5"/>
        <v>0</v>
      </c>
      <c r="V147" s="76">
        <f t="shared" si="6"/>
        <v>1</v>
      </c>
      <c r="X147" s="33" cm="1">
        <f t="array" ref="X147">((X$102=$R147)*((13-$S147)/12)+(X$102&gt;$R147))*$Q147*INDEX($J$13:$O$39,$N147-1999,X$102-2020)</f>
        <v>16364.187776857509</v>
      </c>
      <c r="Y147" s="33" cm="1">
        <f t="array" ref="Y147">((Y$102=$R147)*((13-$S147)/12)+(Y$102&gt;$R147))*$Q147*INDEX($J$13:$O$39,$N147-1999,Y$102-2020)</f>
        <v>18280.285400184101</v>
      </c>
      <c r="Z147" s="33" cm="1">
        <f t="array" ref="Z147">((Z$102=$R147)*((13-$S147)/12)+(Z$102&gt;$R147))*$Q147*INDEX($J$13:$O$39,$N147-1999,Z$102-2020)</f>
        <v>20473.919648206196</v>
      </c>
      <c r="AA147" s="33" cm="1">
        <f t="array" ref="AA147">((AA$102=$R147)*((13-$S147)/12)+(AA$102&gt;$R147))*$Q147*INDEX($J$13:$O$39,$N147-1999,AA$102-2020)</f>
        <v>21088.13723765238</v>
      </c>
      <c r="AB147" s="33" cm="1">
        <f t="array" ref="AB147">((AB$102=$R147)*((13-$S147)/12)+(AB$102&gt;$R147))*$Q147*INDEX($J$13:$O$39,$N147-1999,AB$102-2020)</f>
        <v>21847.310178207867</v>
      </c>
      <c r="AC147" s="33" cm="1">
        <f t="array" ref="AC147">((AC$102=$R147)*((13-$S147)/12)+(AC$102&gt;$R147))*$Q147*INDEX($J$13:$O$39,$N147-1999,AC$102-2020)</f>
        <v>22459.034863197685</v>
      </c>
    </row>
    <row r="148" spans="2:29" x14ac:dyDescent="0.2">
      <c r="B148" s="32">
        <f>'13. Input desinvesteringen'!B61</f>
        <v>45</v>
      </c>
      <c r="J148" s="32" t="str">
        <f>'13. Input desinvesteringen'!C61</f>
        <v>Systeem</v>
      </c>
      <c r="K148" s="32" t="str">
        <f>'13. Input desinvesteringen'!D61</f>
        <v>EHS</v>
      </c>
      <c r="L148" s="32" t="str">
        <f>'13. Input desinvesteringen'!E61</f>
        <v>Nee</v>
      </c>
      <c r="M148" s="32" t="str">
        <f>'13. Input desinvesteringen'!F61</f>
        <v>Overige bedrijfsmiddelen</v>
      </c>
      <c r="N148" s="82">
        <f>'13. Input desinvesteringen'!G61</f>
        <v>2005</v>
      </c>
      <c r="O148" s="82"/>
      <c r="P148" s="82"/>
      <c r="Q148" s="32">
        <f>'13. Input desinvesteringen'!H61</f>
        <v>39553</v>
      </c>
      <c r="R148" s="82">
        <f>'13. Input desinvesteringen'!I61</f>
        <v>2021</v>
      </c>
      <c r="S148" s="32">
        <f>'13. Input desinvesteringen'!J61</f>
        <v>2</v>
      </c>
      <c r="U148" s="76">
        <f t="shared" si="5"/>
        <v>0</v>
      </c>
      <c r="V148" s="76">
        <f t="shared" si="6"/>
        <v>1</v>
      </c>
      <c r="X148" s="33" cm="1">
        <f t="array" ref="X148">((X$102=$R148)*((13-$S148)/12)+(X$102&gt;$R148))*$Q148*INDEX($J$13:$O$39,$N148-1999,X$102-2020)</f>
        <v>46894.990088374871</v>
      </c>
      <c r="Y148" s="33" cm="1">
        <f t="array" ref="Y148">((Y$102=$R148)*((13-$S148)/12)+(Y$102&gt;$R148))*$Q148*INDEX($J$13:$O$39,$N148-1999,Y$102-2020)</f>
        <v>52385.967109631863</v>
      </c>
      <c r="Z148" s="33" cm="1">
        <f t="array" ref="Z148">((Z$102=$R148)*((13-$S148)/12)+(Z$102&gt;$R148))*$Q148*INDEX($J$13:$O$39,$N148-1999,Z$102-2020)</f>
        <v>58672.283162787695</v>
      </c>
      <c r="AA148" s="33" cm="1">
        <f t="array" ref="AA148">((AA$102=$R148)*((13-$S148)/12)+(AA$102&gt;$R148))*$Q148*INDEX($J$13:$O$39,$N148-1999,AA$102-2020)</f>
        <v>60432.451657671321</v>
      </c>
      <c r="AB148" s="33" cm="1">
        <f t="array" ref="AB148">((AB$102=$R148)*((13-$S148)/12)+(AB$102&gt;$R148))*$Q148*INDEX($J$13:$O$39,$N148-1999,AB$102-2020)</f>
        <v>62608.019917347498</v>
      </c>
      <c r="AC148" s="33" cm="1">
        <f t="array" ref="AC148">((AC$102=$R148)*((13-$S148)/12)+(AC$102&gt;$R148))*$Q148*INDEX($J$13:$O$39,$N148-1999,AC$102-2020)</f>
        <v>64361.044475033224</v>
      </c>
    </row>
    <row r="149" spans="2:29" x14ac:dyDescent="0.2">
      <c r="B149" s="32">
        <f>'13. Input desinvesteringen'!B62</f>
        <v>46</v>
      </c>
      <c r="J149" s="32" t="str">
        <f>'13. Input desinvesteringen'!C62</f>
        <v>Systeem</v>
      </c>
      <c r="K149" s="32" t="str">
        <f>'13. Input desinvesteringen'!D62</f>
        <v>EHS</v>
      </c>
      <c r="L149" s="32" t="str">
        <f>'13. Input desinvesteringen'!E62</f>
        <v>Nee</v>
      </c>
      <c r="M149" s="32" t="str">
        <f>'13. Input desinvesteringen'!F62</f>
        <v>Overige bedrijfsmiddelen</v>
      </c>
      <c r="N149" s="82">
        <f>'13. Input desinvesteringen'!G62</f>
        <v>2005</v>
      </c>
      <c r="O149" s="82"/>
      <c r="P149" s="82"/>
      <c r="Q149" s="32">
        <f>'13. Input desinvesteringen'!H62</f>
        <v>35984</v>
      </c>
      <c r="R149" s="82">
        <f>'13. Input desinvesteringen'!I62</f>
        <v>2021</v>
      </c>
      <c r="S149" s="32">
        <f>'13. Input desinvesteringen'!J62</f>
        <v>2</v>
      </c>
      <c r="U149" s="76">
        <f t="shared" si="5"/>
        <v>0</v>
      </c>
      <c r="V149" s="76">
        <f t="shared" si="6"/>
        <v>1</v>
      </c>
      <c r="X149" s="33" cm="1">
        <f t="array" ref="X149">((X$102=$R149)*((13-$S149)/12)+(X$102&gt;$R149))*$Q149*INDEX($J$13:$O$39,$N149-1999,X$102-2020)</f>
        <v>42663.497669963879</v>
      </c>
      <c r="Y149" s="33" cm="1">
        <f t="array" ref="Y149">((Y$102=$R149)*((13-$S149)/12)+(Y$102&gt;$R149))*$Q149*INDEX($J$13:$O$39,$N149-1999,Y$102-2020)</f>
        <v>47659.005397137837</v>
      </c>
      <c r="Z149" s="33" cm="1">
        <f t="array" ref="Z149">((Z$102=$R149)*((13-$S149)/12)+(Z$102&gt;$R149))*$Q149*INDEX($J$13:$O$39,$N149-1999,Z$102-2020)</f>
        <v>53378.086044794385</v>
      </c>
      <c r="AA149" s="33" cm="1">
        <f t="array" ref="AA149">((AA$102=$R149)*((13-$S149)/12)+(AA$102&gt;$R149))*$Q149*INDEX($J$13:$O$39,$N149-1999,AA$102-2020)</f>
        <v>54979.428626138215</v>
      </c>
      <c r="AB149" s="33" cm="1">
        <f t="array" ref="AB149">((AB$102=$R149)*((13-$S149)/12)+(AB$102&gt;$R149))*$Q149*INDEX($J$13:$O$39,$N149-1999,AB$102-2020)</f>
        <v>56958.688056679195</v>
      </c>
      <c r="AC149" s="33" cm="1">
        <f t="array" ref="AC149">((AC$102=$R149)*((13-$S149)/12)+(AC$102&gt;$R149))*$Q149*INDEX($J$13:$O$39,$N149-1999,AC$102-2020)</f>
        <v>58553.531322266215</v>
      </c>
    </row>
    <row r="150" spans="2:29" x14ac:dyDescent="0.2">
      <c r="B150" s="32">
        <f>'13. Input desinvesteringen'!B63</f>
        <v>47</v>
      </c>
      <c r="J150" s="32" t="str">
        <f>'13. Input desinvesteringen'!C63</f>
        <v>Systeem</v>
      </c>
      <c r="K150" s="32" t="str">
        <f>'13. Input desinvesteringen'!D63</f>
        <v>EHS</v>
      </c>
      <c r="L150" s="32" t="str">
        <f>'13. Input desinvesteringen'!E63</f>
        <v>Nee</v>
      </c>
      <c r="M150" s="32" t="str">
        <f>'13. Input desinvesteringen'!F63</f>
        <v>Overige bedrijfsmiddelen</v>
      </c>
      <c r="N150" s="82">
        <f>'13. Input desinvesteringen'!G63</f>
        <v>2006</v>
      </c>
      <c r="O150" s="82"/>
      <c r="P150" s="82"/>
      <c r="Q150" s="32">
        <f>'13. Input desinvesteringen'!H63</f>
        <v>35263</v>
      </c>
      <c r="R150" s="82">
        <f>'13. Input desinvesteringen'!I63</f>
        <v>2021</v>
      </c>
      <c r="S150" s="32">
        <f>'13. Input desinvesteringen'!J63</f>
        <v>2</v>
      </c>
      <c r="U150" s="76">
        <f t="shared" si="5"/>
        <v>0</v>
      </c>
      <c r="V150" s="76">
        <f t="shared" si="6"/>
        <v>1</v>
      </c>
      <c r="X150" s="33" cm="1">
        <f t="array" ref="X150">((X$102=$R150)*((13-$S150)/12)+(X$102&gt;$R150))*$Q150*INDEX($J$13:$O$39,$N150-1999,X$102-2020)</f>
        <v>41069.413254175415</v>
      </c>
      <c r="Y150" s="33" cm="1">
        <f t="array" ref="Y150">((Y$102=$R150)*((13-$S150)/12)+(Y$102&gt;$R150))*$Q150*INDEX($J$13:$O$39,$N150-1999,Y$102-2020)</f>
        <v>45878.26818793705</v>
      </c>
      <c r="Z150" s="33" cm="1">
        <f t="array" ref="Z150">((Z$102=$R150)*((13-$S150)/12)+(Z$102&gt;$R150))*$Q150*INDEX($J$13:$O$39,$N150-1999,Z$102-2020)</f>
        <v>51383.660370489502</v>
      </c>
      <c r="AA150" s="33" cm="1">
        <f t="array" ref="AA150">((AA$102=$R150)*((13-$S150)/12)+(AA$102&gt;$R150))*$Q150*INDEX($J$13:$O$39,$N150-1999,AA$102-2020)</f>
        <v>52925.17018160419</v>
      </c>
      <c r="AB150" s="33" cm="1">
        <f t="array" ref="AB150">((AB$102=$R150)*((13-$S150)/12)+(AB$102&gt;$R150))*$Q150*INDEX($J$13:$O$39,$N150-1999,AB$102-2020)</f>
        <v>54830.476308141944</v>
      </c>
      <c r="AC150" s="33" cm="1">
        <f t="array" ref="AC150">((AC$102=$R150)*((13-$S150)/12)+(AC$102&gt;$R150))*$Q150*INDEX($J$13:$O$39,$N150-1999,AC$102-2020)</f>
        <v>56365.729644769919</v>
      </c>
    </row>
    <row r="151" spans="2:29" x14ac:dyDescent="0.2">
      <c r="B151" s="32">
        <f>'13. Input desinvesteringen'!B64</f>
        <v>48</v>
      </c>
      <c r="J151" s="32" t="str">
        <f>'13. Input desinvesteringen'!C64</f>
        <v>Systeem</v>
      </c>
      <c r="K151" s="32" t="str">
        <f>'13. Input desinvesteringen'!D64</f>
        <v>EHS</v>
      </c>
      <c r="L151" s="32" t="str">
        <f>'13. Input desinvesteringen'!E64</f>
        <v>Nee</v>
      </c>
      <c r="M151" s="32" t="str">
        <f>'13. Input desinvesteringen'!F64</f>
        <v>Overige bedrijfsmiddelen</v>
      </c>
      <c r="N151" s="82">
        <f>'13. Input desinvesteringen'!G64</f>
        <v>2006</v>
      </c>
      <c r="O151" s="82"/>
      <c r="P151" s="82"/>
      <c r="Q151" s="32">
        <f>'13. Input desinvesteringen'!H64</f>
        <v>12901</v>
      </c>
      <c r="R151" s="82">
        <f>'13. Input desinvesteringen'!I64</f>
        <v>2021</v>
      </c>
      <c r="S151" s="32">
        <f>'13. Input desinvesteringen'!J64</f>
        <v>2</v>
      </c>
      <c r="U151" s="76">
        <f t="shared" si="5"/>
        <v>0</v>
      </c>
      <c r="V151" s="76">
        <f t="shared" si="6"/>
        <v>1</v>
      </c>
      <c r="X151" s="33" cm="1">
        <f t="array" ref="X151">((X$102=$R151)*((13-$S151)/12)+(X$102&gt;$R151))*$Q151*INDEX($J$13:$O$39,$N151-1999,X$102-2020)</f>
        <v>15025.281467603922</v>
      </c>
      <c r="Y151" s="33" cm="1">
        <f t="array" ref="Y151">((Y$102=$R151)*((13-$S151)/12)+(Y$102&gt;$R151))*$Q151*INDEX($J$13:$O$39,$N151-1999,Y$102-2020)</f>
        <v>16784.605333992455</v>
      </c>
      <c r="Z151" s="33" cm="1">
        <f t="array" ref="Z151">((Z$102=$R151)*((13-$S151)/12)+(Z$102&gt;$R151))*$Q151*INDEX($J$13:$O$39,$N151-1999,Z$102-2020)</f>
        <v>18798.757974071552</v>
      </c>
      <c r="AA151" s="33" cm="1">
        <f t="array" ref="AA151">((AA$102=$R151)*((13-$S151)/12)+(AA$102&gt;$R151))*$Q151*INDEX($J$13:$O$39,$N151-1999,AA$102-2020)</f>
        <v>19362.720713293696</v>
      </c>
      <c r="AB151" s="33" cm="1">
        <f t="array" ref="AB151">((AB$102=$R151)*((13-$S151)/12)+(AB$102&gt;$R151))*$Q151*INDEX($J$13:$O$39,$N151-1999,AB$102-2020)</f>
        <v>20059.778658972271</v>
      </c>
      <c r="AC151" s="33" cm="1">
        <f t="array" ref="AC151">((AC$102=$R151)*((13-$S151)/12)+(AC$102&gt;$R151))*$Q151*INDEX($J$13:$O$39,$N151-1999,AC$102-2020)</f>
        <v>20621.452461423494</v>
      </c>
    </row>
    <row r="152" spans="2:29" x14ac:dyDescent="0.2">
      <c r="B152" s="32">
        <f>'13. Input desinvesteringen'!B65</f>
        <v>49</v>
      </c>
      <c r="J152" s="32" t="str">
        <f>'13. Input desinvesteringen'!C65</f>
        <v>Systeem</v>
      </c>
      <c r="K152" s="32" t="str">
        <f>'13. Input desinvesteringen'!D65</f>
        <v>EHS</v>
      </c>
      <c r="L152" s="32" t="str">
        <f>'13. Input desinvesteringen'!E65</f>
        <v>Nee</v>
      </c>
      <c r="M152" s="32" t="str">
        <f>'13. Input desinvesteringen'!F65</f>
        <v>Overige bedrijfsmiddelen</v>
      </c>
      <c r="N152" s="82">
        <f>'13. Input desinvesteringen'!G65</f>
        <v>2007</v>
      </c>
      <c r="O152" s="82"/>
      <c r="P152" s="82"/>
      <c r="Q152" s="32">
        <f>'13. Input desinvesteringen'!H65</f>
        <v>54983</v>
      </c>
      <c r="R152" s="82">
        <f>'13. Input desinvesteringen'!I65</f>
        <v>2021</v>
      </c>
      <c r="S152" s="32">
        <f>'13. Input desinvesteringen'!J65</f>
        <v>2</v>
      </c>
      <c r="U152" s="76">
        <f t="shared" si="5"/>
        <v>0</v>
      </c>
      <c r="V152" s="76">
        <f t="shared" si="6"/>
        <v>1</v>
      </c>
      <c r="X152" s="33" cm="1">
        <f t="array" ref="X152">((X$102=$R152)*((13-$S152)/12)+(X$102&gt;$R152))*$Q152*INDEX($J$13:$O$39,$N152-1999,X$102-2020)</f>
        <v>63152.379433704889</v>
      </c>
      <c r="Y152" s="33" cm="1">
        <f t="array" ref="Y152">((Y$102=$R152)*((13-$S152)/12)+(Y$102&gt;$R152))*$Q152*INDEX($J$13:$O$39,$N152-1999,Y$102-2020)</f>
        <v>70546.948952851439</v>
      </c>
      <c r="Z152" s="33" cm="1">
        <f t="array" ref="Z152">((Z$102=$R152)*((13-$S152)/12)+(Z$102&gt;$R152))*$Q152*INDEX($J$13:$O$39,$N152-1999,Z$102-2020)</f>
        <v>79012.582827193604</v>
      </c>
      <c r="AA152" s="33" cm="1">
        <f t="array" ref="AA152">((AA$102=$R152)*((13-$S152)/12)+(AA$102&gt;$R152))*$Q152*INDEX($J$13:$O$39,$N152-1999,AA$102-2020)</f>
        <v>81382.960312009411</v>
      </c>
      <c r="AB152" s="33" cm="1">
        <f t="array" ref="AB152">((AB$102=$R152)*((13-$S152)/12)+(AB$102&gt;$R152))*$Q152*INDEX($J$13:$O$39,$N152-1999,AB$102-2020)</f>
        <v>84312.746883241765</v>
      </c>
      <c r="AC152" s="33" cm="1">
        <f t="array" ref="AC152">((AC$102=$R152)*((13-$S152)/12)+(AC$102&gt;$R152))*$Q152*INDEX($J$13:$O$39,$N152-1999,AC$102-2020)</f>
        <v>86673.50379597253</v>
      </c>
    </row>
    <row r="153" spans="2:29" x14ac:dyDescent="0.2">
      <c r="B153" s="32">
        <f>'13. Input desinvesteringen'!B66</f>
        <v>50</v>
      </c>
      <c r="J153" s="32" t="str">
        <f>'13. Input desinvesteringen'!C66</f>
        <v>Systeem</v>
      </c>
      <c r="K153" s="32" t="str">
        <f>'13. Input desinvesteringen'!D66</f>
        <v>EHS</v>
      </c>
      <c r="L153" s="32" t="str">
        <f>'13. Input desinvesteringen'!E66</f>
        <v>Nee</v>
      </c>
      <c r="M153" s="32" t="str">
        <f>'13. Input desinvesteringen'!F66</f>
        <v>Overige bedrijfsmiddelen</v>
      </c>
      <c r="N153" s="82">
        <f>'13. Input desinvesteringen'!G66</f>
        <v>2007</v>
      </c>
      <c r="O153" s="82"/>
      <c r="P153" s="82"/>
      <c r="Q153" s="32">
        <f>'13. Input desinvesteringen'!H66</f>
        <v>7946</v>
      </c>
      <c r="R153" s="82">
        <f>'13. Input desinvesteringen'!I66</f>
        <v>2021</v>
      </c>
      <c r="S153" s="32">
        <f>'13. Input desinvesteringen'!J66</f>
        <v>2</v>
      </c>
      <c r="U153" s="76">
        <f t="shared" si="5"/>
        <v>0</v>
      </c>
      <c r="V153" s="76">
        <f t="shared" si="6"/>
        <v>1</v>
      </c>
      <c r="X153" s="33" cm="1">
        <f t="array" ref="X153">((X$102=$R153)*((13-$S153)/12)+(X$102&gt;$R153))*$Q153*INDEX($J$13:$O$39,$N153-1999,X$102-2020)</f>
        <v>9126.6174450324488</v>
      </c>
      <c r="Y153" s="33" cm="1">
        <f t="array" ref="Y153">((Y$102=$R153)*((13-$S153)/12)+(Y$102&gt;$R153))*$Q153*INDEX($J$13:$O$39,$N153-1999,Y$102-2020)</f>
        <v>10195.261378596248</v>
      </c>
      <c r="Z153" s="33" cm="1">
        <f t="array" ref="Z153">((Z$102=$R153)*((13-$S153)/12)+(Z$102&gt;$R153))*$Q153*INDEX($J$13:$O$39,$N153-1999,Z$102-2020)</f>
        <v>11418.692744027798</v>
      </c>
      <c r="AA153" s="33" cm="1">
        <f t="array" ref="AA153">((AA$102=$R153)*((13-$S153)/12)+(AA$102&gt;$R153))*$Q153*INDEX($J$13:$O$39,$N153-1999,AA$102-2020)</f>
        <v>11761.253526348632</v>
      </c>
      <c r="AB153" s="33" cm="1">
        <f t="array" ref="AB153">((AB$102=$R153)*((13-$S153)/12)+(AB$102&gt;$R153))*$Q153*INDEX($J$13:$O$39,$N153-1999,AB$102-2020)</f>
        <v>12184.658653297183</v>
      </c>
      <c r="AC153" s="33" cm="1">
        <f t="array" ref="AC153">((AC$102=$R153)*((13-$S153)/12)+(AC$102&gt;$R153))*$Q153*INDEX($J$13:$O$39,$N153-1999,AC$102-2020)</f>
        <v>12525.829095589505</v>
      </c>
    </row>
    <row r="154" spans="2:29" x14ac:dyDescent="0.2">
      <c r="B154" s="32">
        <f>'13. Input desinvesteringen'!B67</f>
        <v>51</v>
      </c>
      <c r="J154" s="32" t="str">
        <f>'13. Input desinvesteringen'!C67</f>
        <v>Systeem</v>
      </c>
      <c r="K154" s="32" t="str">
        <f>'13. Input desinvesteringen'!D67</f>
        <v>EHS</v>
      </c>
      <c r="L154" s="32" t="str">
        <f>'13. Input desinvesteringen'!E67</f>
        <v>Nee</v>
      </c>
      <c r="M154" s="32" t="str">
        <f>'13. Input desinvesteringen'!F67</f>
        <v>Overige bedrijfsmiddelen</v>
      </c>
      <c r="N154" s="82">
        <f>'13. Input desinvesteringen'!G67</f>
        <v>2008</v>
      </c>
      <c r="O154" s="82"/>
      <c r="P154" s="82"/>
      <c r="Q154" s="32">
        <f>'13. Input desinvesteringen'!H67</f>
        <v>62214</v>
      </c>
      <c r="R154" s="82">
        <f>'13. Input desinvesteringen'!I67</f>
        <v>2021</v>
      </c>
      <c r="S154" s="32">
        <f>'13. Input desinvesteringen'!J67</f>
        <v>2</v>
      </c>
      <c r="U154" s="76">
        <f t="shared" si="5"/>
        <v>0</v>
      </c>
      <c r="V154" s="76">
        <f t="shared" si="6"/>
        <v>1</v>
      </c>
      <c r="X154" s="33" cm="1">
        <f t="array" ref="X154">((X$102=$R154)*((13-$S154)/12)+(X$102&gt;$R154))*$Q154*INDEX($J$13:$O$39,$N154-1999,X$102-2020)</f>
        <v>70680.279040452937</v>
      </c>
      <c r="Y154" s="33" cm="1">
        <f t="array" ref="Y154">((Y$102=$R154)*((13-$S154)/12)+(Y$102&gt;$R154))*$Q154*INDEX($J$13:$O$39,$N154-1999,Y$102-2020)</f>
        <v>78956.29716809871</v>
      </c>
      <c r="Z154" s="33" cm="1">
        <f t="array" ref="Z154">((Z$102=$R154)*((13-$S154)/12)+(Z$102&gt;$R154))*$Q154*INDEX($J$13:$O$39,$N154-1999,Z$102-2020)</f>
        <v>88431.052828270564</v>
      </c>
      <c r="AA154" s="33" cm="1">
        <f t="array" ref="AA154">((AA$102=$R154)*((13-$S154)/12)+(AA$102&gt;$R154))*$Q154*INDEX($J$13:$O$39,$N154-1999,AA$102-2020)</f>
        <v>91083.984413118684</v>
      </c>
      <c r="AB154" s="33" cm="1">
        <f t="array" ref="AB154">((AB$102=$R154)*((13-$S154)/12)+(AB$102&gt;$R154))*$Q154*INDEX($J$13:$O$39,$N154-1999,AB$102-2020)</f>
        <v>94363.007851990958</v>
      </c>
      <c r="AC154" s="33" cm="1">
        <f t="array" ref="AC154">((AC$102=$R154)*((13-$S154)/12)+(AC$102&gt;$R154))*$Q154*INDEX($J$13:$O$39,$N154-1999,AC$102-2020)</f>
        <v>97005.172071846711</v>
      </c>
    </row>
    <row r="155" spans="2:29" x14ac:dyDescent="0.2">
      <c r="B155" s="32">
        <f>'13. Input desinvesteringen'!B68</f>
        <v>52</v>
      </c>
      <c r="J155" s="32" t="str">
        <f>'13. Input desinvesteringen'!C68</f>
        <v>Systeem</v>
      </c>
      <c r="K155" s="32" t="str">
        <f>'13. Input desinvesteringen'!D68</f>
        <v>EHS</v>
      </c>
      <c r="L155" s="32" t="str">
        <f>'13. Input desinvesteringen'!E68</f>
        <v>Nee</v>
      </c>
      <c r="M155" s="32" t="str">
        <f>'13. Input desinvesteringen'!F68</f>
        <v>Computerapparatuur</v>
      </c>
      <c r="N155" s="82">
        <f>'13. Input desinvesteringen'!G68</f>
        <v>2017</v>
      </c>
      <c r="O155" s="82"/>
      <c r="P155" s="82"/>
      <c r="Q155" s="32">
        <f>'13. Input desinvesteringen'!H68</f>
        <v>235186</v>
      </c>
      <c r="R155" s="82">
        <f>'13. Input desinvesteringen'!I68</f>
        <v>2021</v>
      </c>
      <c r="S155" s="32">
        <f>'13. Input desinvesteringen'!J68</f>
        <v>12</v>
      </c>
      <c r="U155" s="76">
        <f t="shared" si="5"/>
        <v>0</v>
      </c>
      <c r="V155" s="76">
        <f t="shared" si="6"/>
        <v>1</v>
      </c>
      <c r="X155" s="33" cm="1">
        <f t="array" ref="X155">((X$102=$R155)*((13-$S155)/12)+(X$102&gt;$R155))*$Q155*INDEX($J$13:$O$39,$N155-1999,X$102-2020)</f>
        <v>21004.700915188168</v>
      </c>
      <c r="Y155" s="33" cm="1">
        <f t="array" ref="Y155">((Y$102=$R155)*((13-$S155)/12)+(Y$102&gt;$R155))*$Q155*INDEX($J$13:$O$39,$N155-1999,Y$102-2020)</f>
        <v>258105.76484583225</v>
      </c>
      <c r="Z155" s="33" cm="1">
        <f t="array" ref="Z155">((Z$102=$R155)*((13-$S155)/12)+(Z$102&gt;$R155))*$Q155*INDEX($J$13:$O$39,$N155-1999,Z$102-2020)</f>
        <v>289078.45662733214</v>
      </c>
      <c r="AA155" s="33" cm="1">
        <f t="array" ref="AA155">((AA$102=$R155)*((13-$S155)/12)+(AA$102&gt;$R155))*$Q155*INDEX($J$13:$O$39,$N155-1999,AA$102-2020)</f>
        <v>297750.81032615213</v>
      </c>
      <c r="AB155" s="33" cm="1">
        <f t="array" ref="AB155">((AB$102=$R155)*((13-$S155)/12)+(AB$102&gt;$R155))*$Q155*INDEX($J$13:$O$39,$N155-1999,AB$102-2020)</f>
        <v>308469.83949789358</v>
      </c>
      <c r="AC155" s="33" cm="1">
        <f t="array" ref="AC155">((AC$102=$R155)*((13-$S155)/12)+(AC$102&gt;$R155))*$Q155*INDEX($J$13:$O$39,$N155-1999,AC$102-2020)</f>
        <v>317106.9950038346</v>
      </c>
    </row>
    <row r="156" spans="2:29" x14ac:dyDescent="0.2">
      <c r="B156" s="32">
        <f>'13. Input desinvesteringen'!B69</f>
        <v>53</v>
      </c>
      <c r="J156" s="32" t="str">
        <f>'13. Input desinvesteringen'!C69</f>
        <v>Transport</v>
      </c>
      <c r="K156" s="32" t="str">
        <f>'13. Input desinvesteringen'!D69</f>
        <v>EHS</v>
      </c>
      <c r="L156" s="32" t="str">
        <f>'13. Input desinvesteringen'!E69</f>
        <v>Nee</v>
      </c>
      <c r="M156" s="32" t="str">
        <f>'13. Input desinvesteringen'!F69</f>
        <v>Overige bedrijfsmiddelen</v>
      </c>
      <c r="N156" s="82">
        <f>'13. Input desinvesteringen'!G69</f>
        <v>2003</v>
      </c>
      <c r="O156" s="82"/>
      <c r="P156" s="82"/>
      <c r="Q156" s="32">
        <f>'13. Input desinvesteringen'!H69</f>
        <v>31060</v>
      </c>
      <c r="R156" s="82">
        <f>'13. Input desinvesteringen'!I69</f>
        <v>2021</v>
      </c>
      <c r="S156" s="32">
        <f>'13. Input desinvesteringen'!J69</f>
        <v>2</v>
      </c>
      <c r="U156" s="76">
        <f t="shared" si="5"/>
        <v>1</v>
      </c>
      <c r="V156" s="76">
        <f t="shared" si="6"/>
        <v>0</v>
      </c>
      <c r="X156" s="33" cm="1">
        <f t="array" ref="X156">((X$102=$R156)*((13-$S156)/12)+(X$102&gt;$R156))*$Q156*INDEX($J$13:$O$39,$N156-1999,X$102-2020)</f>
        <v>38012.406787908556</v>
      </c>
      <c r="Y156" s="33" cm="1">
        <f t="array" ref="Y156">((Y$102=$R156)*((13-$S156)/12)+(Y$102&gt;$R156))*$Q156*INDEX($J$13:$O$39,$N156-1999,Y$102-2020)</f>
        <v>42463.314055438219</v>
      </c>
      <c r="Z156" s="33" cm="1">
        <f t="array" ref="Z156">((Z$102=$R156)*((13-$S156)/12)+(Z$102&gt;$R156))*$Q156*INDEX($J$13:$O$39,$N156-1999,Z$102-2020)</f>
        <v>47558.911742090808</v>
      </c>
      <c r="AA156" s="33" cm="1">
        <f t="array" ref="AA156">((AA$102=$R156)*((13-$S156)/12)+(AA$102&gt;$R156))*$Q156*INDEX($J$13:$O$39,$N156-1999,AA$102-2020)</f>
        <v>48985.679094353538</v>
      </c>
      <c r="AB156" s="33" cm="1">
        <f t="array" ref="AB156">((AB$102=$R156)*((13-$S156)/12)+(AB$102&gt;$R156))*$Q156*INDEX($J$13:$O$39,$N156-1999,AB$102-2020)</f>
        <v>50749.163541750262</v>
      </c>
      <c r="AC156" s="33" cm="1">
        <f t="array" ref="AC156">((AC$102=$R156)*((13-$S156)/12)+(AC$102&gt;$R156))*$Q156*INDEX($J$13:$O$39,$N156-1999,AC$102-2020)</f>
        <v>52170.140120919277</v>
      </c>
    </row>
    <row r="157" spans="2:29" x14ac:dyDescent="0.2">
      <c r="B157" s="32">
        <f>'13. Input desinvesteringen'!B70</f>
        <v>54</v>
      </c>
      <c r="J157" s="32" t="str">
        <f>'13. Input desinvesteringen'!C70</f>
        <v>Transport</v>
      </c>
      <c r="K157" s="32" t="str">
        <f>'13. Input desinvesteringen'!D70</f>
        <v>EHS</v>
      </c>
      <c r="L157" s="32" t="str">
        <f>'13. Input desinvesteringen'!E70</f>
        <v>Nee</v>
      </c>
      <c r="M157" s="32" t="str">
        <f>'13. Input desinvesteringen'!F70</f>
        <v>Overige bedrijfsmiddelen</v>
      </c>
      <c r="N157" s="82">
        <f>'13. Input desinvesteringen'!G70</f>
        <v>2003</v>
      </c>
      <c r="O157" s="82"/>
      <c r="P157" s="82"/>
      <c r="Q157" s="32">
        <f>'13. Input desinvesteringen'!H70</f>
        <v>18094</v>
      </c>
      <c r="R157" s="82">
        <f>'13. Input desinvesteringen'!I70</f>
        <v>2021</v>
      </c>
      <c r="S157" s="32">
        <f>'13. Input desinvesteringen'!J70</f>
        <v>2</v>
      </c>
      <c r="U157" s="76">
        <f t="shared" si="5"/>
        <v>1</v>
      </c>
      <c r="V157" s="76">
        <f t="shared" si="6"/>
        <v>0</v>
      </c>
      <c r="X157" s="33" cm="1">
        <f t="array" ref="X157">((X$102=$R157)*((13-$S157)/12)+(X$102&gt;$R157))*$Q157*INDEX($J$13:$O$39,$N157-1999,X$102-2020)</f>
        <v>22144.123902782274</v>
      </c>
      <c r="Y157" s="33" cm="1">
        <f t="array" ref="Y157">((Y$102=$R157)*((13-$S157)/12)+(Y$102&gt;$R157))*$Q157*INDEX($J$13:$O$39,$N157-1999,Y$102-2020)</f>
        <v>24736.999501580784</v>
      </c>
      <c r="Z157" s="33" cm="1">
        <f t="array" ref="Z157">((Z$102=$R157)*((13-$S157)/12)+(Z$102&gt;$R157))*$Q157*INDEX($J$13:$O$39,$N157-1999,Z$102-2020)</f>
        <v>27705.439441770479</v>
      </c>
      <c r="AA157" s="33" cm="1">
        <f t="array" ref="AA157">((AA$102=$R157)*((13-$S157)/12)+(AA$102&gt;$R157))*$Q157*INDEX($J$13:$O$39,$N157-1999,AA$102-2020)</f>
        <v>28536.602625023595</v>
      </c>
      <c r="AB157" s="33" cm="1">
        <f t="array" ref="AB157">((AB$102=$R157)*((13-$S157)/12)+(AB$102&gt;$R157))*$Q157*INDEX($J$13:$O$39,$N157-1999,AB$102-2020)</f>
        <v>29563.920319524444</v>
      </c>
      <c r="AC157" s="33" cm="1">
        <f t="array" ref="AC157">((AC$102=$R157)*((13-$S157)/12)+(AC$102&gt;$R157))*$Q157*INDEX($J$13:$O$39,$N157-1999,AC$102-2020)</f>
        <v>30391.710088471133</v>
      </c>
    </row>
    <row r="158" spans="2:29" x14ac:dyDescent="0.2">
      <c r="B158" s="32">
        <f>'13. Input desinvesteringen'!B71</f>
        <v>55</v>
      </c>
      <c r="J158" s="32" t="str">
        <f>'13. Input desinvesteringen'!C71</f>
        <v>Transport</v>
      </c>
      <c r="K158" s="32" t="str">
        <f>'13. Input desinvesteringen'!D71</f>
        <v>EHS</v>
      </c>
      <c r="L158" s="32" t="str">
        <f>'13. Input desinvesteringen'!E71</f>
        <v>Nee</v>
      </c>
      <c r="M158" s="32" t="str">
        <f>'13. Input desinvesteringen'!F71</f>
        <v>Overige bedrijfsmiddelen</v>
      </c>
      <c r="N158" s="82">
        <f>'13. Input desinvesteringen'!G71</f>
        <v>2003</v>
      </c>
      <c r="O158" s="82"/>
      <c r="P158" s="82"/>
      <c r="Q158" s="32">
        <f>'13. Input desinvesteringen'!H71</f>
        <v>79346</v>
      </c>
      <c r="R158" s="82">
        <f>'13. Input desinvesteringen'!I71</f>
        <v>2021</v>
      </c>
      <c r="S158" s="32">
        <f>'13. Input desinvesteringen'!J71</f>
        <v>2</v>
      </c>
      <c r="U158" s="76">
        <f t="shared" si="5"/>
        <v>1</v>
      </c>
      <c r="V158" s="76">
        <f t="shared" si="6"/>
        <v>0</v>
      </c>
      <c r="X158" s="33" cm="1">
        <f t="array" ref="X158">((X$102=$R158)*((13-$S158)/12)+(X$102&gt;$R158))*$Q158*INDEX($J$13:$O$39,$N158-1999,X$102-2020)</f>
        <v>97106.646136297248</v>
      </c>
      <c r="Y158" s="33" cm="1">
        <f t="array" ref="Y158">((Y$102=$R158)*((13-$S158)/12)+(Y$102&gt;$R158))*$Q158*INDEX($J$13:$O$39,$N158-1999,Y$102-2020)</f>
        <v>108476.95161116551</v>
      </c>
      <c r="Z158" s="33" cm="1">
        <f t="array" ref="Z158">((Z$102=$R158)*((13-$S158)/12)+(Z$102&gt;$R158))*$Q158*INDEX($J$13:$O$39,$N158-1999,Z$102-2020)</f>
        <v>121494.1858045054</v>
      </c>
      <c r="AA158" s="33" cm="1">
        <f t="array" ref="AA158">((AA$102=$R158)*((13-$S158)/12)+(AA$102&gt;$R158))*$Q158*INDEX($J$13:$O$39,$N158-1999,AA$102-2020)</f>
        <v>125139.01137864056</v>
      </c>
      <c r="AB158" s="33" cm="1">
        <f t="array" ref="AB158">((AB$102=$R158)*((13-$S158)/12)+(AB$102&gt;$R158))*$Q158*INDEX($J$13:$O$39,$N158-1999,AB$102-2020)</f>
        <v>129644.01578827162</v>
      </c>
      <c r="AC158" s="33" cm="1">
        <f t="array" ref="AC158">((AC$102=$R158)*((13-$S158)/12)+(AC$102&gt;$R158))*$Q158*INDEX($J$13:$O$39,$N158-1999,AC$102-2020)</f>
        <v>133274.04823034324</v>
      </c>
    </row>
    <row r="159" spans="2:29" x14ac:dyDescent="0.2">
      <c r="B159" s="32">
        <f>'13. Input desinvesteringen'!B72</f>
        <v>56</v>
      </c>
      <c r="J159" s="32" t="str">
        <f>'13. Input desinvesteringen'!C72</f>
        <v>Transport</v>
      </c>
      <c r="K159" s="32" t="str">
        <f>'13. Input desinvesteringen'!D72</f>
        <v>EHS</v>
      </c>
      <c r="L159" s="32" t="str">
        <f>'13. Input desinvesteringen'!E72</f>
        <v>Nee</v>
      </c>
      <c r="M159" s="32" t="str">
        <f>'13. Input desinvesteringen'!F72</f>
        <v>Overige bedrijfsmiddelen</v>
      </c>
      <c r="N159" s="82">
        <f>'13. Input desinvesteringen'!G72</f>
        <v>2004</v>
      </c>
      <c r="O159" s="82"/>
      <c r="P159" s="82"/>
      <c r="Q159" s="32">
        <f>'13. Input desinvesteringen'!H72</f>
        <v>25959</v>
      </c>
      <c r="R159" s="82">
        <f>'13. Input desinvesteringen'!I72</f>
        <v>2021</v>
      </c>
      <c r="S159" s="32">
        <f>'13. Input desinvesteringen'!J72</f>
        <v>2</v>
      </c>
      <c r="U159" s="76">
        <f t="shared" si="5"/>
        <v>1</v>
      </c>
      <c r="V159" s="76">
        <f t="shared" si="6"/>
        <v>0</v>
      </c>
      <c r="X159" s="33" cm="1">
        <f t="array" ref="X159">((X$102=$R159)*((13-$S159)/12)+(X$102&gt;$R159))*$Q159*INDEX($J$13:$O$39,$N159-1999,X$102-2020)</f>
        <v>31116.169828555823</v>
      </c>
      <c r="Y159" s="33" cm="1">
        <f t="array" ref="Y159">((Y$102=$R159)*((13-$S159)/12)+(Y$102&gt;$R159))*$Q159*INDEX($J$13:$O$39,$N159-1999,Y$102-2020)</f>
        <v>34759.590441208544</v>
      </c>
      <c r="Z159" s="33" cm="1">
        <f t="array" ref="Z159">((Z$102=$R159)*((13-$S159)/12)+(Z$102&gt;$R159))*$Q159*INDEX($J$13:$O$39,$N159-1999,Z$102-2020)</f>
        <v>38930.741294153573</v>
      </c>
      <c r="AA159" s="33" cm="1">
        <f t="array" ref="AA159">((AA$102=$R159)*((13-$S159)/12)+(AA$102&gt;$R159))*$Q159*INDEX($J$13:$O$39,$N159-1999,AA$102-2020)</f>
        <v>40098.663532978186</v>
      </c>
      <c r="AB159" s="33" cm="1">
        <f t="array" ref="AB159">((AB$102=$R159)*((13-$S159)/12)+(AB$102&gt;$R159))*$Q159*INDEX($J$13:$O$39,$N159-1999,AB$102-2020)</f>
        <v>41542.215420165398</v>
      </c>
      <c r="AC159" s="33" cm="1">
        <f t="array" ref="AC159">((AC$102=$R159)*((13-$S159)/12)+(AC$102&gt;$R159))*$Q159*INDEX($J$13:$O$39,$N159-1999,AC$102-2020)</f>
        <v>42705.397451930025</v>
      </c>
    </row>
    <row r="160" spans="2:29" x14ac:dyDescent="0.2">
      <c r="B160" s="32">
        <f>'13. Input desinvesteringen'!B73</f>
        <v>57</v>
      </c>
      <c r="J160" s="32" t="str">
        <f>'13. Input desinvesteringen'!C73</f>
        <v>Transport</v>
      </c>
      <c r="K160" s="32" t="str">
        <f>'13. Input desinvesteringen'!D73</f>
        <v>EHS</v>
      </c>
      <c r="L160" s="32" t="str">
        <f>'13. Input desinvesteringen'!E73</f>
        <v>Nee</v>
      </c>
      <c r="M160" s="32" t="str">
        <f>'13. Input desinvesteringen'!F73</f>
        <v>Overige bedrijfsmiddelen</v>
      </c>
      <c r="N160" s="82">
        <f>'13. Input desinvesteringen'!G73</f>
        <v>2005</v>
      </c>
      <c r="O160" s="82"/>
      <c r="P160" s="82"/>
      <c r="Q160" s="32">
        <f>'13. Input desinvesteringen'!H73</f>
        <v>39620</v>
      </c>
      <c r="R160" s="82">
        <f>'13. Input desinvesteringen'!I73</f>
        <v>2021</v>
      </c>
      <c r="S160" s="32">
        <f>'13. Input desinvesteringen'!J73</f>
        <v>2</v>
      </c>
      <c r="U160" s="76">
        <f t="shared" si="5"/>
        <v>1</v>
      </c>
      <c r="V160" s="76">
        <f t="shared" si="6"/>
        <v>0</v>
      </c>
      <c r="X160" s="33" cm="1">
        <f t="array" ref="X160">((X$102=$R160)*((13-$S160)/12)+(X$102&gt;$R160))*$Q160*INDEX($J$13:$O$39,$N160-1999,X$102-2020)</f>
        <v>46974.426903178326</v>
      </c>
      <c r="Y160" s="33" cm="1">
        <f t="array" ref="Y160">((Y$102=$R160)*((13-$S160)/12)+(Y$102&gt;$R160))*$Q160*INDEX($J$13:$O$39,$N160-1999,Y$102-2020)</f>
        <v>52474.705253295942</v>
      </c>
      <c r="Z160" s="33" cm="1">
        <f t="array" ref="Z160">((Z$102=$R160)*((13-$S160)/12)+(Z$102&gt;$R160))*$Q160*INDEX($J$13:$O$39,$N160-1999,Z$102-2020)</f>
        <v>58771.669883691466</v>
      </c>
      <c r="AA160" s="33" cm="1">
        <f t="array" ref="AA160">((AA$102=$R160)*((13-$S160)/12)+(AA$102&gt;$R160))*$Q160*INDEX($J$13:$O$39,$N160-1999,AA$102-2020)</f>
        <v>60534.819980202206</v>
      </c>
      <c r="AB160" s="33" cm="1">
        <f t="array" ref="AB160">((AB$102=$R160)*((13-$S160)/12)+(AB$102&gt;$R160))*$Q160*INDEX($J$13:$O$39,$N160-1999,AB$102-2020)</f>
        <v>62714.073499489488</v>
      </c>
      <c r="AC160" s="33" cm="1">
        <f t="array" ref="AC160">((AC$102=$R160)*((13-$S160)/12)+(AC$102&gt;$R160))*$Q160*INDEX($J$13:$O$39,$N160-1999,AC$102-2020)</f>
        <v>64470.067557475195</v>
      </c>
    </row>
    <row r="161" spans="2:29" x14ac:dyDescent="0.2">
      <c r="B161" s="32">
        <f>'13. Input desinvesteringen'!B74</f>
        <v>58</v>
      </c>
      <c r="J161" s="32" t="str">
        <f>'13. Input desinvesteringen'!C74</f>
        <v>Transport</v>
      </c>
      <c r="K161" s="32" t="str">
        <f>'13. Input desinvesteringen'!D74</f>
        <v>EHS</v>
      </c>
      <c r="L161" s="32" t="str">
        <f>'13. Input desinvesteringen'!E74</f>
        <v>Nee</v>
      </c>
      <c r="M161" s="32" t="str">
        <f>'13. Input desinvesteringen'!F74</f>
        <v>Overige bedrijfsmiddelen</v>
      </c>
      <c r="N161" s="82">
        <f>'13. Input desinvesteringen'!G74</f>
        <v>2005</v>
      </c>
      <c r="O161" s="82"/>
      <c r="P161" s="82"/>
      <c r="Q161" s="32">
        <f>'13. Input desinvesteringen'!H74</f>
        <v>75208</v>
      </c>
      <c r="R161" s="82">
        <f>'13. Input desinvesteringen'!I74</f>
        <v>2021</v>
      </c>
      <c r="S161" s="32">
        <f>'13. Input desinvesteringen'!J74</f>
        <v>2</v>
      </c>
      <c r="U161" s="76">
        <f t="shared" si="5"/>
        <v>1</v>
      </c>
      <c r="V161" s="76">
        <f t="shared" si="6"/>
        <v>0</v>
      </c>
      <c r="X161" s="33" cm="1">
        <f t="array" ref="X161">((X$102=$R161)*((13-$S161)/12)+(X$102&gt;$R161))*$Q161*INDEX($J$13:$O$39,$N161-1999,X$102-2020)</f>
        <v>89168.417428930727</v>
      </c>
      <c r="Y161" s="33" cm="1">
        <f t="array" ref="Y161">((Y$102=$R161)*((13-$S161)/12)+(Y$102&gt;$R161))*$Q161*INDEX($J$13:$O$39,$N161-1999,Y$102-2020)</f>
        <v>99609.228487881905</v>
      </c>
      <c r="Z161" s="33" cm="1">
        <f t="array" ref="Z161">((Z$102=$R161)*((13-$S161)/12)+(Z$102&gt;$R161))*$Q161*INDEX($J$13:$O$39,$N161-1999,Z$102-2020)</f>
        <v>111562.33590642776</v>
      </c>
      <c r="AA161" s="33" cm="1">
        <f t="array" ref="AA161">((AA$102=$R161)*((13-$S161)/12)+(AA$102&gt;$R161))*$Q161*INDEX($J$13:$O$39,$N161-1999,AA$102-2020)</f>
        <v>114909.20598362059</v>
      </c>
      <c r="AB161" s="33" cm="1">
        <f t="array" ref="AB161">((AB$102=$R161)*((13-$S161)/12)+(AB$102&gt;$R161))*$Q161*INDEX($J$13:$O$39,$N161-1999,AB$102-2020)</f>
        <v>119045.93739903093</v>
      </c>
      <c r="AC161" s="33" cm="1">
        <f t="array" ref="AC161">((AC$102=$R161)*((13-$S161)/12)+(AC$102&gt;$R161))*$Q161*INDEX($J$13:$O$39,$N161-1999,AC$102-2020)</f>
        <v>122379.2236462038</v>
      </c>
    </row>
    <row r="162" spans="2:29" x14ac:dyDescent="0.2">
      <c r="B162" s="32">
        <f>'13. Input desinvesteringen'!B75</f>
        <v>59</v>
      </c>
      <c r="J162" s="32" t="str">
        <f>'13. Input desinvesteringen'!C75</f>
        <v>Transport</v>
      </c>
      <c r="K162" s="32" t="str">
        <f>'13. Input desinvesteringen'!D75</f>
        <v>EHS</v>
      </c>
      <c r="L162" s="32" t="str">
        <f>'13. Input desinvesteringen'!E75</f>
        <v>Nee</v>
      </c>
      <c r="M162" s="32" t="str">
        <f>'13. Input desinvesteringen'!F75</f>
        <v>Overige bedrijfsmiddelen</v>
      </c>
      <c r="N162" s="82">
        <f>'13. Input desinvesteringen'!G75</f>
        <v>2005</v>
      </c>
      <c r="O162" s="82"/>
      <c r="P162" s="82"/>
      <c r="Q162" s="32">
        <f>'13. Input desinvesteringen'!H75</f>
        <v>68422</v>
      </c>
      <c r="R162" s="82">
        <f>'13. Input desinvesteringen'!I75</f>
        <v>2021</v>
      </c>
      <c r="S162" s="32">
        <f>'13. Input desinvesteringen'!J75</f>
        <v>2</v>
      </c>
      <c r="U162" s="76">
        <f t="shared" si="5"/>
        <v>1</v>
      </c>
      <c r="V162" s="76">
        <f t="shared" si="6"/>
        <v>0</v>
      </c>
      <c r="X162" s="33" cm="1">
        <f t="array" ref="X162">((X$102=$R162)*((13-$S162)/12)+(X$102&gt;$R162))*$Q162*INDEX($J$13:$O$39,$N162-1999,X$102-2020)</f>
        <v>81122.772275852287</v>
      </c>
      <c r="Y162" s="33" cm="1">
        <f t="array" ref="Y162">((Y$102=$R162)*((13-$S162)/12)+(Y$102&gt;$R162))*$Q162*INDEX($J$13:$O$39,$N162-1999,Y$102-2020)</f>
        <v>90621.511429606631</v>
      </c>
      <c r="Z162" s="33" cm="1">
        <f t="array" ref="Z162">((Z$102=$R162)*((13-$S162)/12)+(Z$102&gt;$R162))*$Q162*INDEX($J$13:$O$39,$N162-1999,Z$102-2020)</f>
        <v>101496.09280115945</v>
      </c>
      <c r="AA162" s="33" cm="1">
        <f t="array" ref="AA162">((AA$102=$R162)*((13-$S162)/12)+(AA$102&gt;$R162))*$Q162*INDEX($J$13:$O$39,$N162-1999,AA$102-2020)</f>
        <v>104540.97558519423</v>
      </c>
      <c r="AB162" s="33" cm="1">
        <f t="array" ref="AB162">((AB$102=$R162)*((13-$S162)/12)+(AB$102&gt;$R162))*$Q162*INDEX($J$13:$O$39,$N162-1999,AB$102-2020)</f>
        <v>108304.45070626122</v>
      </c>
      <c r="AC162" s="33" cm="1">
        <f t="array" ref="AC162">((AC$102=$R162)*((13-$S162)/12)+(AC$102&gt;$R162))*$Q162*INDEX($J$13:$O$39,$N162-1999,AC$102-2020)</f>
        <v>111336.97532603654</v>
      </c>
    </row>
    <row r="163" spans="2:29" x14ac:dyDescent="0.2">
      <c r="B163" s="32">
        <f>'13. Input desinvesteringen'!B76</f>
        <v>60</v>
      </c>
      <c r="J163" s="32" t="str">
        <f>'13. Input desinvesteringen'!C76</f>
        <v>Transport</v>
      </c>
      <c r="K163" s="32" t="str">
        <f>'13. Input desinvesteringen'!D76</f>
        <v>EHS</v>
      </c>
      <c r="L163" s="32" t="str">
        <f>'13. Input desinvesteringen'!E76</f>
        <v>Nee</v>
      </c>
      <c r="M163" s="32" t="str">
        <f>'13. Input desinvesteringen'!F76</f>
        <v>Overige bedrijfsmiddelen</v>
      </c>
      <c r="N163" s="82">
        <f>'13. Input desinvesteringen'!G76</f>
        <v>2006</v>
      </c>
      <c r="O163" s="82"/>
      <c r="P163" s="82"/>
      <c r="Q163" s="32">
        <f>'13. Input desinvesteringen'!H76</f>
        <v>70525</v>
      </c>
      <c r="R163" s="82">
        <f>'13. Input desinvesteringen'!I76</f>
        <v>2021</v>
      </c>
      <c r="S163" s="32">
        <f>'13. Input desinvesteringen'!J76</f>
        <v>2</v>
      </c>
      <c r="U163" s="76">
        <f t="shared" si="5"/>
        <v>1</v>
      </c>
      <c r="V163" s="76">
        <f t="shared" si="6"/>
        <v>0</v>
      </c>
      <c r="X163" s="33" cm="1">
        <f t="array" ref="X163">((X$102=$R163)*((13-$S163)/12)+(X$102&gt;$R163))*$Q163*INDEX($J$13:$O$39,$N163-1999,X$102-2020)</f>
        <v>82137.661848133212</v>
      </c>
      <c r="Y163" s="33" cm="1">
        <f t="array" ref="Y163">((Y$102=$R163)*((13-$S163)/12)+(Y$102&gt;$R163))*$Q163*INDEX($J$13:$O$39,$N163-1999,Y$102-2020)</f>
        <v>91755.235344532819</v>
      </c>
      <c r="Z163" s="33" cm="1">
        <f t="array" ref="Z163">((Z$102=$R163)*((13-$S163)/12)+(Z$102&gt;$R163))*$Q163*INDEX($J$13:$O$39,$N163-1999,Z$102-2020)</f>
        <v>102765.86358587677</v>
      </c>
      <c r="AA163" s="33" cm="1">
        <f t="array" ref="AA163">((AA$102=$R163)*((13-$S163)/12)+(AA$102&gt;$R163))*$Q163*INDEX($J$13:$O$39,$N163-1999,AA$102-2020)</f>
        <v>105848.83949345307</v>
      </c>
      <c r="AB163" s="33" cm="1">
        <f t="array" ref="AB163">((AB$102=$R163)*((13-$S163)/12)+(AB$102&gt;$R163))*$Q163*INDEX($J$13:$O$39,$N163-1999,AB$102-2020)</f>
        <v>109659.39771521738</v>
      </c>
      <c r="AC163" s="33" cm="1">
        <f t="array" ref="AC163">((AC$102=$R163)*((13-$S163)/12)+(AC$102&gt;$R163))*$Q163*INDEX($J$13:$O$39,$N163-1999,AC$102-2020)</f>
        <v>112729.86085124347</v>
      </c>
    </row>
    <row r="164" spans="2:29" x14ac:dyDescent="0.2">
      <c r="B164" s="32">
        <f>'13. Input desinvesteringen'!B77</f>
        <v>61</v>
      </c>
      <c r="J164" s="32" t="str">
        <f>'13. Input desinvesteringen'!C77</f>
        <v>Transport</v>
      </c>
      <c r="K164" s="32" t="str">
        <f>'13. Input desinvesteringen'!D77</f>
        <v>EHS</v>
      </c>
      <c r="L164" s="32" t="str">
        <f>'13. Input desinvesteringen'!E77</f>
        <v>Nee</v>
      </c>
      <c r="M164" s="32" t="str">
        <f>'13. Input desinvesteringen'!F77</f>
        <v>Overige bedrijfsmiddelen</v>
      </c>
      <c r="N164" s="82">
        <f>'13. Input desinvesteringen'!G77</f>
        <v>2006</v>
      </c>
      <c r="O164" s="82"/>
      <c r="P164" s="82"/>
      <c r="Q164" s="32">
        <f>'13. Input desinvesteringen'!H77</f>
        <v>25802</v>
      </c>
      <c r="R164" s="82">
        <f>'13. Input desinvesteringen'!I77</f>
        <v>2021</v>
      </c>
      <c r="S164" s="32">
        <f>'13. Input desinvesteringen'!J77</f>
        <v>2</v>
      </c>
      <c r="U164" s="76">
        <f t="shared" si="5"/>
        <v>1</v>
      </c>
      <c r="V164" s="76">
        <f t="shared" si="6"/>
        <v>0</v>
      </c>
      <c r="X164" s="33" cm="1">
        <f t="array" ref="X164">((X$102=$R164)*((13-$S164)/12)+(X$102&gt;$R164))*$Q164*INDEX($J$13:$O$39,$N164-1999,X$102-2020)</f>
        <v>30050.562935207843</v>
      </c>
      <c r="Y164" s="33" cm="1">
        <f t="array" ref="Y164">((Y$102=$R164)*((13-$S164)/12)+(Y$102&gt;$R164))*$Q164*INDEX($J$13:$O$39,$N164-1999,Y$102-2020)</f>
        <v>33569.210667984909</v>
      </c>
      <c r="Z164" s="33" cm="1">
        <f t="array" ref="Z164">((Z$102=$R164)*((13-$S164)/12)+(Z$102&gt;$R164))*$Q164*INDEX($J$13:$O$39,$N164-1999,Z$102-2020)</f>
        <v>37597.515948143104</v>
      </c>
      <c r="AA164" s="33" cm="1">
        <f t="array" ref="AA164">((AA$102=$R164)*((13-$S164)/12)+(AA$102&gt;$R164))*$Q164*INDEX($J$13:$O$39,$N164-1999,AA$102-2020)</f>
        <v>38725.441426587393</v>
      </c>
      <c r="AB164" s="33" cm="1">
        <f t="array" ref="AB164">((AB$102=$R164)*((13-$S164)/12)+(AB$102&gt;$R164))*$Q164*INDEX($J$13:$O$39,$N164-1999,AB$102-2020)</f>
        <v>40119.557317944542</v>
      </c>
      <c r="AC164" s="33" cm="1">
        <f t="array" ref="AC164">((AC$102=$R164)*((13-$S164)/12)+(AC$102&gt;$R164))*$Q164*INDEX($J$13:$O$39,$N164-1999,AC$102-2020)</f>
        <v>41242.904922846988</v>
      </c>
    </row>
    <row r="165" spans="2:29" x14ac:dyDescent="0.2">
      <c r="B165" s="32">
        <f>'13. Input desinvesteringen'!B78</f>
        <v>62</v>
      </c>
      <c r="J165" s="32" t="str">
        <f>'13. Input desinvesteringen'!C78</f>
        <v>Transport</v>
      </c>
      <c r="K165" s="32" t="str">
        <f>'13. Input desinvesteringen'!D78</f>
        <v>EHS</v>
      </c>
      <c r="L165" s="32" t="str">
        <f>'13. Input desinvesteringen'!E78</f>
        <v>Nee</v>
      </c>
      <c r="M165" s="32" t="str">
        <f>'13. Input desinvesteringen'!F78</f>
        <v>Overige bedrijfsmiddelen</v>
      </c>
      <c r="N165" s="82">
        <f>'13. Input desinvesteringen'!G78</f>
        <v>2007</v>
      </c>
      <c r="O165" s="82"/>
      <c r="P165" s="82"/>
      <c r="Q165" s="32">
        <f>'13. Input desinvesteringen'!H78</f>
        <v>109966</v>
      </c>
      <c r="R165" s="82">
        <f>'13. Input desinvesteringen'!I78</f>
        <v>2021</v>
      </c>
      <c r="S165" s="32">
        <f>'13. Input desinvesteringen'!J78</f>
        <v>2</v>
      </c>
      <c r="U165" s="76">
        <f t="shared" si="5"/>
        <v>1</v>
      </c>
      <c r="V165" s="76">
        <f t="shared" si="6"/>
        <v>0</v>
      </c>
      <c r="X165" s="33" cm="1">
        <f t="array" ref="X165">((X$102=$R165)*((13-$S165)/12)+(X$102&gt;$R165))*$Q165*INDEX($J$13:$O$39,$N165-1999,X$102-2020)</f>
        <v>126304.75886740978</v>
      </c>
      <c r="Y165" s="33" cm="1">
        <f t="array" ref="Y165">((Y$102=$R165)*((13-$S165)/12)+(Y$102&gt;$R165))*$Q165*INDEX($J$13:$O$39,$N165-1999,Y$102-2020)</f>
        <v>141093.89790570288</v>
      </c>
      <c r="Z165" s="33" cm="1">
        <f t="array" ref="Z165">((Z$102=$R165)*((13-$S165)/12)+(Z$102&gt;$R165))*$Q165*INDEX($J$13:$O$39,$N165-1999,Z$102-2020)</f>
        <v>158025.16565438721</v>
      </c>
      <c r="AA165" s="33" cm="1">
        <f t="array" ref="AA165">((AA$102=$R165)*((13-$S165)/12)+(AA$102&gt;$R165))*$Q165*INDEX($J$13:$O$39,$N165-1999,AA$102-2020)</f>
        <v>162765.92062401882</v>
      </c>
      <c r="AB165" s="33" cm="1">
        <f t="array" ref="AB165">((AB$102=$R165)*((13-$S165)/12)+(AB$102&gt;$R165))*$Q165*INDEX($J$13:$O$39,$N165-1999,AB$102-2020)</f>
        <v>168625.49376648353</v>
      </c>
      <c r="AC165" s="33" cm="1">
        <f t="array" ref="AC165">((AC$102=$R165)*((13-$S165)/12)+(AC$102&gt;$R165))*$Q165*INDEX($J$13:$O$39,$N165-1999,AC$102-2020)</f>
        <v>173347.00759194506</v>
      </c>
    </row>
    <row r="166" spans="2:29" x14ac:dyDescent="0.2">
      <c r="B166" s="32">
        <f>'13. Input desinvesteringen'!B79</f>
        <v>63</v>
      </c>
      <c r="J166" s="32" t="str">
        <f>'13. Input desinvesteringen'!C79</f>
        <v>Transport</v>
      </c>
      <c r="K166" s="32" t="str">
        <f>'13. Input desinvesteringen'!D79</f>
        <v>EHS</v>
      </c>
      <c r="L166" s="32" t="str">
        <f>'13. Input desinvesteringen'!E79</f>
        <v>Nee</v>
      </c>
      <c r="M166" s="32" t="str">
        <f>'13. Input desinvesteringen'!F79</f>
        <v>Overige bedrijfsmiddelen</v>
      </c>
      <c r="N166" s="82">
        <f>'13. Input desinvesteringen'!G79</f>
        <v>2007</v>
      </c>
      <c r="O166" s="82"/>
      <c r="P166" s="82"/>
      <c r="Q166" s="32">
        <f>'13. Input desinvesteringen'!H79</f>
        <v>15893</v>
      </c>
      <c r="R166" s="82">
        <f>'13. Input desinvesteringen'!I79</f>
        <v>2021</v>
      </c>
      <c r="S166" s="32">
        <f>'13. Input desinvesteringen'!J79</f>
        <v>2</v>
      </c>
      <c r="U166" s="76">
        <f t="shared" si="5"/>
        <v>1</v>
      </c>
      <c r="V166" s="76">
        <f t="shared" si="6"/>
        <v>0</v>
      </c>
      <c r="X166" s="33" cm="1">
        <f t="array" ref="X166">((X$102=$R166)*((13-$S166)/12)+(X$102&gt;$R166))*$Q166*INDEX($J$13:$O$39,$N166-1999,X$102-2020)</f>
        <v>18254.383470161174</v>
      </c>
      <c r="Y166" s="33" cm="1">
        <f t="array" ref="Y166">((Y$102=$R166)*((13-$S166)/12)+(Y$102&gt;$R166))*$Q166*INDEX($J$13:$O$39,$N166-1999,Y$102-2020)</f>
        <v>20391.805825576412</v>
      </c>
      <c r="Z166" s="33" cm="1">
        <f t="array" ref="Z166">((Z$102=$R166)*((13-$S166)/12)+(Z$102&gt;$R166))*$Q166*INDEX($J$13:$O$39,$N166-1999,Z$102-2020)</f>
        <v>22838.822524645584</v>
      </c>
      <c r="AA166" s="33" cm="1">
        <f t="array" ref="AA166">((AA$102=$R166)*((13-$S166)/12)+(AA$102&gt;$R166))*$Q166*INDEX($J$13:$O$39,$N166-1999,AA$102-2020)</f>
        <v>23523.987200384949</v>
      </c>
      <c r="AB166" s="33" cm="1">
        <f t="array" ref="AB166">((AB$102=$R166)*((13-$S166)/12)+(AB$102&gt;$R166))*$Q166*INDEX($J$13:$O$39,$N166-1999,AB$102-2020)</f>
        <v>24370.850739598809</v>
      </c>
      <c r="AC166" s="33" cm="1">
        <f t="array" ref="AC166">((AC$102=$R166)*((13-$S166)/12)+(AC$102&gt;$R166))*$Q166*INDEX($J$13:$O$39,$N166-1999,AC$102-2020)</f>
        <v>25053.234560307574</v>
      </c>
    </row>
    <row r="167" spans="2:29" x14ac:dyDescent="0.2">
      <c r="B167" s="32">
        <f>'13. Input desinvesteringen'!B80</f>
        <v>64</v>
      </c>
      <c r="J167" s="32" t="str">
        <f>'13. Input desinvesteringen'!C80</f>
        <v>Transport</v>
      </c>
      <c r="K167" s="32" t="str">
        <f>'13. Input desinvesteringen'!D80</f>
        <v>EHS</v>
      </c>
      <c r="L167" s="32" t="str">
        <f>'13. Input desinvesteringen'!E80</f>
        <v>Nee</v>
      </c>
      <c r="M167" s="32" t="str">
        <f>'13. Input desinvesteringen'!F80</f>
        <v>Overige bedrijfsmiddelen</v>
      </c>
      <c r="N167" s="82">
        <f>'13. Input desinvesteringen'!G80</f>
        <v>2008</v>
      </c>
      <c r="O167" s="82"/>
      <c r="P167" s="82"/>
      <c r="Q167" s="32">
        <f>'13. Input desinvesteringen'!H80</f>
        <v>155536</v>
      </c>
      <c r="R167" s="82">
        <f>'13. Input desinvesteringen'!I80</f>
        <v>2021</v>
      </c>
      <c r="S167" s="32">
        <f>'13. Input desinvesteringen'!J80</f>
        <v>2</v>
      </c>
      <c r="U167" s="76">
        <f t="shared" si="5"/>
        <v>1</v>
      </c>
      <c r="V167" s="76">
        <f t="shared" si="6"/>
        <v>0</v>
      </c>
      <c r="X167" s="33" cm="1">
        <f t="array" ref="X167">((X$102=$R167)*((13-$S167)/12)+(X$102&gt;$R167))*$Q167*INDEX($J$13:$O$39,$N167-1999,X$102-2020)</f>
        <v>176701.83368431363</v>
      </c>
      <c r="Y167" s="33" cm="1">
        <f t="array" ref="Y167">((Y$102=$R167)*((13-$S167)/12)+(Y$102&gt;$R167))*$Q167*INDEX($J$13:$O$39,$N167-1999,Y$102-2020)</f>
        <v>197392.01202844057</v>
      </c>
      <c r="Z167" s="33" cm="1">
        <f t="array" ref="Z167">((Z$102=$R167)*((13-$S167)/12)+(Z$102&gt;$R167))*$Q167*INDEX($J$13:$O$39,$N167-1999,Z$102-2020)</f>
        <v>221079.05347185343</v>
      </c>
      <c r="AA167" s="33" cm="1">
        <f t="array" ref="AA167">((AA$102=$R167)*((13-$S167)/12)+(AA$102&gt;$R167))*$Q167*INDEX($J$13:$O$39,$N167-1999,AA$102-2020)</f>
        <v>227711.42507600907</v>
      </c>
      <c r="AB167" s="33" cm="1">
        <f t="array" ref="AB167">((AB$102=$R167)*((13-$S167)/12)+(AB$102&gt;$R167))*$Q167*INDEX($J$13:$O$39,$N167-1999,AB$102-2020)</f>
        <v>235909.0363787454</v>
      </c>
      <c r="AC167" s="33" cm="1">
        <f t="array" ref="AC167">((AC$102=$R167)*((13-$S167)/12)+(AC$102&gt;$R167))*$Q167*INDEX($J$13:$O$39,$N167-1999,AC$102-2020)</f>
        <v>242514.48939735026</v>
      </c>
    </row>
    <row r="168" spans="2:29" x14ac:dyDescent="0.2">
      <c r="B168" s="32">
        <f>'13. Input desinvesteringen'!B81</f>
        <v>65</v>
      </c>
      <c r="J168" s="32" t="str">
        <f>'13. Input desinvesteringen'!C81</f>
        <v>Transport</v>
      </c>
      <c r="K168" s="32" t="str">
        <f>'13. Input desinvesteringen'!D81</f>
        <v>EHS</v>
      </c>
      <c r="L168" s="32" t="str">
        <f>'13. Input desinvesteringen'!E81</f>
        <v>Nee</v>
      </c>
      <c r="M168" s="32" t="str">
        <f>'13. Input desinvesteringen'!F81</f>
        <v>Computerapparatuur</v>
      </c>
      <c r="N168" s="82">
        <f>'13. Input desinvesteringen'!G81</f>
        <v>2017</v>
      </c>
      <c r="O168" s="82"/>
      <c r="P168" s="82"/>
      <c r="Q168" s="32">
        <f>'13. Input desinvesteringen'!H81</f>
        <v>262268</v>
      </c>
      <c r="R168" s="82">
        <f>'13. Input desinvesteringen'!I81</f>
        <v>2021</v>
      </c>
      <c r="S168" s="32">
        <f>'13. Input desinvesteringen'!J81</f>
        <v>12</v>
      </c>
      <c r="U168" s="76">
        <f t="shared" si="5"/>
        <v>1</v>
      </c>
      <c r="V168" s="76">
        <f t="shared" si="6"/>
        <v>0</v>
      </c>
      <c r="X168" s="33" cm="1">
        <f t="array" ref="X168">((X$102=$R168)*((13-$S168)/12)+(X$102&gt;$R168))*$Q168*INDEX($J$13:$O$39,$N168-1999,X$102-2020)</f>
        <v>23423.42188576093</v>
      </c>
      <c r="Y168" s="33" cm="1">
        <f t="array" ref="Y168">((Y$102=$R168)*((13-$S168)/12)+(Y$102&gt;$R168))*$Q168*INDEX($J$13:$O$39,$N168-1999,Y$102-2020)</f>
        <v>287827.00813223037</v>
      </c>
      <c r="Z168" s="33" cm="1">
        <f t="array" ref="Z168">((Z$102=$R168)*((13-$S168)/12)+(Z$102&gt;$R168))*$Q168*INDEX($J$13:$O$39,$N168-1999,Z$102-2020)</f>
        <v>322366.24910809804</v>
      </c>
      <c r="AA168" s="33" cm="1">
        <f t="array" ref="AA168">((AA$102=$R168)*((13-$S168)/12)+(AA$102&gt;$R168))*$Q168*INDEX($J$13:$O$39,$N168-1999,AA$102-2020)</f>
        <v>332037.23658134101</v>
      </c>
      <c r="AB168" s="33" cm="1">
        <f t="array" ref="AB168">((AB$102=$R168)*((13-$S168)/12)+(AB$102&gt;$R168))*$Q168*INDEX($J$13:$O$39,$N168-1999,AB$102-2020)</f>
        <v>343990.57709826931</v>
      </c>
      <c r="AC168" s="33" cm="1">
        <f t="array" ref="AC168">((AC$102=$R168)*((13-$S168)/12)+(AC$102&gt;$R168))*$Q168*INDEX($J$13:$O$39,$N168-1999,AC$102-2020)</f>
        <v>353622.31325702084</v>
      </c>
    </row>
    <row r="169" spans="2:29" x14ac:dyDescent="0.2">
      <c r="B169" s="32">
        <f>'13. Input desinvesteringen'!B82</f>
        <v>66</v>
      </c>
      <c r="J169" s="32" t="str">
        <f>'13. Input desinvesteringen'!C82</f>
        <v>Transport</v>
      </c>
      <c r="K169" s="32" t="str">
        <f>'13. Input desinvesteringen'!D82</f>
        <v>HS</v>
      </c>
      <c r="L169" s="32" t="str">
        <f>'13. Input desinvesteringen'!E82</f>
        <v>Nee</v>
      </c>
      <c r="M169" s="32" t="str">
        <f>'13. Input desinvesteringen'!F82</f>
        <v>Overige bedrijfsmiddelen</v>
      </c>
      <c r="N169" s="82">
        <f>'13. Input desinvesteringen'!G82</f>
        <v>2004</v>
      </c>
      <c r="O169" s="82"/>
      <c r="P169" s="82"/>
      <c r="Q169" s="32">
        <f>'13. Input desinvesteringen'!H82</f>
        <v>10214</v>
      </c>
      <c r="R169" s="82">
        <f>'13. Input desinvesteringen'!I82</f>
        <v>2021</v>
      </c>
      <c r="S169" s="32">
        <f>'13. Input desinvesteringen'!J82</f>
        <v>2</v>
      </c>
      <c r="U169" s="76">
        <f t="shared" si="5"/>
        <v>1</v>
      </c>
      <c r="V169" s="76">
        <f t="shared" si="6"/>
        <v>0</v>
      </c>
      <c r="X169" s="33" cm="1">
        <f t="array" ref="X169">((X$102=$R169)*((13-$S169)/12)+(X$102&gt;$R169))*$Q169*INDEX($J$13:$O$39,$N169-1999,X$102-2020)</f>
        <v>12243.174183476604</v>
      </c>
      <c r="Y169" s="33" cm="1">
        <f t="array" ref="Y169">((Y$102=$R169)*((13-$S169)/12)+(Y$102&gt;$R169))*$Q169*INDEX($J$13:$O$39,$N169-1999,Y$102-2020)</f>
        <v>13676.73857877823</v>
      </c>
      <c r="Z169" s="33" cm="1">
        <f t="array" ref="Z169">((Z$102=$R169)*((13-$S169)/12)+(Z$102&gt;$R169))*$Q169*INDEX($J$13:$O$39,$N169-1999,Z$102-2020)</f>
        <v>15317.947208231619</v>
      </c>
      <c r="AA169" s="33" cm="1">
        <f t="array" ref="AA169">((AA$102=$R169)*((13-$S169)/12)+(AA$102&gt;$R169))*$Q169*INDEX($J$13:$O$39,$N169-1999,AA$102-2020)</f>
        <v>15777.485624478568</v>
      </c>
      <c r="AB169" s="33" cm="1">
        <f t="array" ref="AB169">((AB$102=$R169)*((13-$S169)/12)+(AB$102&gt;$R169))*$Q169*INDEX($J$13:$O$39,$N169-1999,AB$102-2020)</f>
        <v>16345.475106959797</v>
      </c>
      <c r="AC169" s="33" cm="1">
        <f t="array" ref="AC169">((AC$102=$R169)*((13-$S169)/12)+(AC$102&gt;$R169))*$Q169*INDEX($J$13:$O$39,$N169-1999,AC$102-2020)</f>
        <v>16803.148409954672</v>
      </c>
    </row>
    <row r="170" spans="2:29" x14ac:dyDescent="0.2">
      <c r="B170" s="32">
        <f>'13. Input desinvesteringen'!B83</f>
        <v>67</v>
      </c>
      <c r="J170" s="32" t="str">
        <f>'13. Input desinvesteringen'!C83</f>
        <v>Transport</v>
      </c>
      <c r="K170" s="32" t="str">
        <f>'13. Input desinvesteringen'!D83</f>
        <v>HS</v>
      </c>
      <c r="L170" s="32" t="str">
        <f>'13. Input desinvesteringen'!E83</f>
        <v>Nee</v>
      </c>
      <c r="M170" s="32" t="str">
        <f>'13. Input desinvesteringen'!F83</f>
        <v>Overige bedrijfsmiddelen</v>
      </c>
      <c r="N170" s="82">
        <f>'13. Input desinvesteringen'!G83</f>
        <v>2005</v>
      </c>
      <c r="O170" s="82"/>
      <c r="P170" s="82"/>
      <c r="Q170" s="32">
        <f>'13. Input desinvesteringen'!H83</f>
        <v>29593</v>
      </c>
      <c r="R170" s="82">
        <f>'13. Input desinvesteringen'!I83</f>
        <v>2021</v>
      </c>
      <c r="S170" s="32">
        <f>'13. Input desinvesteringen'!J83</f>
        <v>2</v>
      </c>
      <c r="U170" s="76">
        <f t="shared" si="5"/>
        <v>1</v>
      </c>
      <c r="V170" s="76">
        <f t="shared" si="6"/>
        <v>0</v>
      </c>
      <c r="X170" s="33" cm="1">
        <f t="array" ref="X170">((X$102=$R170)*((13-$S170)/12)+(X$102&gt;$R170))*$Q170*INDEX($J$13:$O$39,$N170-1999,X$102-2020)</f>
        <v>35086.174036995362</v>
      </c>
      <c r="Y170" s="33" cm="1">
        <f t="array" ref="Y170">((Y$102=$R170)*((13-$S170)/12)+(Y$102&gt;$R170))*$Q170*INDEX($J$13:$O$39,$N170-1999,Y$102-2020)</f>
        <v>39194.446051509003</v>
      </c>
      <c r="Z170" s="33" cm="1">
        <f t="array" ref="Z170">((Z$102=$R170)*((13-$S170)/12)+(Z$102&gt;$R170))*$Q170*INDEX($J$13:$O$39,$N170-1999,Z$102-2020)</f>
        <v>43897.779577690097</v>
      </c>
      <c r="AA170" s="33" cm="1">
        <f t="array" ref="AA170">((AA$102=$R170)*((13-$S170)/12)+(AA$102&gt;$R170))*$Q170*INDEX($J$13:$O$39,$N170-1999,AA$102-2020)</f>
        <v>45214.712965020793</v>
      </c>
      <c r="AB170" s="33" cm="1">
        <f t="array" ref="AB170">((AB$102=$R170)*((13-$S170)/12)+(AB$102&gt;$R170))*$Q170*INDEX($J$13:$O$39,$N170-1999,AB$102-2020)</f>
        <v>46842.442631761543</v>
      </c>
      <c r="AC170" s="33" cm="1">
        <f t="array" ref="AC170">((AC$102=$R170)*((13-$S170)/12)+(AC$102&gt;$R170))*$Q170*INDEX($J$13:$O$39,$N170-1999,AC$102-2020)</f>
        <v>48154.031025450866</v>
      </c>
    </row>
    <row r="171" spans="2:29" x14ac:dyDescent="0.2">
      <c r="B171" s="32">
        <f>'13. Input desinvesteringen'!B84</f>
        <v>68</v>
      </c>
      <c r="J171" s="32" t="str">
        <f>'13. Input desinvesteringen'!C84</f>
        <v>Transport</v>
      </c>
      <c r="K171" s="32" t="str">
        <f>'13. Input desinvesteringen'!D84</f>
        <v>HS</v>
      </c>
      <c r="L171" s="32" t="str">
        <f>'13. Input desinvesteringen'!E84</f>
        <v>Nee</v>
      </c>
      <c r="M171" s="32" t="str">
        <f>'13. Input desinvesteringen'!F84</f>
        <v>Overige bedrijfsmiddelen</v>
      </c>
      <c r="N171" s="82">
        <f>'13. Input desinvesteringen'!G84</f>
        <v>2005</v>
      </c>
      <c r="O171" s="82"/>
      <c r="P171" s="82"/>
      <c r="Q171" s="32">
        <f>'13. Input desinvesteringen'!H84</f>
        <v>26922</v>
      </c>
      <c r="R171" s="82">
        <f>'13. Input desinvesteringen'!I84</f>
        <v>2021</v>
      </c>
      <c r="S171" s="32">
        <f>'13. Input desinvesteringen'!J84</f>
        <v>2</v>
      </c>
      <c r="U171" s="76">
        <f t="shared" si="5"/>
        <v>1</v>
      </c>
      <c r="V171" s="76">
        <f t="shared" si="6"/>
        <v>0</v>
      </c>
      <c r="X171" s="33" cm="1">
        <f t="array" ref="X171">((X$102=$R171)*((13-$S171)/12)+(X$102&gt;$R171))*$Q171*INDEX($J$13:$O$39,$N171-1999,X$102-2020)</f>
        <v>31919.372061771002</v>
      </c>
      <c r="Y171" s="33" cm="1">
        <f t="array" ref="Y171">((Y$102=$R171)*((13-$S171)/12)+(Y$102&gt;$R171))*$Q171*INDEX($J$13:$O$39,$N171-1999,Y$102-2020)</f>
        <v>35656.840354094733</v>
      </c>
      <c r="Z171" s="33" cm="1">
        <f t="array" ref="Z171">((Z$102=$R171)*((13-$S171)/12)+(Z$102&gt;$R171))*$Q171*INDEX($J$13:$O$39,$N171-1999,Z$102-2020)</f>
        <v>39935.661196586108</v>
      </c>
      <c r="AA171" s="33" cm="1">
        <f t="array" ref="AA171">((AA$102=$R171)*((13-$S171)/12)+(AA$102&gt;$R171))*$Q171*INDEX($J$13:$O$39,$N171-1999,AA$102-2020)</f>
        <v>41133.731032483687</v>
      </c>
      <c r="AB171" s="33" cm="1">
        <f t="array" ref="AB171">((AB$102=$R171)*((13-$S171)/12)+(AB$102&gt;$R171))*$Q171*INDEX($J$13:$O$39,$N171-1999,AB$102-2020)</f>
        <v>42614.545349653104</v>
      </c>
      <c r="AC171" s="33" cm="1">
        <f t="array" ref="AC171">((AC$102=$R171)*((13-$S171)/12)+(AC$102&gt;$R171))*$Q171*INDEX($J$13:$O$39,$N171-1999,AC$102-2020)</f>
        <v>43807.752619443389</v>
      </c>
    </row>
    <row r="172" spans="2:29" x14ac:dyDescent="0.2">
      <c r="B172" s="32">
        <f>'13. Input desinvesteringen'!B85</f>
        <v>69</v>
      </c>
      <c r="J172" s="32" t="str">
        <f>'13. Input desinvesteringen'!C85</f>
        <v>Transport</v>
      </c>
      <c r="K172" s="32" t="str">
        <f>'13. Input desinvesteringen'!D85</f>
        <v>HS</v>
      </c>
      <c r="L172" s="32" t="str">
        <f>'13. Input desinvesteringen'!E85</f>
        <v>Nee</v>
      </c>
      <c r="M172" s="32" t="str">
        <f>'13. Input desinvesteringen'!F85</f>
        <v>Overige bedrijfsmiddelen</v>
      </c>
      <c r="N172" s="82">
        <f>'13. Input desinvesteringen'!G85</f>
        <v>2006</v>
      </c>
      <c r="O172" s="82"/>
      <c r="P172" s="82"/>
      <c r="Q172" s="32">
        <f>'13. Input desinvesteringen'!H85</f>
        <v>35263</v>
      </c>
      <c r="R172" s="82">
        <f>'13. Input desinvesteringen'!I85</f>
        <v>2021</v>
      </c>
      <c r="S172" s="32">
        <f>'13. Input desinvesteringen'!J85</f>
        <v>2</v>
      </c>
      <c r="U172" s="76">
        <f t="shared" si="5"/>
        <v>1</v>
      </c>
      <c r="V172" s="76">
        <f t="shared" si="6"/>
        <v>0</v>
      </c>
      <c r="X172" s="33" cm="1">
        <f t="array" ref="X172">((X$102=$R172)*((13-$S172)/12)+(X$102&gt;$R172))*$Q172*INDEX($J$13:$O$39,$N172-1999,X$102-2020)</f>
        <v>41069.413254175415</v>
      </c>
      <c r="Y172" s="33" cm="1">
        <f t="array" ref="Y172">((Y$102=$R172)*((13-$S172)/12)+(Y$102&gt;$R172))*$Q172*INDEX($J$13:$O$39,$N172-1999,Y$102-2020)</f>
        <v>45878.26818793705</v>
      </c>
      <c r="Z172" s="33" cm="1">
        <f t="array" ref="Z172">((Z$102=$R172)*((13-$S172)/12)+(Z$102&gt;$R172))*$Q172*INDEX($J$13:$O$39,$N172-1999,Z$102-2020)</f>
        <v>51383.660370489502</v>
      </c>
      <c r="AA172" s="33" cm="1">
        <f t="array" ref="AA172">((AA$102=$R172)*((13-$S172)/12)+(AA$102&gt;$R172))*$Q172*INDEX($J$13:$O$39,$N172-1999,AA$102-2020)</f>
        <v>52925.17018160419</v>
      </c>
      <c r="AB172" s="33" cm="1">
        <f t="array" ref="AB172">((AB$102=$R172)*((13-$S172)/12)+(AB$102&gt;$R172))*$Q172*INDEX($J$13:$O$39,$N172-1999,AB$102-2020)</f>
        <v>54830.476308141944</v>
      </c>
      <c r="AC172" s="33" cm="1">
        <f t="array" ref="AC172">((AC$102=$R172)*((13-$S172)/12)+(AC$102&gt;$R172))*$Q172*INDEX($J$13:$O$39,$N172-1999,AC$102-2020)</f>
        <v>56365.729644769919</v>
      </c>
    </row>
    <row r="173" spans="2:29" x14ac:dyDescent="0.2">
      <c r="B173" s="32">
        <f>'13. Input desinvesteringen'!B86</f>
        <v>70</v>
      </c>
      <c r="J173" s="32" t="str">
        <f>'13. Input desinvesteringen'!C86</f>
        <v>Transport</v>
      </c>
      <c r="K173" s="32" t="str">
        <f>'13. Input desinvesteringen'!D86</f>
        <v>HS</v>
      </c>
      <c r="L173" s="32" t="str">
        <f>'13. Input desinvesteringen'!E86</f>
        <v>Nee</v>
      </c>
      <c r="M173" s="32" t="str">
        <f>'13. Input desinvesteringen'!F86</f>
        <v>Overige bedrijfsmiddelen</v>
      </c>
      <c r="N173" s="82">
        <f>'13. Input desinvesteringen'!G86</f>
        <v>2006</v>
      </c>
      <c r="O173" s="82"/>
      <c r="P173" s="82"/>
      <c r="Q173" s="32">
        <f>'13. Input desinvesteringen'!H86</f>
        <v>12901</v>
      </c>
      <c r="R173" s="82">
        <f>'13. Input desinvesteringen'!I86</f>
        <v>2021</v>
      </c>
      <c r="S173" s="32">
        <f>'13. Input desinvesteringen'!J86</f>
        <v>2</v>
      </c>
      <c r="U173" s="76">
        <f t="shared" si="5"/>
        <v>1</v>
      </c>
      <c r="V173" s="76">
        <f t="shared" si="6"/>
        <v>0</v>
      </c>
      <c r="X173" s="33" cm="1">
        <f t="array" ref="X173">((X$102=$R173)*((13-$S173)/12)+(X$102&gt;$R173))*$Q173*INDEX($J$13:$O$39,$N173-1999,X$102-2020)</f>
        <v>15025.281467603922</v>
      </c>
      <c r="Y173" s="33" cm="1">
        <f t="array" ref="Y173">((Y$102=$R173)*((13-$S173)/12)+(Y$102&gt;$R173))*$Q173*INDEX($J$13:$O$39,$N173-1999,Y$102-2020)</f>
        <v>16784.605333992455</v>
      </c>
      <c r="Z173" s="33" cm="1">
        <f t="array" ref="Z173">((Z$102=$R173)*((13-$S173)/12)+(Z$102&gt;$R173))*$Q173*INDEX($J$13:$O$39,$N173-1999,Z$102-2020)</f>
        <v>18798.757974071552</v>
      </c>
      <c r="AA173" s="33" cm="1">
        <f t="array" ref="AA173">((AA$102=$R173)*((13-$S173)/12)+(AA$102&gt;$R173))*$Q173*INDEX($J$13:$O$39,$N173-1999,AA$102-2020)</f>
        <v>19362.720713293696</v>
      </c>
      <c r="AB173" s="33" cm="1">
        <f t="array" ref="AB173">((AB$102=$R173)*((13-$S173)/12)+(AB$102&gt;$R173))*$Q173*INDEX($J$13:$O$39,$N173-1999,AB$102-2020)</f>
        <v>20059.778658972271</v>
      </c>
      <c r="AC173" s="33" cm="1">
        <f t="array" ref="AC173">((AC$102=$R173)*((13-$S173)/12)+(AC$102&gt;$R173))*$Q173*INDEX($J$13:$O$39,$N173-1999,AC$102-2020)</f>
        <v>20621.452461423494</v>
      </c>
    </row>
    <row r="174" spans="2:29" x14ac:dyDescent="0.2">
      <c r="B174" s="32">
        <f>'13. Input desinvesteringen'!B87</f>
        <v>71</v>
      </c>
      <c r="J174" s="32" t="str">
        <f>'13. Input desinvesteringen'!C87</f>
        <v>Transport</v>
      </c>
      <c r="K174" s="32" t="str">
        <f>'13. Input desinvesteringen'!D87</f>
        <v>HS</v>
      </c>
      <c r="L174" s="32" t="str">
        <f>'13. Input desinvesteringen'!E87</f>
        <v>Nee</v>
      </c>
      <c r="M174" s="32" t="str">
        <f>'13. Input desinvesteringen'!F87</f>
        <v>Overige bedrijfsmiddelen</v>
      </c>
      <c r="N174" s="82">
        <f>'13. Input desinvesteringen'!G87</f>
        <v>2007</v>
      </c>
      <c r="O174" s="82"/>
      <c r="P174" s="82"/>
      <c r="Q174" s="32">
        <f>'13. Input desinvesteringen'!H87</f>
        <v>54983</v>
      </c>
      <c r="R174" s="82">
        <f>'13. Input desinvesteringen'!I87</f>
        <v>2021</v>
      </c>
      <c r="S174" s="32">
        <f>'13. Input desinvesteringen'!J87</f>
        <v>2</v>
      </c>
      <c r="U174" s="76">
        <f t="shared" si="5"/>
        <v>1</v>
      </c>
      <c r="V174" s="76">
        <f t="shared" si="6"/>
        <v>0</v>
      </c>
      <c r="X174" s="33" cm="1">
        <f t="array" ref="X174">((X$102=$R174)*((13-$S174)/12)+(X$102&gt;$R174))*$Q174*INDEX($J$13:$O$39,$N174-1999,X$102-2020)</f>
        <v>63152.379433704889</v>
      </c>
      <c r="Y174" s="33" cm="1">
        <f t="array" ref="Y174">((Y$102=$R174)*((13-$S174)/12)+(Y$102&gt;$R174))*$Q174*INDEX($J$13:$O$39,$N174-1999,Y$102-2020)</f>
        <v>70546.948952851439</v>
      </c>
      <c r="Z174" s="33" cm="1">
        <f t="array" ref="Z174">((Z$102=$R174)*((13-$S174)/12)+(Z$102&gt;$R174))*$Q174*INDEX($J$13:$O$39,$N174-1999,Z$102-2020)</f>
        <v>79012.582827193604</v>
      </c>
      <c r="AA174" s="33" cm="1">
        <f t="array" ref="AA174">((AA$102=$R174)*((13-$S174)/12)+(AA$102&gt;$R174))*$Q174*INDEX($J$13:$O$39,$N174-1999,AA$102-2020)</f>
        <v>81382.960312009411</v>
      </c>
      <c r="AB174" s="33" cm="1">
        <f t="array" ref="AB174">((AB$102=$R174)*((13-$S174)/12)+(AB$102&gt;$R174))*$Q174*INDEX($J$13:$O$39,$N174-1999,AB$102-2020)</f>
        <v>84312.746883241765</v>
      </c>
      <c r="AC174" s="33" cm="1">
        <f t="array" ref="AC174">((AC$102=$R174)*((13-$S174)/12)+(AC$102&gt;$R174))*$Q174*INDEX($J$13:$O$39,$N174-1999,AC$102-2020)</f>
        <v>86673.50379597253</v>
      </c>
    </row>
    <row r="175" spans="2:29" x14ac:dyDescent="0.2">
      <c r="B175" s="32">
        <f>'13. Input desinvesteringen'!B88</f>
        <v>72</v>
      </c>
      <c r="J175" s="32" t="str">
        <f>'13. Input desinvesteringen'!C88</f>
        <v>Transport</v>
      </c>
      <c r="K175" s="32" t="str">
        <f>'13. Input desinvesteringen'!D88</f>
        <v>HS</v>
      </c>
      <c r="L175" s="32" t="str">
        <f>'13. Input desinvesteringen'!E88</f>
        <v>Nee</v>
      </c>
      <c r="M175" s="32" t="str">
        <f>'13. Input desinvesteringen'!F88</f>
        <v>Overige bedrijfsmiddelen</v>
      </c>
      <c r="N175" s="82">
        <f>'13. Input desinvesteringen'!G88</f>
        <v>2007</v>
      </c>
      <c r="O175" s="82"/>
      <c r="P175" s="82"/>
      <c r="Q175" s="32">
        <f>'13. Input desinvesteringen'!H88</f>
        <v>7946</v>
      </c>
      <c r="R175" s="82">
        <f>'13. Input desinvesteringen'!I88</f>
        <v>2021</v>
      </c>
      <c r="S175" s="32">
        <f>'13. Input desinvesteringen'!J88</f>
        <v>2</v>
      </c>
      <c r="U175" s="76">
        <f t="shared" si="5"/>
        <v>1</v>
      </c>
      <c r="V175" s="76">
        <f t="shared" si="6"/>
        <v>0</v>
      </c>
      <c r="X175" s="33" cm="1">
        <f t="array" ref="X175">((X$102=$R175)*((13-$S175)/12)+(X$102&gt;$R175))*$Q175*INDEX($J$13:$O$39,$N175-1999,X$102-2020)</f>
        <v>9126.6174450324488</v>
      </c>
      <c r="Y175" s="33" cm="1">
        <f t="array" ref="Y175">((Y$102=$R175)*((13-$S175)/12)+(Y$102&gt;$R175))*$Q175*INDEX($J$13:$O$39,$N175-1999,Y$102-2020)</f>
        <v>10195.261378596248</v>
      </c>
      <c r="Z175" s="33" cm="1">
        <f t="array" ref="Z175">((Z$102=$R175)*((13-$S175)/12)+(Z$102&gt;$R175))*$Q175*INDEX($J$13:$O$39,$N175-1999,Z$102-2020)</f>
        <v>11418.692744027798</v>
      </c>
      <c r="AA175" s="33" cm="1">
        <f t="array" ref="AA175">((AA$102=$R175)*((13-$S175)/12)+(AA$102&gt;$R175))*$Q175*INDEX($J$13:$O$39,$N175-1999,AA$102-2020)</f>
        <v>11761.253526348632</v>
      </c>
      <c r="AB175" s="33" cm="1">
        <f t="array" ref="AB175">((AB$102=$R175)*((13-$S175)/12)+(AB$102&gt;$R175))*$Q175*INDEX($J$13:$O$39,$N175-1999,AB$102-2020)</f>
        <v>12184.658653297183</v>
      </c>
      <c r="AC175" s="33" cm="1">
        <f t="array" ref="AC175">((AC$102=$R175)*((13-$S175)/12)+(AC$102&gt;$R175))*$Q175*INDEX($J$13:$O$39,$N175-1999,AC$102-2020)</f>
        <v>12525.829095589505</v>
      </c>
    </row>
    <row r="176" spans="2:29" x14ac:dyDescent="0.2">
      <c r="B176" s="32">
        <f>'13. Input desinvesteringen'!B89</f>
        <v>73</v>
      </c>
      <c r="J176" s="32" t="str">
        <f>'13. Input desinvesteringen'!C89</f>
        <v>Transport</v>
      </c>
      <c r="K176" s="32" t="str">
        <f>'13. Input desinvesteringen'!D89</f>
        <v>HS</v>
      </c>
      <c r="L176" s="32" t="str">
        <f>'13. Input desinvesteringen'!E89</f>
        <v>Nee</v>
      </c>
      <c r="M176" s="32" t="str">
        <f>'13. Input desinvesteringen'!F89</f>
        <v>Overige bedrijfsmiddelen</v>
      </c>
      <c r="N176" s="82">
        <f>'13. Input desinvesteringen'!G89</f>
        <v>2008</v>
      </c>
      <c r="O176" s="82"/>
      <c r="P176" s="82"/>
      <c r="Q176" s="32">
        <f>'13. Input desinvesteringen'!H89</f>
        <v>93322</v>
      </c>
      <c r="R176" s="82">
        <f>'13. Input desinvesteringen'!I89</f>
        <v>2021</v>
      </c>
      <c r="S176" s="32">
        <f>'13. Input desinvesteringen'!J89</f>
        <v>2</v>
      </c>
      <c r="U176" s="76">
        <f t="shared" si="5"/>
        <v>1</v>
      </c>
      <c r="V176" s="76">
        <f t="shared" si="6"/>
        <v>0</v>
      </c>
      <c r="X176" s="33" cm="1">
        <f t="array" ref="X176">((X$102=$R176)*((13-$S176)/12)+(X$102&gt;$R176))*$Q176*INDEX($J$13:$O$39,$N176-1999,X$102-2020)</f>
        <v>106021.55464386068</v>
      </c>
      <c r="Y176" s="33" cm="1">
        <f t="array" ref="Y176">((Y$102=$R176)*((13-$S176)/12)+(Y$102&gt;$R176))*$Q176*INDEX($J$13:$O$39,$N176-1999,Y$102-2020)</f>
        <v>118435.71486034185</v>
      </c>
      <c r="Z176" s="33" cm="1">
        <f t="array" ref="Z176">((Z$102=$R176)*((13-$S176)/12)+(Z$102&gt;$R176))*$Q176*INDEX($J$13:$O$39,$N176-1999,Z$102-2020)</f>
        <v>132648.00064358287</v>
      </c>
      <c r="AA176" s="33" cm="1">
        <f t="array" ref="AA176">((AA$102=$R176)*((13-$S176)/12)+(AA$102&gt;$R176))*$Q176*INDEX($J$13:$O$39,$N176-1999,AA$102-2020)</f>
        <v>136627.44066289038</v>
      </c>
      <c r="AB176" s="33" cm="1">
        <f t="array" ref="AB176">((AB$102=$R176)*((13-$S176)/12)+(AB$102&gt;$R176))*$Q176*INDEX($J$13:$O$39,$N176-1999,AB$102-2020)</f>
        <v>141546.02852675444</v>
      </c>
      <c r="AC176" s="33" cm="1">
        <f t="array" ref="AC176">((AC$102=$R176)*((13-$S176)/12)+(AC$102&gt;$R176))*$Q176*INDEX($J$13:$O$39,$N176-1999,AC$102-2020)</f>
        <v>145509.31732550357</v>
      </c>
    </row>
    <row r="177" spans="2:29" x14ac:dyDescent="0.2">
      <c r="B177" s="32">
        <f>'13. Input desinvesteringen'!B90</f>
        <v>74</v>
      </c>
      <c r="J177" s="32" t="str">
        <f>'13. Input desinvesteringen'!C90</f>
        <v>Transport</v>
      </c>
      <c r="K177" s="32" t="str">
        <f>'13. Input desinvesteringen'!D90</f>
        <v>HS</v>
      </c>
      <c r="L177" s="32" t="str">
        <f>'13. Input desinvesteringen'!E90</f>
        <v>Nee</v>
      </c>
      <c r="M177" s="32" t="str">
        <f>'13. Input desinvesteringen'!F90</f>
        <v>Computerapparatuur</v>
      </c>
      <c r="N177" s="82">
        <f>'13. Input desinvesteringen'!G90</f>
        <v>2017</v>
      </c>
      <c r="O177" s="82"/>
      <c r="P177" s="82"/>
      <c r="Q177" s="32">
        <f>'13. Input desinvesteringen'!H90</f>
        <v>927915</v>
      </c>
      <c r="R177" s="82">
        <f>'13. Input desinvesteringen'!I90</f>
        <v>2021</v>
      </c>
      <c r="S177" s="32">
        <f>'13. Input desinvesteringen'!J90</f>
        <v>12</v>
      </c>
      <c r="U177" s="76">
        <f t="shared" si="5"/>
        <v>1</v>
      </c>
      <c r="V177" s="76">
        <f t="shared" si="6"/>
        <v>0</v>
      </c>
      <c r="X177" s="33" cm="1">
        <f t="array" ref="X177">((X$102=$R177)*((13-$S177)/12)+(X$102&gt;$R177))*$Q177*INDEX($J$13:$O$39,$N177-1999,X$102-2020)</f>
        <v>82873.032619785328</v>
      </c>
      <c r="Y177" s="33" cm="1">
        <f t="array" ref="Y177">((Y$102=$R177)*((13-$S177)/12)+(Y$102&gt;$R177))*$Q177*INDEX($J$13:$O$39,$N177-1999,Y$102-2020)</f>
        <v>1018343.8248319221</v>
      </c>
      <c r="Z177" s="33" cm="1">
        <f t="array" ref="Z177">((Z$102=$R177)*((13-$S177)/12)+(Z$102&gt;$R177))*$Q177*INDEX($J$13:$O$39,$N177-1999,Z$102-2020)</f>
        <v>1140545.083811753</v>
      </c>
      <c r="AA177" s="33" cm="1">
        <f t="array" ref="AA177">((AA$102=$R177)*((13-$S177)/12)+(AA$102&gt;$R177))*$Q177*INDEX($J$13:$O$39,$N177-1999,AA$102-2020)</f>
        <v>1174761.4363261054</v>
      </c>
      <c r="AB177" s="33" cm="1">
        <f t="array" ref="AB177">((AB$102=$R177)*((13-$S177)/12)+(AB$102&gt;$R177))*$Q177*INDEX($J$13:$O$39,$N177-1999,AB$102-2020)</f>
        <v>1217052.8480338454</v>
      </c>
      <c r="AC177" s="33" cm="1">
        <f t="array" ref="AC177">((AC$102=$R177)*((13-$S177)/12)+(AC$102&gt;$R177))*$Q177*INDEX($J$13:$O$39,$N177-1999,AC$102-2020)</f>
        <v>1251130.3277787929</v>
      </c>
    </row>
    <row r="178" spans="2:29" x14ac:dyDescent="0.2">
      <c r="B178" s="32">
        <f>'13. Input desinvesteringen'!B91</f>
        <v>75</v>
      </c>
      <c r="J178" s="32" t="str">
        <f>'13. Input desinvesteringen'!C91</f>
        <v>Transport</v>
      </c>
      <c r="K178" s="32" t="str">
        <f>'13. Input desinvesteringen'!D91</f>
        <v>HS</v>
      </c>
      <c r="L178" s="32" t="str">
        <f>'13. Input desinvesteringen'!E91</f>
        <v>Nee</v>
      </c>
      <c r="M178" s="32" t="str">
        <f>'13. Input desinvesteringen'!F91</f>
        <v>Hoogspanningsstations primair</v>
      </c>
      <c r="N178" s="82">
        <f>'13. Input desinvesteringen'!G91</f>
        <v>2019</v>
      </c>
      <c r="O178" s="82"/>
      <c r="P178" s="82"/>
      <c r="Q178" s="32">
        <f>'13. Input desinvesteringen'!H91</f>
        <v>664000</v>
      </c>
      <c r="R178" s="82">
        <f>'13. Input desinvesteringen'!I91</f>
        <v>2021</v>
      </c>
      <c r="S178" s="32">
        <f>'13. Input desinvesteringen'!J91</f>
        <v>12</v>
      </c>
      <c r="U178" s="76">
        <f t="shared" si="5"/>
        <v>1</v>
      </c>
      <c r="V178" s="76">
        <f t="shared" si="6"/>
        <v>0</v>
      </c>
      <c r="X178" s="33" cm="1">
        <f t="array" ref="X178">((X$102=$R178)*((13-$S178)/12)+(X$102&gt;$R178))*$Q178*INDEX($J$13:$O$39,$N178-1999,X$102-2020)</f>
        <v>57280.845333333331</v>
      </c>
      <c r="Y178" s="33" cm="1">
        <f t="array" ref="Y178">((Y$102=$R178)*((13-$S178)/12)+(Y$102&gt;$R178))*$Q178*INDEX($J$13:$O$39,$N178-1999,Y$102-2020)</f>
        <v>703867.02745599998</v>
      </c>
      <c r="Z178" s="33" cm="1">
        <f t="array" ref="Z178">((Z$102=$R178)*((13-$S178)/12)+(Z$102&gt;$R178))*$Q178*INDEX($J$13:$O$39,$N178-1999,Z$102-2020)</f>
        <v>788331.07075071998</v>
      </c>
      <c r="AA178" s="33" cm="1">
        <f t="array" ref="AA178">((AA$102=$R178)*((13-$S178)/12)+(AA$102&gt;$R178))*$Q178*INDEX($J$13:$O$39,$N178-1999,AA$102-2020)</f>
        <v>811981.00287324155</v>
      </c>
      <c r="AB178" s="33" cm="1">
        <f t="array" ref="AB178">((AB$102=$R178)*((13-$S178)/12)+(AB$102&gt;$R178))*$Q178*INDEX($J$13:$O$39,$N178-1999,AB$102-2020)</f>
        <v>841212.31897667842</v>
      </c>
      <c r="AC178" s="33" cm="1">
        <f t="array" ref="AC178">((AC$102=$R178)*((13-$S178)/12)+(AC$102&gt;$R178))*$Q178*INDEX($J$13:$O$39,$N178-1999,AC$102-2020)</f>
        <v>864766.26390802546</v>
      </c>
    </row>
    <row r="179" spans="2:29" x14ac:dyDescent="0.2">
      <c r="B179" s="32">
        <f>'13. Input desinvesteringen'!B92</f>
        <v>76</v>
      </c>
      <c r="J179" s="32" t="str">
        <f>'13. Input desinvesteringen'!C92</f>
        <v>Transport</v>
      </c>
      <c r="K179" s="32" t="str">
        <f>'13. Input desinvesteringen'!D92</f>
        <v>HS</v>
      </c>
      <c r="L179" s="32" t="str">
        <f>'13. Input desinvesteringen'!E92</f>
        <v>Nee</v>
      </c>
      <c r="M179" s="32" t="str">
        <f>'13. Input desinvesteringen'!F92</f>
        <v>Gebouwen bij de stations</v>
      </c>
      <c r="N179" s="82">
        <f>'13. Input desinvesteringen'!G92</f>
        <v>2018</v>
      </c>
      <c r="O179" s="82"/>
      <c r="P179" s="82"/>
      <c r="Q179" s="32">
        <f>'13. Input desinvesteringen'!H92</f>
        <v>896</v>
      </c>
      <c r="R179" s="82">
        <f>'13. Input desinvesteringen'!I92</f>
        <v>2021</v>
      </c>
      <c r="S179" s="32">
        <f>'13. Input desinvesteringen'!J92</f>
        <v>7</v>
      </c>
      <c r="U179" s="76">
        <f t="shared" si="5"/>
        <v>0</v>
      </c>
      <c r="V179" s="76">
        <f t="shared" si="6"/>
        <v>1</v>
      </c>
      <c r="X179" s="33" cm="1">
        <f t="array" ref="X179">((X$102=$R179)*((13-$S179)/12)+(X$102&gt;$R179))*$Q179*INDEX($J$13:$O$39,$N179-1999,X$102-2020)</f>
        <v>473.50693196799989</v>
      </c>
      <c r="Y179" s="33" cm="1">
        <f t="array" ref="Y179">((Y$102=$R179)*((13-$S179)/12)+(Y$102&gt;$R179))*$Q179*INDEX($J$13:$O$39,$N179-1999,Y$102-2020)</f>
        <v>969.74219667046373</v>
      </c>
      <c r="Z179" s="33" cm="1">
        <f t="array" ref="Z179">((Z$102=$R179)*((13-$S179)/12)+(Z$102&gt;$R179))*$Q179*INDEX($J$13:$O$39,$N179-1999,Z$102-2020)</f>
        <v>1086.1112602709195</v>
      </c>
      <c r="AA179" s="33" cm="1">
        <f t="array" ref="AA179">((AA$102=$R179)*((13-$S179)/12)+(AA$102&gt;$R179))*$Q179*INDEX($J$13:$O$39,$N179-1999,AA$102-2020)</f>
        <v>1118.6945980790472</v>
      </c>
      <c r="AB179" s="33" cm="1">
        <f t="array" ref="AB179">((AB$102=$R179)*((13-$S179)/12)+(AB$102&gt;$R179))*$Q179*INDEX($J$13:$O$39,$N179-1999,AB$102-2020)</f>
        <v>1158.9676036098929</v>
      </c>
      <c r="AC179" s="33" cm="1">
        <f t="array" ref="AC179">((AC$102=$R179)*((13-$S179)/12)+(AC$102&gt;$R179))*$Q179*INDEX($J$13:$O$39,$N179-1999,AC$102-2020)</f>
        <v>1191.41869651097</v>
      </c>
    </row>
    <row r="180" spans="2:29" x14ac:dyDescent="0.2">
      <c r="B180" s="32">
        <f>'13. Input desinvesteringen'!B93</f>
        <v>77</v>
      </c>
      <c r="J180" s="32" t="str">
        <f>'13. Input desinvesteringen'!C93</f>
        <v>Transport</v>
      </c>
      <c r="K180" s="32" t="str">
        <f>'13. Input desinvesteringen'!D93</f>
        <v>HS</v>
      </c>
      <c r="L180" s="32" t="str">
        <f>'13. Input desinvesteringen'!E93</f>
        <v>Nee</v>
      </c>
      <c r="M180" s="32" t="str">
        <f>'13. Input desinvesteringen'!F93</f>
        <v>Hoogspanningsstations secundair</v>
      </c>
      <c r="N180" s="82">
        <f>'13. Input desinvesteringen'!G93</f>
        <v>2018</v>
      </c>
      <c r="O180" s="82"/>
      <c r="P180" s="82"/>
      <c r="Q180" s="32">
        <f>'13. Input desinvesteringen'!H93</f>
        <v>2812650</v>
      </c>
      <c r="R180" s="82">
        <f>'13. Input desinvesteringen'!I93</f>
        <v>2021</v>
      </c>
      <c r="S180" s="32">
        <f>'13. Input desinvesteringen'!J93</f>
        <v>7</v>
      </c>
      <c r="U180" s="76">
        <f t="shared" si="5"/>
        <v>1</v>
      </c>
      <c r="V180" s="76">
        <f t="shared" si="6"/>
        <v>0</v>
      </c>
      <c r="X180" s="33" cm="1">
        <f t="array" ref="X180">((X$102=$R180)*((13-$S180)/12)+(X$102&gt;$R180))*$Q180*INDEX($J$13:$O$39,$N180-1999,X$102-2020)</f>
        <v>1486394.2770086997</v>
      </c>
      <c r="Y180" s="33" cm="1">
        <f t="array" ref="Y180">((Y$102=$R180)*((13-$S180)/12)+(Y$102&gt;$R180))*$Q180*INDEX($J$13:$O$39,$N180-1999,Y$102-2020)</f>
        <v>3044135.4793138169</v>
      </c>
      <c r="Z180" s="33" cm="1">
        <f t="array" ref="Z180">((Z$102=$R180)*((13-$S180)/12)+(Z$102&gt;$R180))*$Q180*INDEX($J$13:$O$39,$N180-1999,Z$102-2020)</f>
        <v>3409431.736831475</v>
      </c>
      <c r="AA180" s="33" cm="1">
        <f t="array" ref="AA180">((AA$102=$R180)*((13-$S180)/12)+(AA$102&gt;$R180))*$Q180*INDEX($J$13:$O$39,$N180-1999,AA$102-2020)</f>
        <v>3511714.6889364198</v>
      </c>
      <c r="AB180" s="33" cm="1">
        <f t="array" ref="AB180">((AB$102=$R180)*((13-$S180)/12)+(AB$102&gt;$R180))*$Q180*INDEX($J$13:$O$39,$N180-1999,AB$102-2020)</f>
        <v>3638136.4177381308</v>
      </c>
      <c r="AC180" s="33" cm="1">
        <f t="array" ref="AC180">((AC$102=$R180)*((13-$S180)/12)+(AC$102&gt;$R180))*$Q180*INDEX($J$13:$O$39,$N180-1999,AC$102-2020)</f>
        <v>3740004.2374347989</v>
      </c>
    </row>
    <row r="181" spans="2:29" x14ac:dyDescent="0.2">
      <c r="B181" s="32">
        <f>'13. Input desinvesteringen'!B94</f>
        <v>78</v>
      </c>
      <c r="J181" s="32" t="str">
        <f>'13. Input desinvesteringen'!C94</f>
        <v>Transport</v>
      </c>
      <c r="K181" s="32" t="str">
        <f>'13. Input desinvesteringen'!D94</f>
        <v>HS</v>
      </c>
      <c r="L181" s="32" t="str">
        <f>'13. Input desinvesteringen'!E94</f>
        <v>Nee</v>
      </c>
      <c r="M181" s="32" t="str">
        <f>'13. Input desinvesteringen'!F94</f>
        <v>Hoogspanningsstations secundair</v>
      </c>
      <c r="N181" s="82">
        <f>'13. Input desinvesteringen'!G94</f>
        <v>2015</v>
      </c>
      <c r="O181" s="82"/>
      <c r="P181" s="82"/>
      <c r="Q181" s="32">
        <f>'13. Input desinvesteringen'!H94</f>
        <v>5370</v>
      </c>
      <c r="R181" s="82">
        <f>'13. Input desinvesteringen'!I94</f>
        <v>2021</v>
      </c>
      <c r="S181" s="32">
        <f>'13. Input desinvesteringen'!J94</f>
        <v>7</v>
      </c>
      <c r="U181" s="76">
        <f t="shared" si="5"/>
        <v>1</v>
      </c>
      <c r="V181" s="76">
        <f t="shared" si="6"/>
        <v>0</v>
      </c>
      <c r="X181" s="33" cm="1">
        <f t="array" ref="X181">((X$102=$R181)*((13-$S181)/12)+(X$102&gt;$R181))*$Q181*INDEX($J$13:$O$39,$N181-1999,X$102-2020)</f>
        <v>2906.4230288607832</v>
      </c>
      <c r="Y181" s="33" cm="1">
        <f t="array" ref="Y181">((Y$102=$R181)*((13-$S181)/12)+(Y$102&gt;$R181))*$Q181*INDEX($J$13:$O$39,$N181-1999,Y$102-2020)</f>
        <v>5952.3543631068842</v>
      </c>
      <c r="Z181" s="33" cm="1">
        <f t="array" ref="Z181">((Z$102=$R181)*((13-$S181)/12)+(Z$102&gt;$R181))*$Q181*INDEX($J$13:$O$39,$N181-1999,Z$102-2020)</f>
        <v>6666.6368866797111</v>
      </c>
      <c r="AA181" s="33" cm="1">
        <f t="array" ref="AA181">((AA$102=$R181)*((13-$S181)/12)+(AA$102&gt;$R181))*$Q181*INDEX($J$13:$O$39,$N181-1999,AA$102-2020)</f>
        <v>6866.6359932801024</v>
      </c>
      <c r="AB181" s="33" cm="1">
        <f t="array" ref="AB181">((AB$102=$R181)*((13-$S181)/12)+(AB$102&gt;$R181))*$Q181*INDEX($J$13:$O$39,$N181-1999,AB$102-2020)</f>
        <v>7113.8348890381858</v>
      </c>
      <c r="AC181" s="33" cm="1">
        <f t="array" ref="AC181">((AC$102=$R181)*((13-$S181)/12)+(AC$102&gt;$R181))*$Q181*INDEX($J$13:$O$39,$N181-1999,AC$102-2020)</f>
        <v>7313.0222659312558</v>
      </c>
    </row>
    <row r="182" spans="2:29" x14ac:dyDescent="0.2">
      <c r="B182" s="32">
        <f>'13. Input desinvesteringen'!B95</f>
        <v>79</v>
      </c>
      <c r="J182" s="32" t="str">
        <f>'13. Input desinvesteringen'!C95</f>
        <v>Transport</v>
      </c>
      <c r="K182" s="32" t="str">
        <f>'13. Input desinvesteringen'!D95</f>
        <v>HS</v>
      </c>
      <c r="L182" s="32" t="str">
        <f>'13. Input desinvesteringen'!E95</f>
        <v>Nee</v>
      </c>
      <c r="M182" s="32" t="str">
        <f>'13. Input desinvesteringen'!F95</f>
        <v>Telecommunicatienet</v>
      </c>
      <c r="N182" s="82">
        <f>'13. Input desinvesteringen'!G95</f>
        <v>2018</v>
      </c>
      <c r="O182" s="82"/>
      <c r="P182" s="82"/>
      <c r="Q182" s="32">
        <f>'13. Input desinvesteringen'!H95</f>
        <v>801</v>
      </c>
      <c r="R182" s="82">
        <f>'13. Input desinvesteringen'!I95</f>
        <v>2021</v>
      </c>
      <c r="S182" s="32">
        <f>'13. Input desinvesteringen'!J95</f>
        <v>7</v>
      </c>
      <c r="U182" s="76">
        <f t="shared" si="5"/>
        <v>1</v>
      </c>
      <c r="V182" s="76">
        <f t="shared" si="6"/>
        <v>0</v>
      </c>
      <c r="X182" s="33" cm="1">
        <f t="array" ref="X182">((X$102=$R182)*((13-$S182)/12)+(X$102&gt;$R182))*$Q182*INDEX($J$13:$O$39,$N182-1999,X$102-2020)</f>
        <v>423.30251395799991</v>
      </c>
      <c r="Y182" s="33" cm="1">
        <f t="array" ref="Y182">((Y$102=$R182)*((13-$S182)/12)+(Y$102&gt;$R182))*$Q182*INDEX($J$13:$O$39,$N182-1999,Y$102-2020)</f>
        <v>866.92354858598378</v>
      </c>
      <c r="Z182" s="33" cm="1">
        <f t="array" ref="Z182">((Z$102=$R182)*((13-$S182)/12)+(Z$102&gt;$R182))*$Q182*INDEX($J$13:$O$39,$N182-1999,Z$102-2020)</f>
        <v>970.9543744163019</v>
      </c>
      <c r="AA182" s="33" cm="1">
        <f t="array" ref="AA182">((AA$102=$R182)*((13-$S182)/12)+(AA$102&gt;$R182))*$Q182*INDEX($J$13:$O$39,$N182-1999,AA$102-2020)</f>
        <v>1000.0830056487911</v>
      </c>
      <c r="AB182" s="33" cm="1">
        <f t="array" ref="AB182">((AB$102=$R182)*((13-$S182)/12)+(AB$102&gt;$R182))*$Q182*INDEX($J$13:$O$39,$N182-1999,AB$102-2020)</f>
        <v>1036.0859938521476</v>
      </c>
      <c r="AC182" s="33" cm="1">
        <f t="array" ref="AC182">((AC$102=$R182)*((13-$S182)/12)+(AC$102&gt;$R182))*$Q182*INDEX($J$13:$O$39,$N182-1999,AC$102-2020)</f>
        <v>1065.0964016800078</v>
      </c>
    </row>
    <row r="183" spans="2:29" x14ac:dyDescent="0.2">
      <c r="B183" s="32">
        <f>'13. Input desinvesteringen'!B96</f>
        <v>80</v>
      </c>
      <c r="J183" s="32" t="str">
        <f>'13. Input desinvesteringen'!C96</f>
        <v>Transport</v>
      </c>
      <c r="K183" s="32" t="str">
        <f>'13. Input desinvesteringen'!D96</f>
        <v>HS</v>
      </c>
      <c r="L183" s="32" t="str">
        <f>'13. Input desinvesteringen'!E96</f>
        <v>Nee</v>
      </c>
      <c r="M183" s="32" t="str">
        <f>'13. Input desinvesteringen'!F96</f>
        <v>Telecommunicatienet</v>
      </c>
      <c r="N183" s="82">
        <f>'13. Input desinvesteringen'!G96</f>
        <v>2015</v>
      </c>
      <c r="O183" s="82"/>
      <c r="P183" s="82"/>
      <c r="Q183" s="32">
        <f>'13. Input desinvesteringen'!H96</f>
        <v>7086</v>
      </c>
      <c r="R183" s="82">
        <f>'13. Input desinvesteringen'!I96</f>
        <v>2021</v>
      </c>
      <c r="S183" s="32">
        <f>'13. Input desinvesteringen'!J96</f>
        <v>7</v>
      </c>
      <c r="U183" s="76">
        <f t="shared" ref="U183:U235" si="7">(J183="Transport")*(L183="Nee")*(VLOOKUP($M183,$B$64:$H$97,7,FALSE))</f>
        <v>1</v>
      </c>
      <c r="V183" s="76">
        <f t="shared" ref="V183:V235" si="8">1-U183</f>
        <v>0</v>
      </c>
      <c r="X183" s="33" cm="1">
        <f t="array" ref="X183">((X$102=$R183)*((13-$S183)/12)+(X$102&gt;$R183))*$Q183*INDEX($J$13:$O$39,$N183-1999,X$102-2020)</f>
        <v>3835.1794380833353</v>
      </c>
      <c r="Y183" s="33" cm="1">
        <f t="array" ref="Y183">((Y$102=$R183)*((13-$S183)/12)+(Y$102&gt;$R183))*$Q183*INDEX($J$13:$O$39,$N183-1999,Y$102-2020)</f>
        <v>7854.4474891946711</v>
      </c>
      <c r="Z183" s="33" cm="1">
        <f t="array" ref="Z183">((Z$102=$R183)*((13-$S183)/12)+(Z$102&gt;$R183))*$Q183*INDEX($J$13:$O$39,$N183-1999,Z$102-2020)</f>
        <v>8796.9811878980327</v>
      </c>
      <c r="AA183" s="33" cm="1">
        <f t="array" ref="AA183">((AA$102=$R183)*((13-$S183)/12)+(AA$102&gt;$R183))*$Q183*INDEX($J$13:$O$39,$N183-1999,AA$102-2020)</f>
        <v>9060.8906235349732</v>
      </c>
      <c r="AB183" s="33" cm="1">
        <f t="array" ref="AB183">((AB$102=$R183)*((13-$S183)/12)+(AB$102&gt;$R183))*$Q183*INDEX($J$13:$O$39,$N183-1999,AB$102-2020)</f>
        <v>9387.0826859822319</v>
      </c>
      <c r="AC183" s="33" cm="1">
        <f t="array" ref="AC183">((AC$102=$R183)*((13-$S183)/12)+(AC$102&gt;$R183))*$Q183*INDEX($J$13:$O$39,$N183-1999,AC$102-2020)</f>
        <v>9649.9210011897358</v>
      </c>
    </row>
    <row r="184" spans="2:29" x14ac:dyDescent="0.2">
      <c r="B184" s="32">
        <f>'13. Input desinvesteringen'!B97</f>
        <v>81</v>
      </c>
      <c r="J184" s="32" t="str">
        <f>'13. Input desinvesteringen'!C97</f>
        <v>Transport</v>
      </c>
      <c r="K184" s="32" t="str">
        <f>'13. Input desinvesteringen'!D97</f>
        <v>EHS</v>
      </c>
      <c r="L184" s="32" t="str">
        <f>'13. Input desinvesteringen'!E97</f>
        <v>Nee</v>
      </c>
      <c r="M184" s="32" t="str">
        <f>'13. Input desinvesteringen'!F97</f>
        <v>GAW ultimo 2000 EHS OUD</v>
      </c>
      <c r="N184" s="82">
        <f>'13. Input desinvesteringen'!G97</f>
        <v>2000</v>
      </c>
      <c r="O184" s="82"/>
      <c r="P184" s="82"/>
      <c r="Q184" s="32">
        <f>'13. Input desinvesteringen'!H97</f>
        <v>891268</v>
      </c>
      <c r="R184" s="82">
        <f>'13. Input desinvesteringen'!I97</f>
        <v>2022</v>
      </c>
      <c r="S184" s="32">
        <f>'13. Input desinvesteringen'!J97</f>
        <v>1</v>
      </c>
      <c r="U184" s="76">
        <f t="shared" si="7"/>
        <v>0.97443793491415276</v>
      </c>
      <c r="V184" s="76">
        <f t="shared" si="8"/>
        <v>2.5562065085847241E-2</v>
      </c>
      <c r="X184" s="33" cm="1">
        <f t="array" ref="X184">((X$102=$R184)*((13-$S184)/12)+(X$102&gt;$R184))*$Q184*INDEX($J$13:$O$39,$N184-1999,X$102-2020)</f>
        <v>0</v>
      </c>
      <c r="Y184" s="33" cm="1">
        <f t="array" ref="Y184">((Y$102=$R184)*((13-$S184)/12)+(Y$102&gt;$R184))*$Q184*INDEX($J$13:$O$39,$N184-1999,Y$102-2020)</f>
        <v>1350801.7570226209</v>
      </c>
      <c r="Z184" s="33" cm="1">
        <f t="array" ref="Z184">((Z$102=$R184)*((13-$S184)/12)+(Z$102&gt;$R184))*$Q184*INDEX($J$13:$O$39,$N184-1999,Z$102-2020)</f>
        <v>1512897.9678653355</v>
      </c>
      <c r="AA184" s="33" cm="1">
        <f t="array" ref="AA184">((AA$102=$R184)*((13-$S184)/12)+(AA$102&gt;$R184))*$Q184*INDEX($J$13:$O$39,$N184-1999,AA$102-2020)</f>
        <v>1558284.9069012958</v>
      </c>
      <c r="AB184" s="33" cm="1">
        <f t="array" ref="AB184">((AB$102=$R184)*((13-$S184)/12)+(AB$102&gt;$R184))*$Q184*INDEX($J$13:$O$39,$N184-1999,AB$102-2020)</f>
        <v>1614383.1635497424</v>
      </c>
      <c r="AC184" s="33" cm="1">
        <f t="array" ref="AC184">((AC$102=$R184)*((13-$S184)/12)+(AC$102&gt;$R184))*$Q184*INDEX($J$13:$O$39,$N184-1999,AC$102-2020)</f>
        <v>1659585.8921291351</v>
      </c>
    </row>
    <row r="185" spans="2:29" x14ac:dyDescent="0.2">
      <c r="B185" s="32">
        <f>'13. Input desinvesteringen'!B98</f>
        <v>82</v>
      </c>
      <c r="J185" s="32" t="str">
        <f>'13. Input desinvesteringen'!C98</f>
        <v>Transport</v>
      </c>
      <c r="K185" s="32" t="str">
        <f>'13. Input desinvesteringen'!D98</f>
        <v>EHS</v>
      </c>
      <c r="L185" s="32" t="str">
        <f>'13. Input desinvesteringen'!E98</f>
        <v>Nee</v>
      </c>
      <c r="M185" s="32" t="str">
        <f>'13. Input desinvesteringen'!F98</f>
        <v>GAW ultimo 2000 EHS OUD</v>
      </c>
      <c r="N185" s="82">
        <f>'13. Input desinvesteringen'!G98</f>
        <v>2000</v>
      </c>
      <c r="O185" s="82"/>
      <c r="P185" s="82"/>
      <c r="Q185" s="32">
        <f>'13. Input desinvesteringen'!H98</f>
        <v>82442</v>
      </c>
      <c r="R185" s="82">
        <f>'13. Input desinvesteringen'!I98</f>
        <v>2022</v>
      </c>
      <c r="S185" s="32">
        <f>'13. Input desinvesteringen'!J98</f>
        <v>3</v>
      </c>
      <c r="U185" s="76">
        <f t="shared" si="7"/>
        <v>0.97443793491415276</v>
      </c>
      <c r="V185" s="76">
        <f t="shared" si="8"/>
        <v>2.5562065085847241E-2</v>
      </c>
      <c r="X185" s="33" cm="1">
        <f t="array" ref="X185">((X$102=$R185)*((13-$S185)/12)+(X$102&gt;$R185))*$Q185*INDEX($J$13:$O$39,$N185-1999,X$102-2020)</f>
        <v>0</v>
      </c>
      <c r="Y185" s="33" cm="1">
        <f t="array" ref="Y185">((Y$102=$R185)*((13-$S185)/12)+(Y$102&gt;$R185))*$Q185*INDEX($J$13:$O$39,$N185-1999,Y$102-2020)</f>
        <v>104123.93583491808</v>
      </c>
      <c r="Z185" s="33" cm="1">
        <f t="array" ref="Z185">((Z$102=$R185)*((13-$S185)/12)+(Z$102&gt;$R185))*$Q185*INDEX($J$13:$O$39,$N185-1999,Z$102-2020)</f>
        <v>139942.56976212989</v>
      </c>
      <c r="AA185" s="33" cm="1">
        <f t="array" ref="AA185">((AA$102=$R185)*((13-$S185)/12)+(AA$102&gt;$R185))*$Q185*INDEX($J$13:$O$39,$N185-1999,AA$102-2020)</f>
        <v>144140.84685499381</v>
      </c>
      <c r="AB185" s="33" cm="1">
        <f t="array" ref="AB185">((AB$102=$R185)*((13-$S185)/12)+(AB$102&gt;$R185))*$Q185*INDEX($J$13:$O$39,$N185-1999,AB$102-2020)</f>
        <v>149329.91734177357</v>
      </c>
      <c r="AC185" s="33" cm="1">
        <f t="array" ref="AC185">((AC$102=$R185)*((13-$S185)/12)+(AC$102&gt;$R185))*$Q185*INDEX($J$13:$O$39,$N185-1999,AC$102-2020)</f>
        <v>153511.15502734325</v>
      </c>
    </row>
    <row r="186" spans="2:29" x14ac:dyDescent="0.2">
      <c r="B186" s="32">
        <f>'13. Input desinvesteringen'!B99</f>
        <v>83</v>
      </c>
      <c r="J186" s="32" t="str">
        <f>'13. Input desinvesteringen'!C99</f>
        <v>Transport</v>
      </c>
      <c r="K186" s="32" t="str">
        <f>'13. Input desinvesteringen'!D99</f>
        <v>EHS</v>
      </c>
      <c r="L186" s="32" t="str">
        <f>'13. Input desinvesteringen'!E99</f>
        <v>Nee</v>
      </c>
      <c r="M186" s="32" t="str">
        <f>'13. Input desinvesteringen'!F99</f>
        <v>GAW ultimo 2000 EHS OUD</v>
      </c>
      <c r="N186" s="82">
        <f>'13. Input desinvesteringen'!G99</f>
        <v>2000</v>
      </c>
      <c r="O186" s="82"/>
      <c r="P186" s="82"/>
      <c r="Q186" s="32">
        <f>'13. Input desinvesteringen'!H99</f>
        <v>4297530</v>
      </c>
      <c r="R186" s="82">
        <f>'13. Input desinvesteringen'!I99</f>
        <v>2022</v>
      </c>
      <c r="S186" s="32">
        <f>'13. Input desinvesteringen'!J99</f>
        <v>7</v>
      </c>
      <c r="U186" s="76">
        <f t="shared" si="7"/>
        <v>0.97443793491415276</v>
      </c>
      <c r="V186" s="76">
        <f t="shared" si="8"/>
        <v>2.5562065085847241E-2</v>
      </c>
      <c r="X186" s="33" cm="1">
        <f t="array" ref="X186">((X$102=$R186)*((13-$S186)/12)+(X$102&gt;$R186))*$Q186*INDEX($J$13:$O$39,$N186-1999,X$102-2020)</f>
        <v>0</v>
      </c>
      <c r="Y186" s="33" cm="1">
        <f t="array" ref="Y186">((Y$102=$R186)*((13-$S186)/12)+(Y$102&gt;$R186))*$Q186*INDEX($J$13:$O$39,$N186-1999,Y$102-2020)</f>
        <v>3256658.5330436099</v>
      </c>
      <c r="Z186" s="33" cm="1">
        <f t="array" ref="Z186">((Z$102=$R186)*((13-$S186)/12)+(Z$102&gt;$R186))*$Q186*INDEX($J$13:$O$39,$N186-1999,Z$102-2020)</f>
        <v>7294915.1140176868</v>
      </c>
      <c r="AA186" s="33" cm="1">
        <f t="array" ref="AA186">((AA$102=$R186)*((13-$S186)/12)+(AA$102&gt;$R186))*$Q186*INDEX($J$13:$O$39,$N186-1999,AA$102-2020)</f>
        <v>7513762.5674382178</v>
      </c>
      <c r="AB186" s="33" cm="1">
        <f t="array" ref="AB186">((AB$102=$R186)*((13-$S186)/12)+(AB$102&gt;$R186))*$Q186*INDEX($J$13:$O$39,$N186-1999,AB$102-2020)</f>
        <v>7784258.0198659934</v>
      </c>
      <c r="AC186" s="33" cm="1">
        <f t="array" ref="AC186">((AC$102=$R186)*((13-$S186)/12)+(AC$102&gt;$R186))*$Q186*INDEX($J$13:$O$39,$N186-1999,AC$102-2020)</f>
        <v>8002217.2444222411</v>
      </c>
    </row>
    <row r="187" spans="2:29" x14ac:dyDescent="0.2">
      <c r="B187" s="32">
        <f>'13. Input desinvesteringen'!B100</f>
        <v>84</v>
      </c>
      <c r="J187" s="32" t="str">
        <f>'13. Input desinvesteringen'!C100</f>
        <v>Transport</v>
      </c>
      <c r="K187" s="32" t="str">
        <f>'13. Input desinvesteringen'!D100</f>
        <v>EHS</v>
      </c>
      <c r="L187" s="32" t="str">
        <f>'13. Input desinvesteringen'!E100</f>
        <v>Nee</v>
      </c>
      <c r="M187" s="32" t="str">
        <f>'13. Input desinvesteringen'!F100</f>
        <v>GAW ultimo 2000 EHS OUD</v>
      </c>
      <c r="N187" s="82">
        <f>'13. Input desinvesteringen'!G100</f>
        <v>2000</v>
      </c>
      <c r="O187" s="82"/>
      <c r="P187" s="82"/>
      <c r="Q187" s="32">
        <f>'13. Input desinvesteringen'!H100</f>
        <v>24075</v>
      </c>
      <c r="R187" s="82">
        <f>'13. Input desinvesteringen'!I100</f>
        <v>2022</v>
      </c>
      <c r="S187" s="32">
        <f>'13. Input desinvesteringen'!J100</f>
        <v>6</v>
      </c>
      <c r="U187" s="76">
        <f t="shared" si="7"/>
        <v>0.97443793491415276</v>
      </c>
      <c r="V187" s="76">
        <f t="shared" si="8"/>
        <v>2.5562065085847241E-2</v>
      </c>
      <c r="X187" s="33" cm="1">
        <f t="array" ref="X187">((X$102=$R187)*((13-$S187)/12)+(X$102&gt;$R187))*$Q187*INDEX($J$13:$O$39,$N187-1999,X$102-2020)</f>
        <v>0</v>
      </c>
      <c r="Y187" s="33" cm="1">
        <f t="array" ref="Y187">((Y$102=$R187)*((13-$S187)/12)+(Y$102&gt;$R187))*$Q187*INDEX($J$13:$O$39,$N187-1999,Y$102-2020)</f>
        <v>21284.644097158689</v>
      </c>
      <c r="Z187" s="33" cm="1">
        <f t="array" ref="Z187">((Z$102=$R187)*((13-$S187)/12)+(Z$102&gt;$R187))*$Q187*INDEX($J$13:$O$39,$N187-1999,Z$102-2020)</f>
        <v>40866.516666544689</v>
      </c>
      <c r="AA187" s="33" cm="1">
        <f t="array" ref="AA187">((AA$102=$R187)*((13-$S187)/12)+(AA$102&gt;$R187))*$Q187*INDEX($J$13:$O$39,$N187-1999,AA$102-2020)</f>
        <v>42092.512166541033</v>
      </c>
      <c r="AB187" s="33" cm="1">
        <f t="array" ref="AB187">((AB$102=$R187)*((13-$S187)/12)+(AB$102&gt;$R187))*$Q187*INDEX($J$13:$O$39,$N187-1999,AB$102-2020)</f>
        <v>43607.842604536512</v>
      </c>
      <c r="AC187" s="33" cm="1">
        <f t="array" ref="AC187">((AC$102=$R187)*((13-$S187)/12)+(AC$102&gt;$R187))*$Q187*INDEX($J$13:$O$39,$N187-1999,AC$102-2020)</f>
        <v>44828.862197463532</v>
      </c>
    </row>
    <row r="188" spans="2:29" x14ac:dyDescent="0.2">
      <c r="B188" s="32">
        <f>'13. Input desinvesteringen'!B101</f>
        <v>85</v>
      </c>
      <c r="J188" s="32" t="str">
        <f>'13. Input desinvesteringen'!C101</f>
        <v>Transport</v>
      </c>
      <c r="K188" s="32" t="str">
        <f>'13. Input desinvesteringen'!D101</f>
        <v>EHS</v>
      </c>
      <c r="L188" s="32" t="str">
        <f>'13. Input desinvesteringen'!E101</f>
        <v>Nee</v>
      </c>
      <c r="M188" s="32" t="str">
        <f>'13. Input desinvesteringen'!F101</f>
        <v>GAW ultimo 2000 EHS OUD</v>
      </c>
      <c r="N188" s="82">
        <f>'13. Input desinvesteringen'!G101</f>
        <v>2000</v>
      </c>
      <c r="O188" s="82"/>
      <c r="P188" s="82"/>
      <c r="Q188" s="32">
        <f>'13. Input desinvesteringen'!H101</f>
        <v>170460</v>
      </c>
      <c r="R188" s="82">
        <f>'13. Input desinvesteringen'!I101</f>
        <v>2022</v>
      </c>
      <c r="S188" s="32">
        <f>'13. Input desinvesteringen'!J101</f>
        <v>10</v>
      </c>
      <c r="U188" s="76">
        <f t="shared" si="7"/>
        <v>0.97443793491415276</v>
      </c>
      <c r="V188" s="76">
        <f t="shared" si="8"/>
        <v>2.5562065085847241E-2</v>
      </c>
      <c r="X188" s="33" cm="1">
        <f t="array" ref="X188">((X$102=$R188)*((13-$S188)/12)+(X$102&gt;$R188))*$Q188*INDEX($J$13:$O$39,$N188-1999,X$102-2020)</f>
        <v>0</v>
      </c>
      <c r="Y188" s="33" cm="1">
        <f t="array" ref="Y188">((Y$102=$R188)*((13-$S188)/12)+(Y$102&gt;$R188))*$Q188*INDEX($J$13:$O$39,$N188-1999,Y$102-2020)</f>
        <v>64587.101607506374</v>
      </c>
      <c r="Z188" s="33" cm="1">
        <f t="array" ref="Z188">((Z$102=$R188)*((13-$S188)/12)+(Z$102&gt;$R188))*$Q188*INDEX($J$13:$O$39,$N188-1999,Z$102-2020)</f>
        <v>289350.21520162857</v>
      </c>
      <c r="AA188" s="33" cm="1">
        <f t="array" ref="AA188">((AA$102=$R188)*((13-$S188)/12)+(AA$102&gt;$R188))*$Q188*INDEX($J$13:$O$39,$N188-1999,AA$102-2020)</f>
        <v>298030.72165767744</v>
      </c>
      <c r="AB188" s="33" cm="1">
        <f t="array" ref="AB188">((AB$102=$R188)*((13-$S188)/12)+(AB$102&gt;$R188))*$Q188*INDEX($J$13:$O$39,$N188-1999,AB$102-2020)</f>
        <v>308759.82763735385</v>
      </c>
      <c r="AC188" s="33" cm="1">
        <f t="array" ref="AC188">((AC$102=$R188)*((13-$S188)/12)+(AC$102&gt;$R188))*$Q188*INDEX($J$13:$O$39,$N188-1999,AC$102-2020)</f>
        <v>317405.10281119973</v>
      </c>
    </row>
    <row r="189" spans="2:29" x14ac:dyDescent="0.2">
      <c r="B189" s="32">
        <f>'13. Input desinvesteringen'!B102</f>
        <v>86</v>
      </c>
      <c r="J189" s="32" t="str">
        <f>'13. Input desinvesteringen'!C102</f>
        <v>Transport</v>
      </c>
      <c r="K189" s="32" t="str">
        <f>'13. Input desinvesteringen'!D102</f>
        <v>EHS</v>
      </c>
      <c r="L189" s="32" t="str">
        <f>'13. Input desinvesteringen'!E102</f>
        <v>Nee</v>
      </c>
      <c r="M189" s="32" t="str">
        <f>'13. Input desinvesteringen'!F102</f>
        <v>GAW ultimo 2000 EHS OUD</v>
      </c>
      <c r="N189" s="82">
        <f>'13. Input desinvesteringen'!G102</f>
        <v>2000</v>
      </c>
      <c r="O189" s="82"/>
      <c r="P189" s="82"/>
      <c r="Q189" s="32">
        <f>'13. Input desinvesteringen'!H102</f>
        <v>558944</v>
      </c>
      <c r="R189" s="82">
        <f>'13. Input desinvesteringen'!I102</f>
        <v>2022</v>
      </c>
      <c r="S189" s="32">
        <f>'13. Input desinvesteringen'!J102</f>
        <v>12</v>
      </c>
      <c r="U189" s="76">
        <f t="shared" si="7"/>
        <v>0.97443793491415276</v>
      </c>
      <c r="V189" s="76">
        <f t="shared" si="8"/>
        <v>2.5562065085847241E-2</v>
      </c>
      <c r="X189" s="33" cm="1">
        <f t="array" ref="X189">((X$102=$R189)*((13-$S189)/12)+(X$102&gt;$R189))*$Q189*INDEX($J$13:$O$39,$N189-1999,X$102-2020)</f>
        <v>0</v>
      </c>
      <c r="Y189" s="33" cm="1">
        <f t="array" ref="Y189">((Y$102=$R189)*((13-$S189)/12)+(Y$102&gt;$R189))*$Q189*INDEX($J$13:$O$39,$N189-1999,Y$102-2020)</f>
        <v>70594.416912875036</v>
      </c>
      <c r="Z189" s="33" cm="1">
        <f t="array" ref="Z189">((Z$102=$R189)*((13-$S189)/12)+(Z$102&gt;$R189))*$Q189*INDEX($J$13:$O$39,$N189-1999,Z$102-2020)</f>
        <v>948788.96330904076</v>
      </c>
      <c r="AA189" s="33" cm="1">
        <f t="array" ref="AA189">((AA$102=$R189)*((13-$S189)/12)+(AA$102&gt;$R189))*$Q189*INDEX($J$13:$O$39,$N189-1999,AA$102-2020)</f>
        <v>977252.63220831205</v>
      </c>
      <c r="AB189" s="33" cm="1">
        <f t="array" ref="AB189">((AB$102=$R189)*((13-$S189)/12)+(AB$102&gt;$R189))*$Q189*INDEX($J$13:$O$39,$N189-1999,AB$102-2020)</f>
        <v>1012433.7269678112</v>
      </c>
      <c r="AC189" s="33" cm="1">
        <f t="array" ref="AC189">((AC$102=$R189)*((13-$S189)/12)+(AC$102&gt;$R189))*$Q189*INDEX($J$13:$O$39,$N189-1999,AC$102-2020)</f>
        <v>1040781.87132291</v>
      </c>
    </row>
    <row r="190" spans="2:29" x14ac:dyDescent="0.2">
      <c r="B190" s="32">
        <f>'13. Input desinvesteringen'!B103</f>
        <v>87</v>
      </c>
      <c r="J190" s="32" t="str">
        <f>'13. Input desinvesteringen'!C103</f>
        <v>Transport</v>
      </c>
      <c r="K190" s="32" t="str">
        <f>'13. Input desinvesteringen'!D103</f>
        <v>EHS</v>
      </c>
      <c r="L190" s="32" t="str">
        <f>'13. Input desinvesteringen'!E103</f>
        <v>Nee</v>
      </c>
      <c r="M190" s="32" t="str">
        <f>'13. Input desinvesteringen'!F103</f>
        <v>GAW ultimo 2000 EHS OUD</v>
      </c>
      <c r="N190" s="82">
        <f>'13. Input desinvesteringen'!G103</f>
        <v>2000</v>
      </c>
      <c r="O190" s="82"/>
      <c r="P190" s="82"/>
      <c r="Q190" s="32">
        <f>'13. Input desinvesteringen'!H103</f>
        <v>434419</v>
      </c>
      <c r="R190" s="82">
        <f>'13. Input desinvesteringen'!I103</f>
        <v>2022</v>
      </c>
      <c r="S190" s="32">
        <f>'13. Input desinvesteringen'!J103</f>
        <v>13</v>
      </c>
      <c r="U190" s="76">
        <f t="shared" si="7"/>
        <v>0.97443793491415276</v>
      </c>
      <c r="V190" s="76">
        <f t="shared" si="8"/>
        <v>2.5562065085847241E-2</v>
      </c>
      <c r="X190" s="33" cm="1">
        <f t="array" ref="X190">((X$102=$R190)*((13-$S190)/12)+(X$102&gt;$R190))*$Q190*INDEX($J$13:$O$39,$N190-1999,X$102-2020)</f>
        <v>0</v>
      </c>
      <c r="Y190" s="33" cm="1">
        <f t="array" ref="Y190">((Y$102=$R190)*((13-$S190)/12)+(Y$102&gt;$R190))*$Q190*INDEX($J$13:$O$39,$N190-1999,Y$102-2020)</f>
        <v>0</v>
      </c>
      <c r="Z190" s="33" cm="1">
        <f t="array" ref="Z190">((Z$102=$R190)*((13-$S190)/12)+(Z$102&gt;$R190))*$Q190*INDEX($J$13:$O$39,$N190-1999,Z$102-2020)</f>
        <v>737411.89216048503</v>
      </c>
      <c r="AA190" s="33" cm="1">
        <f t="array" ref="AA190">((AA$102=$R190)*((13-$S190)/12)+(AA$102&gt;$R190))*$Q190*INDEX($J$13:$O$39,$N190-1999,AA$102-2020)</f>
        <v>759534.24892529962</v>
      </c>
      <c r="AB190" s="33" cm="1">
        <f t="array" ref="AB190">((AB$102=$R190)*((13-$S190)/12)+(AB$102&gt;$R190))*$Q190*INDEX($J$13:$O$39,$N190-1999,AB$102-2020)</f>
        <v>786877.48188661039</v>
      </c>
      <c r="AC190" s="33" cm="1">
        <f t="array" ref="AC190">((AC$102=$R190)*((13-$S190)/12)+(AC$102&gt;$R190))*$Q190*INDEX($J$13:$O$39,$N190-1999,AC$102-2020)</f>
        <v>808910.05137943558</v>
      </c>
    </row>
    <row r="191" spans="2:29" x14ac:dyDescent="0.2">
      <c r="B191" s="32">
        <f>'13. Input desinvesteringen'!B104</f>
        <v>88</v>
      </c>
      <c r="J191" s="32" t="str">
        <f>'13. Input desinvesteringen'!C104</f>
        <v>Transport</v>
      </c>
      <c r="K191" s="32" t="str">
        <f>'13. Input desinvesteringen'!D104</f>
        <v>HS</v>
      </c>
      <c r="L191" s="32" t="str">
        <f>'13. Input desinvesteringen'!E104</f>
        <v>Nee</v>
      </c>
      <c r="M191" s="32" t="str">
        <f>'13. Input desinvesteringen'!F104</f>
        <v>GAW ultimo 2000 Delta</v>
      </c>
      <c r="N191" s="82">
        <f>'13. Input desinvesteringen'!G104</f>
        <v>2008</v>
      </c>
      <c r="O191" s="82"/>
      <c r="P191" s="82"/>
      <c r="Q191" s="32">
        <f>'13. Input desinvesteringen'!H104</f>
        <v>2735</v>
      </c>
      <c r="R191" s="82">
        <f>'13. Input desinvesteringen'!I104</f>
        <v>2022</v>
      </c>
      <c r="S191" s="32">
        <f>'13. Input desinvesteringen'!J104</f>
        <v>12</v>
      </c>
      <c r="U191" s="76">
        <f t="shared" si="7"/>
        <v>0.9501178320392909</v>
      </c>
      <c r="V191" s="76">
        <f t="shared" si="8"/>
        <v>4.9882167960709101E-2</v>
      </c>
      <c r="X191" s="33" cm="1">
        <f t="array" ref="X191">((X$102=$R191)*((13-$S191)/12)+(X$102&gt;$R191))*$Q191*INDEX($J$13:$O$39,$N191-1999,X$102-2020)</f>
        <v>0</v>
      </c>
      <c r="Y191" s="33" cm="1">
        <f t="array" ref="Y191">((Y$102=$R191)*((13-$S191)/12)+(Y$102&gt;$R191))*$Q191*INDEX($J$13:$O$39,$N191-1999,Y$102-2020)</f>
        <v>289.25090916668</v>
      </c>
      <c r="Z191" s="33" cm="1">
        <f t="array" ref="Z191">((Z$102=$R191)*((13-$S191)/12)+(Z$102&gt;$R191))*$Q191*INDEX($J$13:$O$39,$N191-1999,Z$102-2020)</f>
        <v>3887.5322192001795</v>
      </c>
      <c r="AA191" s="33" cm="1">
        <f t="array" ref="AA191">((AA$102=$R191)*((13-$S191)/12)+(AA$102&gt;$R191))*$Q191*INDEX($J$13:$O$39,$N191-1999,AA$102-2020)</f>
        <v>4004.1581857761853</v>
      </c>
      <c r="AB191" s="33" cm="1">
        <f t="array" ref="AB191">((AB$102=$R191)*((13-$S191)/12)+(AB$102&gt;$R191))*$Q191*INDEX($J$13:$O$39,$N191-1999,AB$102-2020)</f>
        <v>4148.3078804641282</v>
      </c>
      <c r="AC191" s="33" cm="1">
        <f t="array" ref="AC191">((AC$102=$R191)*((13-$S191)/12)+(AC$102&gt;$R191))*$Q191*INDEX($J$13:$O$39,$N191-1999,AC$102-2020)</f>
        <v>4264.4605011171243</v>
      </c>
    </row>
    <row r="192" spans="2:29" x14ac:dyDescent="0.2">
      <c r="B192" s="32">
        <f>'13. Input desinvesteringen'!B105</f>
        <v>89</v>
      </c>
      <c r="J192" s="32" t="str">
        <f>'13. Input desinvesteringen'!C105</f>
        <v>Transport</v>
      </c>
      <c r="K192" s="32" t="str">
        <f>'13. Input desinvesteringen'!D105</f>
        <v>HS</v>
      </c>
      <c r="L192" s="32" t="str">
        <f>'13. Input desinvesteringen'!E105</f>
        <v>Nee</v>
      </c>
      <c r="M192" s="32" t="str">
        <f>'13. Input desinvesteringen'!F105</f>
        <v>GAW ultimo 2000 Enexis</v>
      </c>
      <c r="N192" s="82">
        <f>'13. Input desinvesteringen'!G105</f>
        <v>2008</v>
      </c>
      <c r="O192" s="82"/>
      <c r="P192" s="82"/>
      <c r="Q192" s="32">
        <f>'13. Input desinvesteringen'!H105</f>
        <v>34184</v>
      </c>
      <c r="R192" s="82">
        <f>'13. Input desinvesteringen'!I105</f>
        <v>2022</v>
      </c>
      <c r="S192" s="32">
        <f>'13. Input desinvesteringen'!J105</f>
        <v>1</v>
      </c>
      <c r="U192" s="76">
        <f t="shared" si="7"/>
        <v>0.9501178320392909</v>
      </c>
      <c r="V192" s="76">
        <f t="shared" si="8"/>
        <v>4.9882167960709101E-2</v>
      </c>
      <c r="X192" s="33" cm="1">
        <f t="array" ref="X192">((X$102=$R192)*((13-$S192)/12)+(X$102&gt;$R192))*$Q192*INDEX($J$13:$O$39,$N192-1999,X$102-2020)</f>
        <v>0</v>
      </c>
      <c r="Y192" s="33" cm="1">
        <f t="array" ref="Y192">((Y$102=$R192)*((13-$S192)/12)+(Y$102&gt;$R192))*$Q192*INDEX($J$13:$O$39,$N192-1999,Y$102-2020)</f>
        <v>43383.194496323755</v>
      </c>
      <c r="Z192" s="33" cm="1">
        <f t="array" ref="Z192">((Z$102=$R192)*((13-$S192)/12)+(Z$102&gt;$R192))*$Q192*INDEX($J$13:$O$39,$N192-1999,Z$102-2020)</f>
        <v>48589.177835882612</v>
      </c>
      <c r="AA192" s="33" cm="1">
        <f t="array" ref="AA192">((AA$102=$R192)*((13-$S192)/12)+(AA$102&gt;$R192))*$Q192*INDEX($J$13:$O$39,$N192-1999,AA$102-2020)</f>
        <v>50046.853170959097</v>
      </c>
      <c r="AB192" s="33" cm="1">
        <f t="array" ref="AB192">((AB$102=$R192)*((13-$S192)/12)+(AB$102&gt;$R192))*$Q192*INDEX($J$13:$O$39,$N192-1999,AB$102-2020)</f>
        <v>51848.539885113627</v>
      </c>
      <c r="AC192" s="33" cm="1">
        <f t="array" ref="AC192">((AC$102=$R192)*((13-$S192)/12)+(AC$102&gt;$R192))*$Q192*INDEX($J$13:$O$39,$N192-1999,AC$102-2020)</f>
        <v>53300.299001896805</v>
      </c>
    </row>
    <row r="193" spans="2:29" x14ac:dyDescent="0.2">
      <c r="B193" s="32">
        <f>'13. Input desinvesteringen'!B106</f>
        <v>90</v>
      </c>
      <c r="J193" s="32" t="str">
        <f>'13. Input desinvesteringen'!C106</f>
        <v>Transport</v>
      </c>
      <c r="K193" s="32" t="str">
        <f>'13. Input desinvesteringen'!D106</f>
        <v>HS</v>
      </c>
      <c r="L193" s="32" t="str">
        <f>'13. Input desinvesteringen'!E106</f>
        <v>Nee</v>
      </c>
      <c r="M193" s="32" t="str">
        <f>'13. Input desinvesteringen'!F106</f>
        <v>GAW ultimo 2000 Enexis</v>
      </c>
      <c r="N193" s="82">
        <f>'13. Input desinvesteringen'!G106</f>
        <v>2008</v>
      </c>
      <c r="O193" s="82"/>
      <c r="P193" s="82"/>
      <c r="Q193" s="32">
        <f>'13. Input desinvesteringen'!H106</f>
        <v>69255</v>
      </c>
      <c r="R193" s="82">
        <f>'13. Input desinvesteringen'!I106</f>
        <v>2022</v>
      </c>
      <c r="S193" s="32">
        <f>'13. Input desinvesteringen'!J106</f>
        <v>2</v>
      </c>
      <c r="U193" s="76">
        <f t="shared" si="7"/>
        <v>0.9501178320392909</v>
      </c>
      <c r="V193" s="76">
        <f t="shared" si="8"/>
        <v>4.9882167960709101E-2</v>
      </c>
      <c r="X193" s="33" cm="1">
        <f t="array" ref="X193">((X$102=$R193)*((13-$S193)/12)+(X$102&gt;$R193))*$Q193*INDEX($J$13:$O$39,$N193-1999,X$102-2020)</f>
        <v>0</v>
      </c>
      <c r="Y193" s="33" cm="1">
        <f t="array" ref="Y193">((Y$102=$R193)*((13-$S193)/12)+(Y$102&gt;$R193))*$Q193*INDEX($J$13:$O$39,$N193-1999,Y$102-2020)</f>
        <v>80567.747297156369</v>
      </c>
      <c r="Z193" s="33" cm="1">
        <f t="array" ref="Z193">((Z$102=$R193)*((13-$S193)/12)+(Z$102&gt;$R193))*$Q193*INDEX($J$13:$O$39,$N193-1999,Z$102-2020)</f>
        <v>98439.138515798331</v>
      </c>
      <c r="AA193" s="33" cm="1">
        <f t="array" ref="AA193">((AA$102=$R193)*((13-$S193)/12)+(AA$102&gt;$R193))*$Q193*INDEX($J$13:$O$39,$N193-1999,AA$102-2020)</f>
        <v>101392.31267127229</v>
      </c>
      <c r="AB193" s="33" cm="1">
        <f t="array" ref="AB193">((AB$102=$R193)*((13-$S193)/12)+(AB$102&gt;$R193))*$Q193*INDEX($J$13:$O$39,$N193-1999,AB$102-2020)</f>
        <v>105042.4359274381</v>
      </c>
      <c r="AC193" s="33" cm="1">
        <f t="array" ref="AC193">((AC$102=$R193)*((13-$S193)/12)+(AC$102&gt;$R193))*$Q193*INDEX($J$13:$O$39,$N193-1999,AC$102-2020)</f>
        <v>107983.62413340637</v>
      </c>
    </row>
    <row r="194" spans="2:29" x14ac:dyDescent="0.2">
      <c r="B194" s="32">
        <f>'13. Input desinvesteringen'!B107</f>
        <v>91</v>
      </c>
      <c r="J194" s="32" t="str">
        <f>'13. Input desinvesteringen'!C107</f>
        <v>Transport</v>
      </c>
      <c r="K194" s="32" t="str">
        <f>'13. Input desinvesteringen'!D107</f>
        <v>HS</v>
      </c>
      <c r="L194" s="32" t="str">
        <f>'13. Input desinvesteringen'!E107</f>
        <v>Nee</v>
      </c>
      <c r="M194" s="32" t="str">
        <f>'13. Input desinvesteringen'!F107</f>
        <v>GAW ultimo 2000 Enexis</v>
      </c>
      <c r="N194" s="82">
        <f>'13. Input desinvesteringen'!G107</f>
        <v>2008</v>
      </c>
      <c r="O194" s="82"/>
      <c r="P194" s="82"/>
      <c r="Q194" s="32">
        <f>'13. Input desinvesteringen'!H107</f>
        <v>533406</v>
      </c>
      <c r="R194" s="82">
        <f>'13. Input desinvesteringen'!I107</f>
        <v>2022</v>
      </c>
      <c r="S194" s="32">
        <f>'13. Input desinvesteringen'!J107</f>
        <v>3</v>
      </c>
      <c r="U194" s="76">
        <f t="shared" si="7"/>
        <v>0.9501178320392909</v>
      </c>
      <c r="V194" s="76">
        <f t="shared" si="8"/>
        <v>4.9882167960709101E-2</v>
      </c>
      <c r="X194" s="33" cm="1">
        <f t="array" ref="X194">((X$102=$R194)*((13-$S194)/12)+(X$102&gt;$R194))*$Q194*INDEX($J$13:$O$39,$N194-1999,X$102-2020)</f>
        <v>0</v>
      </c>
      <c r="Y194" s="33" cm="1">
        <f t="array" ref="Y194">((Y$102=$R194)*((13-$S194)/12)+(Y$102&gt;$R194))*$Q194*INDEX($J$13:$O$39,$N194-1999,Y$102-2020)</f>
        <v>564124.93767810648</v>
      </c>
      <c r="Z194" s="33" cm="1">
        <f t="array" ref="Z194">((Z$102=$R194)*((13-$S194)/12)+(Z$102&gt;$R194))*$Q194*INDEX($J$13:$O$39,$N194-1999,Z$102-2020)</f>
        <v>758183.91623937513</v>
      </c>
      <c r="AA194" s="33" cm="1">
        <f t="array" ref="AA194">((AA$102=$R194)*((13-$S194)/12)+(AA$102&gt;$R194))*$Q194*INDEX($J$13:$O$39,$N194-1999,AA$102-2020)</f>
        <v>780929.43372655648</v>
      </c>
      <c r="AB194" s="33" cm="1">
        <f t="array" ref="AB194">((AB$102=$R194)*((13-$S194)/12)+(AB$102&gt;$R194))*$Q194*INDEX($J$13:$O$39,$N194-1999,AB$102-2020)</f>
        <v>809042.89334071253</v>
      </c>
      <c r="AC194" s="33" cm="1">
        <f t="array" ref="AC194">((AC$102=$R194)*((13-$S194)/12)+(AC$102&gt;$R194))*$Q194*INDEX($J$13:$O$39,$N194-1999,AC$102-2020)</f>
        <v>831696.09435425256</v>
      </c>
    </row>
    <row r="195" spans="2:29" x14ac:dyDescent="0.2">
      <c r="B195" s="32">
        <f>'13. Input desinvesteringen'!B108</f>
        <v>92</v>
      </c>
      <c r="J195" s="32" t="str">
        <f>'13. Input desinvesteringen'!C108</f>
        <v>Transport</v>
      </c>
      <c r="K195" s="32" t="str">
        <f>'13. Input desinvesteringen'!D108</f>
        <v>HS</v>
      </c>
      <c r="L195" s="32" t="str">
        <f>'13. Input desinvesteringen'!E108</f>
        <v>Nee</v>
      </c>
      <c r="M195" s="32" t="str">
        <f>'13. Input desinvesteringen'!F108</f>
        <v>GAW ultimo 2000 Enexis</v>
      </c>
      <c r="N195" s="82">
        <f>'13. Input desinvesteringen'!G108</f>
        <v>2008</v>
      </c>
      <c r="O195" s="82"/>
      <c r="P195" s="82"/>
      <c r="Q195" s="32">
        <f>'13. Input desinvesteringen'!H108</f>
        <v>864</v>
      </c>
      <c r="R195" s="82">
        <f>'13. Input desinvesteringen'!I108</f>
        <v>2022</v>
      </c>
      <c r="S195" s="32">
        <f>'13. Input desinvesteringen'!J108</f>
        <v>4</v>
      </c>
      <c r="U195" s="76">
        <f t="shared" si="7"/>
        <v>0.9501178320392909</v>
      </c>
      <c r="V195" s="76">
        <f t="shared" si="8"/>
        <v>4.9882167960709101E-2</v>
      </c>
      <c r="X195" s="33" cm="1">
        <f t="array" ref="X195">((X$102=$R195)*((13-$S195)/12)+(X$102&gt;$R195))*$Q195*INDEX($J$13:$O$39,$N195-1999,X$102-2020)</f>
        <v>0</v>
      </c>
      <c r="Y195" s="33" cm="1">
        <f t="array" ref="Y195">((Y$102=$R195)*((13-$S195)/12)+(Y$102&gt;$R195))*$Q195*INDEX($J$13:$O$39,$N195-1999,Y$102-2020)</f>
        <v>822.38210957224999</v>
      </c>
      <c r="Z195" s="33" cm="1">
        <f t="array" ref="Z195">((Z$102=$R195)*((13-$S195)/12)+(Z$102&gt;$R195))*$Q195*INDEX($J$13:$O$39,$N195-1999,Z$102-2020)</f>
        <v>1228.0906169612267</v>
      </c>
      <c r="AA195" s="33" cm="1">
        <f t="array" ref="AA195">((AA$102=$R195)*((13-$S195)/12)+(AA$102&gt;$R195))*$Q195*INDEX($J$13:$O$39,$N195-1999,AA$102-2020)</f>
        <v>1264.9333354700636</v>
      </c>
      <c r="AB195" s="33" cm="1">
        <f t="array" ref="AB195">((AB$102=$R195)*((13-$S195)/12)+(AB$102&gt;$R195))*$Q195*INDEX($J$13:$O$39,$N195-1999,AB$102-2020)</f>
        <v>1310.4709355469861</v>
      </c>
      <c r="AC195" s="33" cm="1">
        <f t="array" ref="AC195">((AC$102=$R195)*((13-$S195)/12)+(AC$102&gt;$R195))*$Q195*INDEX($J$13:$O$39,$N195-1999,AC$102-2020)</f>
        <v>1347.1641217423016</v>
      </c>
    </row>
    <row r="196" spans="2:29" x14ac:dyDescent="0.2">
      <c r="B196" s="32">
        <f>'13. Input desinvesteringen'!B109</f>
        <v>93</v>
      </c>
      <c r="J196" s="32" t="str">
        <f>'13. Input desinvesteringen'!C109</f>
        <v>Transport</v>
      </c>
      <c r="K196" s="32" t="str">
        <f>'13. Input desinvesteringen'!D109</f>
        <v>HS</v>
      </c>
      <c r="L196" s="32" t="str">
        <f>'13. Input desinvesteringen'!E109</f>
        <v>Nee</v>
      </c>
      <c r="M196" s="32" t="str">
        <f>'13. Input desinvesteringen'!F109</f>
        <v>GAW ultimo 2000 Enexis</v>
      </c>
      <c r="N196" s="82">
        <f>'13. Input desinvesteringen'!G109</f>
        <v>2008</v>
      </c>
      <c r="O196" s="82"/>
      <c r="P196" s="82"/>
      <c r="Q196" s="32">
        <f>'13. Input desinvesteringen'!H109</f>
        <v>54087</v>
      </c>
      <c r="R196" s="82">
        <f>'13. Input desinvesteringen'!I109</f>
        <v>2022</v>
      </c>
      <c r="S196" s="32">
        <f>'13. Input desinvesteringen'!J109</f>
        <v>6</v>
      </c>
      <c r="U196" s="76">
        <f t="shared" si="7"/>
        <v>0.9501178320392909</v>
      </c>
      <c r="V196" s="76">
        <f t="shared" si="8"/>
        <v>4.9882167960709101E-2</v>
      </c>
      <c r="X196" s="33" cm="1">
        <f t="array" ref="X196">((X$102=$R196)*((13-$S196)/12)+(X$102&gt;$R196))*$Q196*INDEX($J$13:$O$39,$N196-1999,X$102-2020)</f>
        <v>0</v>
      </c>
      <c r="Y196" s="33" cm="1">
        <f t="array" ref="Y196">((Y$102=$R196)*((13-$S196)/12)+(Y$102&gt;$R196))*$Q196*INDEX($J$13:$O$39,$N196-1999,Y$102-2020)</f>
        <v>40041.315345041156</v>
      </c>
      <c r="Z196" s="33" cm="1">
        <f t="array" ref="Z196">((Z$102=$R196)*((13-$S196)/12)+(Z$102&gt;$R196))*$Q196*INDEX($J$13:$O$39,$N196-1999,Z$102-2020)</f>
        <v>76879.325462479013</v>
      </c>
      <c r="AA196" s="33" cm="1">
        <f t="array" ref="AA196">((AA$102=$R196)*((13-$S196)/12)+(AA$102&gt;$R196))*$Q196*INDEX($J$13:$O$39,$N196-1999,AA$102-2020)</f>
        <v>79185.705226353399</v>
      </c>
      <c r="AB196" s="33" cm="1">
        <f t="array" ref="AB196">((AB$102=$R196)*((13-$S196)/12)+(AB$102&gt;$R196))*$Q196*INDEX($J$13:$O$39,$N196-1999,AB$102-2020)</f>
        <v>82036.390614502132</v>
      </c>
      <c r="AC196" s="33" cm="1">
        <f t="array" ref="AC196">((AC$102=$R196)*((13-$S196)/12)+(AC$102&gt;$R196))*$Q196*INDEX($J$13:$O$39,$N196-1999,AC$102-2020)</f>
        <v>84333.409551708188</v>
      </c>
    </row>
    <row r="197" spans="2:29" x14ac:dyDescent="0.2">
      <c r="B197" s="32">
        <f>'13. Input desinvesteringen'!B110</f>
        <v>94</v>
      </c>
      <c r="J197" s="32" t="str">
        <f>'13. Input desinvesteringen'!C110</f>
        <v>Transport</v>
      </c>
      <c r="K197" s="32" t="str">
        <f>'13. Input desinvesteringen'!D110</f>
        <v>HS</v>
      </c>
      <c r="L197" s="32" t="str">
        <f>'13. Input desinvesteringen'!E110</f>
        <v>Nee</v>
      </c>
      <c r="M197" s="32" t="str">
        <f>'13. Input desinvesteringen'!F110</f>
        <v>GAW ultimo 2000 Enexis</v>
      </c>
      <c r="N197" s="82">
        <f>'13. Input desinvesteringen'!G110</f>
        <v>2008</v>
      </c>
      <c r="O197" s="82"/>
      <c r="P197" s="82"/>
      <c r="Q197" s="32">
        <f>'13. Input desinvesteringen'!H110</f>
        <v>13342</v>
      </c>
      <c r="R197" s="82">
        <f>'13. Input desinvesteringen'!I110</f>
        <v>2022</v>
      </c>
      <c r="S197" s="32">
        <f>'13. Input desinvesteringen'!J110</f>
        <v>7</v>
      </c>
      <c r="U197" s="76">
        <f t="shared" si="7"/>
        <v>0.9501178320392909</v>
      </c>
      <c r="V197" s="76">
        <f t="shared" si="8"/>
        <v>4.9882167960709101E-2</v>
      </c>
      <c r="X197" s="33" cm="1">
        <f t="array" ref="X197">((X$102=$R197)*((13-$S197)/12)+(X$102&gt;$R197))*$Q197*INDEX($J$13:$O$39,$N197-1999,X$102-2020)</f>
        <v>0</v>
      </c>
      <c r="Y197" s="33" cm="1">
        <f t="array" ref="Y197">((Y$102=$R197)*((13-$S197)/12)+(Y$102&gt;$R197))*$Q197*INDEX($J$13:$O$39,$N197-1999,Y$102-2020)</f>
        <v>8466.2207607353084</v>
      </c>
      <c r="Z197" s="33" cm="1">
        <f t="array" ref="Z197">((Z$102=$R197)*((13-$S197)/12)+(Z$102&gt;$R197))*$Q197*INDEX($J$13:$O$39,$N197-1999,Z$102-2020)</f>
        <v>18964.334504047092</v>
      </c>
      <c r="AA197" s="33" cm="1">
        <f t="array" ref="AA197">((AA$102=$R197)*((13-$S197)/12)+(AA$102&gt;$R197))*$Q197*INDEX($J$13:$O$39,$N197-1999,AA$102-2020)</f>
        <v>19533.264539168507</v>
      </c>
      <c r="AB197" s="33" cm="1">
        <f t="array" ref="AB197">((AB$102=$R197)*((13-$S197)/12)+(AB$102&gt;$R197))*$Q197*INDEX($J$13:$O$39,$N197-1999,AB$102-2020)</f>
        <v>20236.462062578576</v>
      </c>
      <c r="AC197" s="33" cm="1">
        <f t="array" ref="AC197">((AC$102=$R197)*((13-$S197)/12)+(AC$102&gt;$R197))*$Q197*INDEX($J$13:$O$39,$N197-1999,AC$102-2020)</f>
        <v>20803.083000330775</v>
      </c>
    </row>
    <row r="198" spans="2:29" x14ac:dyDescent="0.2">
      <c r="B198" s="32">
        <f>'13. Input desinvesteringen'!B111</f>
        <v>95</v>
      </c>
      <c r="J198" s="32" t="str">
        <f>'13. Input desinvesteringen'!C111</f>
        <v>Transport</v>
      </c>
      <c r="K198" s="32" t="str">
        <f>'13. Input desinvesteringen'!D111</f>
        <v>HS</v>
      </c>
      <c r="L198" s="32" t="str">
        <f>'13. Input desinvesteringen'!E111</f>
        <v>Nee</v>
      </c>
      <c r="M198" s="32" t="str">
        <f>'13. Input desinvesteringen'!F111</f>
        <v>GAW ultimo 2000 Enexis</v>
      </c>
      <c r="N198" s="82">
        <f>'13. Input desinvesteringen'!G111</f>
        <v>2008</v>
      </c>
      <c r="O198" s="82"/>
      <c r="P198" s="82"/>
      <c r="Q198" s="32">
        <f>'13. Input desinvesteringen'!H111</f>
        <v>127471</v>
      </c>
      <c r="R198" s="82">
        <f>'13. Input desinvesteringen'!I111</f>
        <v>2022</v>
      </c>
      <c r="S198" s="32">
        <f>'13. Input desinvesteringen'!J111</f>
        <v>8</v>
      </c>
      <c r="U198" s="76">
        <f t="shared" si="7"/>
        <v>0.9501178320392909</v>
      </c>
      <c r="V198" s="76">
        <f t="shared" si="8"/>
        <v>4.9882167960709101E-2</v>
      </c>
      <c r="X198" s="33" cm="1">
        <f t="array" ref="X198">((X$102=$R198)*((13-$S198)/12)+(X$102&gt;$R198))*$Q198*INDEX($J$13:$O$39,$N198-1999,X$102-2020)</f>
        <v>0</v>
      </c>
      <c r="Y198" s="33" cm="1">
        <f t="array" ref="Y198">((Y$102=$R198)*((13-$S198)/12)+(Y$102&gt;$R198))*$Q198*INDEX($J$13:$O$39,$N198-1999,Y$102-2020)</f>
        <v>67406.037737451319</v>
      </c>
      <c r="Z198" s="33" cm="1">
        <f t="array" ref="Z198">((Z$102=$R198)*((13-$S198)/12)+(Z$102&gt;$R198))*$Q198*INDEX($J$13:$O$39,$N198-1999,Z$102-2020)</f>
        <v>181187.42943826914</v>
      </c>
      <c r="AA198" s="33" cm="1">
        <f t="array" ref="AA198">((AA$102=$R198)*((13-$S198)/12)+(AA$102&gt;$R198))*$Q198*INDEX($J$13:$O$39,$N198-1999,AA$102-2020)</f>
        <v>186623.05232141723</v>
      </c>
      <c r="AB198" s="33" cm="1">
        <f t="array" ref="AB198">((AB$102=$R198)*((13-$S198)/12)+(AB$102&gt;$R198))*$Q198*INDEX($J$13:$O$39,$N198-1999,AB$102-2020)</f>
        <v>193341.48220498828</v>
      </c>
      <c r="AC198" s="33" cm="1">
        <f t="array" ref="AC198">((AC$102=$R198)*((13-$S198)/12)+(AC$102&gt;$R198))*$Q198*INDEX($J$13:$O$39,$N198-1999,AC$102-2020)</f>
        <v>198755.04370672794</v>
      </c>
    </row>
    <row r="199" spans="2:29" x14ac:dyDescent="0.2">
      <c r="B199" s="32">
        <f>'13. Input desinvesteringen'!B112</f>
        <v>96</v>
      </c>
      <c r="J199" s="32" t="str">
        <f>'13. Input desinvesteringen'!C112</f>
        <v>Transport</v>
      </c>
      <c r="K199" s="32" t="str">
        <f>'13. Input desinvesteringen'!D112</f>
        <v>HS</v>
      </c>
      <c r="L199" s="32" t="str">
        <f>'13. Input desinvesteringen'!E112</f>
        <v>Nee</v>
      </c>
      <c r="M199" s="32" t="str">
        <f>'13. Input desinvesteringen'!F112</f>
        <v>GAW ultimo 2000 Enexis</v>
      </c>
      <c r="N199" s="82">
        <f>'13. Input desinvesteringen'!G112</f>
        <v>2008</v>
      </c>
      <c r="O199" s="82"/>
      <c r="P199" s="82"/>
      <c r="Q199" s="32">
        <f>'13. Input desinvesteringen'!H112</f>
        <v>70</v>
      </c>
      <c r="R199" s="82">
        <f>'13. Input desinvesteringen'!I112</f>
        <v>2022</v>
      </c>
      <c r="S199" s="32">
        <f>'13. Input desinvesteringen'!J112</f>
        <v>9</v>
      </c>
      <c r="U199" s="76">
        <f t="shared" si="7"/>
        <v>0.9501178320392909</v>
      </c>
      <c r="V199" s="76">
        <f t="shared" si="8"/>
        <v>4.9882167960709101E-2</v>
      </c>
      <c r="X199" s="33" cm="1">
        <f t="array" ref="X199">((X$102=$R199)*((13-$S199)/12)+(X$102&gt;$R199))*$Q199*INDEX($J$13:$O$39,$N199-1999,X$102-2020)</f>
        <v>0</v>
      </c>
      <c r="Y199" s="33" cm="1">
        <f t="array" ref="Y199">((Y$102=$R199)*((13-$S199)/12)+(Y$102&gt;$R199))*$Q199*INDEX($J$13:$O$39,$N199-1999,Y$102-2020)</f>
        <v>29.612524521634516</v>
      </c>
      <c r="Z199" s="33" cm="1">
        <f t="array" ref="Z199">((Z$102=$R199)*((13-$S199)/12)+(Z$102&gt;$R199))*$Q199*INDEX($J$13:$O$39,$N199-1999,Z$102-2020)</f>
        <v>99.498082392691984</v>
      </c>
      <c r="AA199" s="33" cm="1">
        <f t="array" ref="AA199">((AA$102=$R199)*((13-$S199)/12)+(AA$102&gt;$R199))*$Q199*INDEX($J$13:$O$39,$N199-1999,AA$102-2020)</f>
        <v>102.48302486447275</v>
      </c>
      <c r="AB199" s="33" cm="1">
        <f t="array" ref="AB199">((AB$102=$R199)*((13-$S199)/12)+(AB$102&gt;$R199))*$Q199*INDEX($J$13:$O$39,$N199-1999,AB$102-2020)</f>
        <v>106.17241375959378</v>
      </c>
      <c r="AC199" s="33" cm="1">
        <f t="array" ref="AC199">((AC$102=$R199)*((13-$S199)/12)+(AC$102&gt;$R199))*$Q199*INDEX($J$13:$O$39,$N199-1999,AC$102-2020)</f>
        <v>109.14524134486241</v>
      </c>
    </row>
    <row r="200" spans="2:29" x14ac:dyDescent="0.2">
      <c r="B200" s="32">
        <f>'13. Input desinvesteringen'!B113</f>
        <v>97</v>
      </c>
      <c r="J200" s="32" t="str">
        <f>'13. Input desinvesteringen'!C113</f>
        <v>Transport</v>
      </c>
      <c r="K200" s="32" t="str">
        <f>'13. Input desinvesteringen'!D113</f>
        <v>HS</v>
      </c>
      <c r="L200" s="32" t="str">
        <f>'13. Input desinvesteringen'!E113</f>
        <v>Nee</v>
      </c>
      <c r="M200" s="32" t="str">
        <f>'13. Input desinvesteringen'!F113</f>
        <v>GAW ultimo 2000 Enexis</v>
      </c>
      <c r="N200" s="82">
        <f>'13. Input desinvesteringen'!G113</f>
        <v>2008</v>
      </c>
      <c r="O200" s="82"/>
      <c r="P200" s="82"/>
      <c r="Q200" s="32">
        <f>'13. Input desinvesteringen'!H113</f>
        <v>22075</v>
      </c>
      <c r="R200" s="82">
        <f>'13. Input desinvesteringen'!I113</f>
        <v>2022</v>
      </c>
      <c r="S200" s="32">
        <f>'13. Input desinvesteringen'!J113</f>
        <v>10</v>
      </c>
      <c r="U200" s="76">
        <f t="shared" si="7"/>
        <v>0.9501178320392909</v>
      </c>
      <c r="V200" s="76">
        <f t="shared" si="8"/>
        <v>4.9882167960709101E-2</v>
      </c>
      <c r="X200" s="33" cm="1">
        <f t="array" ref="X200">((X$102=$R200)*((13-$S200)/12)+(X$102&gt;$R200))*$Q200*INDEX($J$13:$O$39,$N200-1999,X$102-2020)</f>
        <v>0</v>
      </c>
      <c r="Y200" s="33" cm="1">
        <f t="array" ref="Y200">((Y$102=$R200)*((13-$S200)/12)+(Y$102&gt;$R200))*$Q200*INDEX($J$13:$O$39,$N200-1999,Y$102-2020)</f>
        <v>7003.8908444473072</v>
      </c>
      <c r="Z200" s="33" cm="1">
        <f t="array" ref="Z200">((Z$102=$R200)*((13-$S200)/12)+(Z$102&gt;$R200))*$Q200*INDEX($J$13:$O$39,$N200-1999,Z$102-2020)</f>
        <v>31377.430983123937</v>
      </c>
      <c r="AA200" s="33" cm="1">
        <f t="array" ref="AA200">((AA$102=$R200)*((13-$S200)/12)+(AA$102&gt;$R200))*$Q200*INDEX($J$13:$O$39,$N200-1999,AA$102-2020)</f>
        <v>32318.753912617656</v>
      </c>
      <c r="AB200" s="33" cm="1">
        <f t="array" ref="AB200">((AB$102=$R200)*((13-$S200)/12)+(AB$102&gt;$R200))*$Q200*INDEX($J$13:$O$39,$N200-1999,AB$102-2020)</f>
        <v>33482.2290534719</v>
      </c>
      <c r="AC200" s="33" cm="1">
        <f t="array" ref="AC200">((AC$102=$R200)*((13-$S200)/12)+(AC$102&gt;$R200))*$Q200*INDEX($J$13:$O$39,$N200-1999,AC$102-2020)</f>
        <v>34419.731466969111</v>
      </c>
    </row>
    <row r="201" spans="2:29" x14ac:dyDescent="0.2">
      <c r="B201" s="32">
        <f>'13. Input desinvesteringen'!B114</f>
        <v>98</v>
      </c>
      <c r="J201" s="32" t="str">
        <f>'13. Input desinvesteringen'!C114</f>
        <v>Transport</v>
      </c>
      <c r="K201" s="32" t="str">
        <f>'13. Input desinvesteringen'!D114</f>
        <v>HS</v>
      </c>
      <c r="L201" s="32" t="str">
        <f>'13. Input desinvesteringen'!E114</f>
        <v>Nee</v>
      </c>
      <c r="M201" s="32" t="str">
        <f>'13. Input desinvesteringen'!F114</f>
        <v>GAW ultimo 2000 Enexis</v>
      </c>
      <c r="N201" s="82">
        <f>'13. Input desinvesteringen'!G114</f>
        <v>2008</v>
      </c>
      <c r="O201" s="82"/>
      <c r="P201" s="82"/>
      <c r="Q201" s="32">
        <f>'13. Input desinvesteringen'!H114</f>
        <v>171111</v>
      </c>
      <c r="R201" s="82">
        <f>'13. Input desinvesteringen'!I114</f>
        <v>2022</v>
      </c>
      <c r="S201" s="32">
        <f>'13. Input desinvesteringen'!J114</f>
        <v>11</v>
      </c>
      <c r="U201" s="76">
        <f t="shared" si="7"/>
        <v>0.9501178320392909</v>
      </c>
      <c r="V201" s="76">
        <f t="shared" si="8"/>
        <v>4.9882167960709101E-2</v>
      </c>
      <c r="X201" s="33" cm="1">
        <f t="array" ref="X201">((X$102=$R201)*((13-$S201)/12)+(X$102&gt;$R201))*$Q201*INDEX($J$13:$O$39,$N201-1999,X$102-2020)</f>
        <v>0</v>
      </c>
      <c r="Y201" s="33" cm="1">
        <f t="array" ref="Y201">((Y$102=$R201)*((13-$S201)/12)+(Y$102&gt;$R201))*$Q201*INDEX($J$13:$O$39,$N201-1999,Y$102-2020)</f>
        <v>36193.062024438601</v>
      </c>
      <c r="Z201" s="33" cm="1">
        <f t="array" ref="Z201">((Z$102=$R201)*((13-$S201)/12)+(Z$102&gt;$R201))*$Q201*INDEX($J$13:$O$39,$N201-1999,Z$102-2020)</f>
        <v>243217.37680422739</v>
      </c>
      <c r="AA201" s="33" cm="1">
        <f t="array" ref="AA201">((AA$102=$R201)*((13-$S201)/12)+(AA$102&gt;$R201))*$Q201*INDEX($J$13:$O$39,$N201-1999,AA$102-2020)</f>
        <v>250513.89810835425</v>
      </c>
      <c r="AB201" s="33" cm="1">
        <f t="array" ref="AB201">((AB$102=$R201)*((13-$S201)/12)+(AB$102&gt;$R201))*$Q201*INDEX($J$13:$O$39,$N201-1999,AB$102-2020)</f>
        <v>259532.39844025503</v>
      </c>
      <c r="AC201" s="33" cm="1">
        <f t="array" ref="AC201">((AC$102=$R201)*((13-$S201)/12)+(AC$102&gt;$R201))*$Q201*INDEX($J$13:$O$39,$N201-1999,AC$102-2020)</f>
        <v>266799.30559658218</v>
      </c>
    </row>
    <row r="202" spans="2:29" x14ac:dyDescent="0.2">
      <c r="B202" s="32">
        <f>'13. Input desinvesteringen'!B115</f>
        <v>99</v>
      </c>
      <c r="J202" s="32" t="str">
        <f>'13. Input desinvesteringen'!C115</f>
        <v>Transport</v>
      </c>
      <c r="K202" s="32" t="str">
        <f>'13. Input desinvesteringen'!D115</f>
        <v>HS</v>
      </c>
      <c r="L202" s="32" t="str">
        <f>'13. Input desinvesteringen'!E115</f>
        <v>Nee</v>
      </c>
      <c r="M202" s="32" t="str">
        <f>'13. Input desinvesteringen'!F115</f>
        <v>GAW ultimo 2000 Enexis</v>
      </c>
      <c r="N202" s="82">
        <f>'13. Input desinvesteringen'!G115</f>
        <v>2008</v>
      </c>
      <c r="O202" s="82"/>
      <c r="P202" s="82"/>
      <c r="Q202" s="32">
        <f>'13. Input desinvesteringen'!H115</f>
        <v>41608</v>
      </c>
      <c r="R202" s="82">
        <f>'13. Input desinvesteringen'!I115</f>
        <v>2022</v>
      </c>
      <c r="S202" s="32">
        <f>'13. Input desinvesteringen'!J115</f>
        <v>12</v>
      </c>
      <c r="U202" s="76">
        <f t="shared" si="7"/>
        <v>0.9501178320392909</v>
      </c>
      <c r="V202" s="76">
        <f t="shared" si="8"/>
        <v>4.9882167960709101E-2</v>
      </c>
      <c r="X202" s="33" cm="1">
        <f t="array" ref="X202">((X$102=$R202)*((13-$S202)/12)+(X$102&gt;$R202))*$Q202*INDEX($J$13:$O$39,$N202-1999,X$102-2020)</f>
        <v>0</v>
      </c>
      <c r="Y202" s="33" cm="1">
        <f t="array" ref="Y202">((Y$102=$R202)*((13-$S202)/12)+(Y$102&gt;$R202))*$Q202*INDEX($J$13:$O$39,$N202-1999,Y$102-2020)</f>
        <v>4400.4211439148894</v>
      </c>
      <c r="Z202" s="33" cm="1">
        <f t="array" ref="Z202">((Z$102=$R202)*((13-$S202)/12)+(Z$102&gt;$R202))*$Q202*INDEX($J$13:$O$39,$N202-1999,Z$102-2020)</f>
        <v>59141.660174216115</v>
      </c>
      <c r="AA202" s="33" cm="1">
        <f t="array" ref="AA202">((AA$102=$R202)*((13-$S202)/12)+(AA$102&gt;$R202))*$Q202*INDEX($J$13:$O$39,$N202-1999,AA$102-2020)</f>
        <v>60915.909979442607</v>
      </c>
      <c r="AB202" s="33" cm="1">
        <f t="array" ref="AB202">((AB$102=$R202)*((13-$S202)/12)+(AB$102&gt;$R202))*$Q202*INDEX($J$13:$O$39,$N202-1999,AB$102-2020)</f>
        <v>63108.882738702545</v>
      </c>
      <c r="AC202" s="33" cm="1">
        <f t="array" ref="AC202">((AC$102=$R202)*((13-$S202)/12)+(AC$102&gt;$R202))*$Q202*INDEX($J$13:$O$39,$N202-1999,AC$102-2020)</f>
        <v>64875.931455386213</v>
      </c>
    </row>
    <row r="203" spans="2:29" x14ac:dyDescent="0.2">
      <c r="B203" s="32">
        <f>'13. Input desinvesteringen'!B116</f>
        <v>100</v>
      </c>
      <c r="J203" s="32" t="str">
        <f>'13. Input desinvesteringen'!C116</f>
        <v>Transport</v>
      </c>
      <c r="K203" s="32" t="str">
        <f>'13. Input desinvesteringen'!D116</f>
        <v>HS</v>
      </c>
      <c r="L203" s="32" t="str">
        <f>'13. Input desinvesteringen'!E116</f>
        <v>Nee</v>
      </c>
      <c r="M203" s="32" t="str">
        <f>'13. Input desinvesteringen'!F116</f>
        <v>GAW ultimo 2000 Enexis</v>
      </c>
      <c r="N203" s="82">
        <f>'13. Input desinvesteringen'!G116</f>
        <v>2008</v>
      </c>
      <c r="O203" s="82"/>
      <c r="P203" s="82"/>
      <c r="Q203" s="32">
        <f>'13. Input desinvesteringen'!H116</f>
        <v>1022073</v>
      </c>
      <c r="R203" s="82">
        <f>'13. Input desinvesteringen'!I116</f>
        <v>2022</v>
      </c>
      <c r="S203" s="32">
        <f>'13. Input desinvesteringen'!J116</f>
        <v>13</v>
      </c>
      <c r="U203" s="76">
        <f t="shared" si="7"/>
        <v>0.9501178320392909</v>
      </c>
      <c r="V203" s="76">
        <f t="shared" si="8"/>
        <v>4.9882167960709101E-2</v>
      </c>
      <c r="X203" s="33" cm="1">
        <f t="array" ref="X203">((X$102=$R203)*((13-$S203)/12)+(X$102&gt;$R203))*$Q203*INDEX($J$13:$O$39,$N203-1999,X$102-2020)</f>
        <v>0</v>
      </c>
      <c r="Y203" s="33" cm="1">
        <f t="array" ref="Y203">((Y$102=$R203)*((13-$S203)/12)+(Y$102&gt;$R203))*$Q203*INDEX($J$13:$O$39,$N203-1999,Y$102-2020)</f>
        <v>0</v>
      </c>
      <c r="Z203" s="33" cm="1">
        <f t="array" ref="Z203">((Z$102=$R203)*((13-$S203)/12)+(Z$102&gt;$R203))*$Q203*INDEX($J$13:$O$39,$N203-1999,Z$102-2020)</f>
        <v>1452775.7652192267</v>
      </c>
      <c r="AA203" s="33" cm="1">
        <f t="array" ref="AA203">((AA$102=$R203)*((13-$S203)/12)+(AA$102&gt;$R203))*$Q203*INDEX($J$13:$O$39,$N203-1999,AA$102-2020)</f>
        <v>1496359.0381758038</v>
      </c>
      <c r="AB203" s="33" cm="1">
        <f t="array" ref="AB203">((AB$102=$R203)*((13-$S203)/12)+(AB$102&gt;$R203))*$Q203*INDEX($J$13:$O$39,$N203-1999,AB$102-2020)</f>
        <v>1550227.9635501327</v>
      </c>
      <c r="AC203" s="33" cm="1">
        <f t="array" ref="AC203">((AC$102=$R203)*((13-$S203)/12)+(AC$102&gt;$R203))*$Q203*INDEX($J$13:$O$39,$N203-1999,AC$102-2020)</f>
        <v>1593634.3465295364</v>
      </c>
    </row>
    <row r="204" spans="2:29" x14ac:dyDescent="0.2">
      <c r="B204" s="32">
        <f>'13. Input desinvesteringen'!B117</f>
        <v>101</v>
      </c>
      <c r="J204" s="32" t="str">
        <f>'13. Input desinvesteringen'!C117</f>
        <v>Transport</v>
      </c>
      <c r="K204" s="32" t="str">
        <f>'13. Input desinvesteringen'!D117</f>
        <v>HS</v>
      </c>
      <c r="L204" s="32" t="str">
        <f>'13. Input desinvesteringen'!E117</f>
        <v>Nee</v>
      </c>
      <c r="M204" s="32" t="str">
        <f>'13. Input desinvesteringen'!F117</f>
        <v>GAW ultimo 2000 Liander (overname: 2008)</v>
      </c>
      <c r="N204" s="82">
        <f>'13. Input desinvesteringen'!G117</f>
        <v>2008</v>
      </c>
      <c r="O204" s="82"/>
      <c r="P204" s="82"/>
      <c r="Q204" s="32">
        <f>'13. Input desinvesteringen'!H117</f>
        <v>312029</v>
      </c>
      <c r="R204" s="82">
        <f>'13. Input desinvesteringen'!I117</f>
        <v>2022</v>
      </c>
      <c r="S204" s="32">
        <f>'13. Input desinvesteringen'!J117</f>
        <v>1</v>
      </c>
      <c r="U204" s="76">
        <f t="shared" si="7"/>
        <v>0.9501178320392909</v>
      </c>
      <c r="V204" s="76">
        <f t="shared" si="8"/>
        <v>4.9882167960709101E-2</v>
      </c>
      <c r="X204" s="33" cm="1">
        <f t="array" ref="X204">((X$102=$R204)*((13-$S204)/12)+(X$102&gt;$R204))*$Q204*INDEX($J$13:$O$39,$N204-1999,X$102-2020)</f>
        <v>0</v>
      </c>
      <c r="Y204" s="33" cm="1">
        <f t="array" ref="Y204">((Y$102=$R204)*((13-$S204)/12)+(Y$102&gt;$R204))*$Q204*INDEX($J$13:$O$39,$N204-1999,Y$102-2020)</f>
        <v>395998.56059833273</v>
      </c>
      <c r="Z204" s="33" cm="1">
        <f t="array" ref="Z204">((Z$102=$R204)*((13-$S204)/12)+(Z$102&gt;$R204))*$Q204*INDEX($J$13:$O$39,$N204-1999,Z$102-2020)</f>
        <v>443518.38787013269</v>
      </c>
      <c r="AA204" s="33" cm="1">
        <f t="array" ref="AA204">((AA$102=$R204)*((13-$S204)/12)+(AA$102&gt;$R204))*$Q204*INDEX($J$13:$O$39,$N204-1999,AA$102-2020)</f>
        <v>456823.9395062367</v>
      </c>
      <c r="AB204" s="33" cm="1">
        <f t="array" ref="AB204">((AB$102=$R204)*((13-$S204)/12)+(AB$102&gt;$R204))*$Q204*INDEX($J$13:$O$39,$N204-1999,AB$102-2020)</f>
        <v>473269.60132846126</v>
      </c>
      <c r="AC204" s="33" cm="1">
        <f t="array" ref="AC204">((AC$102=$R204)*((13-$S204)/12)+(AC$102&gt;$R204))*$Q204*INDEX($J$13:$O$39,$N204-1999,AC$102-2020)</f>
        <v>486521.15016565815</v>
      </c>
    </row>
    <row r="205" spans="2:29" x14ac:dyDescent="0.2">
      <c r="B205" s="32">
        <f>'13. Input desinvesteringen'!B118</f>
        <v>102</v>
      </c>
      <c r="J205" s="32" t="str">
        <f>'13. Input desinvesteringen'!C118</f>
        <v>Transport</v>
      </c>
      <c r="K205" s="32" t="str">
        <f>'13. Input desinvesteringen'!D118</f>
        <v>HS</v>
      </c>
      <c r="L205" s="32" t="str">
        <f>'13. Input desinvesteringen'!E118</f>
        <v>Nee</v>
      </c>
      <c r="M205" s="32" t="str">
        <f>'13. Input desinvesteringen'!F118</f>
        <v>GAW ultimo 2000 Liander (overname: 2008)</v>
      </c>
      <c r="N205" s="82">
        <f>'13. Input desinvesteringen'!G118</f>
        <v>2008</v>
      </c>
      <c r="O205" s="82"/>
      <c r="P205" s="82"/>
      <c r="Q205" s="32">
        <f>'13. Input desinvesteringen'!H118</f>
        <v>9506</v>
      </c>
      <c r="R205" s="82">
        <f>'13. Input desinvesteringen'!I118</f>
        <v>2022</v>
      </c>
      <c r="S205" s="32">
        <f>'13. Input desinvesteringen'!J118</f>
        <v>2</v>
      </c>
      <c r="U205" s="76">
        <f t="shared" si="7"/>
        <v>0.9501178320392909</v>
      </c>
      <c r="V205" s="76">
        <f t="shared" si="8"/>
        <v>4.9882167960709101E-2</v>
      </c>
      <c r="X205" s="33" cm="1">
        <f t="array" ref="X205">((X$102=$R205)*((13-$S205)/12)+(X$102&gt;$R205))*$Q205*INDEX($J$13:$O$39,$N205-1999,X$102-2020)</f>
        <v>0</v>
      </c>
      <c r="Y205" s="33" cm="1">
        <f t="array" ref="Y205">((Y$102=$R205)*((13-$S205)/12)+(Y$102&gt;$R205))*$Q205*INDEX($J$13:$O$39,$N205-1999,Y$102-2020)</f>
        <v>11058.79728260441</v>
      </c>
      <c r="Z205" s="33" cm="1">
        <f t="array" ref="Z205">((Z$102=$R205)*((13-$S205)/12)+(Z$102&gt;$R205))*$Q205*INDEX($J$13:$O$39,$N205-1999,Z$102-2020)</f>
        <v>13511.839588927571</v>
      </c>
      <c r="AA205" s="33" cm="1">
        <f t="array" ref="AA205">((AA$102=$R205)*((13-$S205)/12)+(AA$102&gt;$R205))*$Q205*INDEX($J$13:$O$39,$N205-1999,AA$102-2020)</f>
        <v>13917.194776595399</v>
      </c>
      <c r="AB205" s="33" cm="1">
        <f t="array" ref="AB205">((AB$102=$R205)*((13-$S205)/12)+(AB$102&gt;$R205))*$Q205*INDEX($J$13:$O$39,$N205-1999,AB$102-2020)</f>
        <v>14418.213788552835</v>
      </c>
      <c r="AC205" s="33" cm="1">
        <f t="array" ref="AC205">((AC$102=$R205)*((13-$S205)/12)+(AC$102&gt;$R205))*$Q205*INDEX($J$13:$O$39,$N205-1999,AC$102-2020)</f>
        <v>14821.923774632314</v>
      </c>
    </row>
    <row r="206" spans="2:29" x14ac:dyDescent="0.2">
      <c r="B206" s="32">
        <f>'13. Input desinvesteringen'!B119</f>
        <v>103</v>
      </c>
      <c r="J206" s="32" t="str">
        <f>'13. Input desinvesteringen'!C119</f>
        <v>Transport</v>
      </c>
      <c r="K206" s="32" t="str">
        <f>'13. Input desinvesteringen'!D119</f>
        <v>HS</v>
      </c>
      <c r="L206" s="32" t="str">
        <f>'13. Input desinvesteringen'!E119</f>
        <v>Nee</v>
      </c>
      <c r="M206" s="32" t="str">
        <f>'13. Input desinvesteringen'!F119</f>
        <v>GAW ultimo 2000 Liander (overname: 2008)</v>
      </c>
      <c r="N206" s="82">
        <f>'13. Input desinvesteringen'!G119</f>
        <v>2008</v>
      </c>
      <c r="O206" s="82"/>
      <c r="P206" s="82"/>
      <c r="Q206" s="32">
        <f>'13. Input desinvesteringen'!H119</f>
        <v>122761</v>
      </c>
      <c r="R206" s="82">
        <f>'13. Input desinvesteringen'!I119</f>
        <v>2022</v>
      </c>
      <c r="S206" s="32">
        <f>'13. Input desinvesteringen'!J119</f>
        <v>5</v>
      </c>
      <c r="U206" s="76">
        <f t="shared" si="7"/>
        <v>0.9501178320392909</v>
      </c>
      <c r="V206" s="76">
        <f t="shared" si="8"/>
        <v>4.9882167960709101E-2</v>
      </c>
      <c r="X206" s="33" cm="1">
        <f t="array" ref="X206">((X$102=$R206)*((13-$S206)/12)+(X$102&gt;$R206))*$Q206*INDEX($J$13:$O$39,$N206-1999,X$102-2020)</f>
        <v>0</v>
      </c>
      <c r="Y206" s="33" cm="1">
        <f t="array" ref="Y206">((Y$102=$R206)*((13-$S206)/12)+(Y$102&gt;$R206))*$Q206*INDEX($J$13:$O$39,$N206-1999,Y$102-2020)</f>
        <v>103864.66065143928</v>
      </c>
      <c r="Z206" s="33" cm="1">
        <f t="array" ref="Z206">((Z$102=$R206)*((13-$S206)/12)+(Z$102&gt;$R206))*$Q206*INDEX($J$13:$O$39,$N206-1999,Z$102-2020)</f>
        <v>174492.629894418</v>
      </c>
      <c r="AA206" s="33" cm="1">
        <f t="array" ref="AA206">((AA$102=$R206)*((13-$S206)/12)+(AA$102&gt;$R206))*$Q206*INDEX($J$13:$O$39,$N206-1999,AA$102-2020)</f>
        <v>179727.40879125058</v>
      </c>
      <c r="AB206" s="33" cm="1">
        <f t="array" ref="AB206">((AB$102=$R206)*((13-$S206)/12)+(AB$102&gt;$R206))*$Q206*INDEX($J$13:$O$39,$N206-1999,AB$102-2020)</f>
        <v>186197.59550773559</v>
      </c>
      <c r="AC206" s="33" cm="1">
        <f t="array" ref="AC206">((AC$102=$R206)*((13-$S206)/12)+(AC$102&gt;$R206))*$Q206*INDEX($J$13:$O$39,$N206-1999,AC$102-2020)</f>
        <v>191411.1281819522</v>
      </c>
    </row>
    <row r="207" spans="2:29" x14ac:dyDescent="0.2">
      <c r="B207" s="32">
        <f>'13. Input desinvesteringen'!B120</f>
        <v>104</v>
      </c>
      <c r="J207" s="32" t="str">
        <f>'13. Input desinvesteringen'!C120</f>
        <v>Transport</v>
      </c>
      <c r="K207" s="32" t="str">
        <f>'13. Input desinvesteringen'!D120</f>
        <v>HS</v>
      </c>
      <c r="L207" s="32" t="str">
        <f>'13. Input desinvesteringen'!E120</f>
        <v>Nee</v>
      </c>
      <c r="M207" s="32" t="str">
        <f>'13. Input desinvesteringen'!F120</f>
        <v>GAW ultimo 2000 Liander (overname: 2008)</v>
      </c>
      <c r="N207" s="82">
        <f>'13. Input desinvesteringen'!G120</f>
        <v>2008</v>
      </c>
      <c r="O207" s="82"/>
      <c r="P207" s="82"/>
      <c r="Q207" s="32">
        <f>'13. Input desinvesteringen'!H120</f>
        <v>6307</v>
      </c>
      <c r="R207" s="82">
        <f>'13. Input desinvesteringen'!I120</f>
        <v>2022</v>
      </c>
      <c r="S207" s="32">
        <f>'13. Input desinvesteringen'!J120</f>
        <v>6</v>
      </c>
      <c r="U207" s="76">
        <f t="shared" si="7"/>
        <v>0.9501178320392909</v>
      </c>
      <c r="V207" s="76">
        <f t="shared" si="8"/>
        <v>4.9882167960709101E-2</v>
      </c>
      <c r="X207" s="33" cm="1">
        <f t="array" ref="X207">((X$102=$R207)*((13-$S207)/12)+(X$102&gt;$R207))*$Q207*INDEX($J$13:$O$39,$N207-1999,X$102-2020)</f>
        <v>0</v>
      </c>
      <c r="Y207" s="33" cm="1">
        <f t="array" ref="Y207">((Y$102=$R207)*((13-$S207)/12)+(Y$102&gt;$R207))*$Q207*INDEX($J$13:$O$39,$N207-1999,Y$102-2020)</f>
        <v>4669.1548039487225</v>
      </c>
      <c r="Z207" s="33" cm="1">
        <f t="array" ref="Z207">((Z$102=$R207)*((13-$S207)/12)+(Z$102&gt;$R207))*$Q207*INDEX($J$13:$O$39,$N207-1999,Z$102-2020)</f>
        <v>8964.7772235815482</v>
      </c>
      <c r="AA207" s="33" cm="1">
        <f t="array" ref="AA207">((AA$102=$R207)*((13-$S207)/12)+(AA$102&gt;$R207))*$Q207*INDEX($J$13:$O$39,$N207-1999,AA$102-2020)</f>
        <v>9233.7205402889958</v>
      </c>
      <c r="AB207" s="33" cm="1">
        <f t="array" ref="AB207">((AB$102=$R207)*((13-$S207)/12)+(AB$102&gt;$R207))*$Q207*INDEX($J$13:$O$39,$N207-1999,AB$102-2020)</f>
        <v>9566.1344797393995</v>
      </c>
      <c r="AC207" s="33" cm="1">
        <f t="array" ref="AC207">((AC$102=$R207)*((13-$S207)/12)+(AC$102&gt;$R207))*$Q207*INDEX($J$13:$O$39,$N207-1999,AC$102-2020)</f>
        <v>9833.9862451721037</v>
      </c>
    </row>
    <row r="208" spans="2:29" x14ac:dyDescent="0.2">
      <c r="B208" s="32">
        <f>'13. Input desinvesteringen'!B121</f>
        <v>105</v>
      </c>
      <c r="J208" s="32" t="str">
        <f>'13. Input desinvesteringen'!C121</f>
        <v>Transport</v>
      </c>
      <c r="K208" s="32" t="str">
        <f>'13. Input desinvesteringen'!D121</f>
        <v>HS</v>
      </c>
      <c r="L208" s="32" t="str">
        <f>'13. Input desinvesteringen'!E121</f>
        <v>Nee</v>
      </c>
      <c r="M208" s="32" t="str">
        <f>'13. Input desinvesteringen'!F121</f>
        <v>GAW ultimo 2000 Liander (overname: 2008)</v>
      </c>
      <c r="N208" s="82">
        <f>'13. Input desinvesteringen'!G121</f>
        <v>2008</v>
      </c>
      <c r="O208" s="82"/>
      <c r="P208" s="82"/>
      <c r="Q208" s="32">
        <f>'13. Input desinvesteringen'!H121</f>
        <v>46255</v>
      </c>
      <c r="R208" s="82">
        <f>'13. Input desinvesteringen'!I121</f>
        <v>2022</v>
      </c>
      <c r="S208" s="32">
        <f>'13. Input desinvesteringen'!J121</f>
        <v>9</v>
      </c>
      <c r="U208" s="76">
        <f t="shared" si="7"/>
        <v>0.9501178320392909</v>
      </c>
      <c r="V208" s="76">
        <f t="shared" si="8"/>
        <v>4.9882167960709101E-2</v>
      </c>
      <c r="X208" s="33" cm="1">
        <f t="array" ref="X208">((X$102=$R208)*((13-$S208)/12)+(X$102&gt;$R208))*$Q208*INDEX($J$13:$O$39,$N208-1999,X$102-2020)</f>
        <v>0</v>
      </c>
      <c r="Y208" s="33" cm="1">
        <f t="array" ref="Y208">((Y$102=$R208)*((13-$S208)/12)+(Y$102&gt;$R208))*$Q208*INDEX($J$13:$O$39,$N208-1999,Y$102-2020)</f>
        <v>19567.533167831494</v>
      </c>
      <c r="Z208" s="33" cm="1">
        <f t="array" ref="Z208">((Z$102=$R208)*((13-$S208)/12)+(Z$102&gt;$R208))*$Q208*INDEX($J$13:$O$39,$N208-1999,Z$102-2020)</f>
        <v>65746.911443913821</v>
      </c>
      <c r="AA208" s="33" cm="1">
        <f t="array" ref="AA208">((AA$102=$R208)*((13-$S208)/12)+(AA$102&gt;$R208))*$Q208*INDEX($J$13:$O$39,$N208-1999,AA$102-2020)</f>
        <v>67719.318787231241</v>
      </c>
      <c r="AB208" s="33" cm="1">
        <f t="array" ref="AB208">((AB$102=$R208)*((13-$S208)/12)+(AB$102&gt;$R208))*$Q208*INDEX($J$13:$O$39,$N208-1999,AB$102-2020)</f>
        <v>70157.214263571572</v>
      </c>
      <c r="AC208" s="33" cm="1">
        <f t="array" ref="AC208">((AC$102=$R208)*((13-$S208)/12)+(AC$102&gt;$R208))*$Q208*INDEX($J$13:$O$39,$N208-1999,AC$102-2020)</f>
        <v>72121.616262951575</v>
      </c>
    </row>
    <row r="209" spans="2:29" x14ac:dyDescent="0.2">
      <c r="B209" s="32">
        <f>'13. Input desinvesteringen'!B122</f>
        <v>106</v>
      </c>
      <c r="J209" s="32" t="str">
        <f>'13. Input desinvesteringen'!C122</f>
        <v>Transport</v>
      </c>
      <c r="K209" s="32" t="str">
        <f>'13. Input desinvesteringen'!D122</f>
        <v>HS</v>
      </c>
      <c r="L209" s="32" t="str">
        <f>'13. Input desinvesteringen'!E122</f>
        <v>Nee</v>
      </c>
      <c r="M209" s="32" t="str">
        <f>'13. Input desinvesteringen'!F122</f>
        <v>GAW ultimo 2000 Liander (overname: 2008)</v>
      </c>
      <c r="N209" s="82">
        <f>'13. Input desinvesteringen'!G122</f>
        <v>2008</v>
      </c>
      <c r="O209" s="82"/>
      <c r="P209" s="82"/>
      <c r="Q209" s="32">
        <f>'13. Input desinvesteringen'!H122</f>
        <v>58497</v>
      </c>
      <c r="R209" s="82">
        <f>'13. Input desinvesteringen'!I122</f>
        <v>2022</v>
      </c>
      <c r="S209" s="32">
        <f>'13. Input desinvesteringen'!J122</f>
        <v>10</v>
      </c>
      <c r="U209" s="76">
        <f t="shared" si="7"/>
        <v>0.9501178320392909</v>
      </c>
      <c r="V209" s="76">
        <f t="shared" si="8"/>
        <v>4.9882167960709101E-2</v>
      </c>
      <c r="X209" s="33" cm="1">
        <f t="array" ref="X209">((X$102=$R209)*((13-$S209)/12)+(X$102&gt;$R209))*$Q209*INDEX($J$13:$O$39,$N209-1999,X$102-2020)</f>
        <v>0</v>
      </c>
      <c r="Y209" s="33" cm="1">
        <f t="array" ref="Y209">((Y$102=$R209)*((13-$S209)/12)+(Y$102&gt;$R209))*$Q209*INDEX($J$13:$O$39,$N209-1999,Y$102-2020)</f>
        <v>18559.755502950582</v>
      </c>
      <c r="Z209" s="33" cm="1">
        <f t="array" ref="Z209">((Z$102=$R209)*((13-$S209)/12)+(Z$102&gt;$R209))*$Q209*INDEX($J$13:$O$39,$N209-1999,Z$102-2020)</f>
        <v>83147.704653218621</v>
      </c>
      <c r="AA209" s="33" cm="1">
        <f t="array" ref="AA209">((AA$102=$R209)*((13-$S209)/12)+(AA$102&gt;$R209))*$Q209*INDEX($J$13:$O$39,$N209-1999,AA$102-2020)</f>
        <v>85642.135792815185</v>
      </c>
      <c r="AB209" s="33" cm="1">
        <f t="array" ref="AB209">((AB$102=$R209)*((13-$S209)/12)+(AB$102&gt;$R209))*$Q209*INDEX($J$13:$O$39,$N209-1999,AB$102-2020)</f>
        <v>88725.252681356535</v>
      </c>
      <c r="AC209" s="33" cm="1">
        <f t="array" ref="AC209">((AC$102=$R209)*((13-$S209)/12)+(AC$102&gt;$R209))*$Q209*INDEX($J$13:$O$39,$N209-1999,AC$102-2020)</f>
        <v>91209.559756434523</v>
      </c>
    </row>
    <row r="210" spans="2:29" x14ac:dyDescent="0.2">
      <c r="B210" s="32">
        <f>'13. Input desinvesteringen'!B123</f>
        <v>107</v>
      </c>
      <c r="J210" s="32" t="str">
        <f>'13. Input desinvesteringen'!C123</f>
        <v>Transport</v>
      </c>
      <c r="K210" s="32" t="str">
        <f>'13. Input desinvesteringen'!D123</f>
        <v>HS</v>
      </c>
      <c r="L210" s="32" t="str">
        <f>'13. Input desinvesteringen'!E123</f>
        <v>Nee</v>
      </c>
      <c r="M210" s="32" t="str">
        <f>'13. Input desinvesteringen'!F123</f>
        <v>GAW ultimo 2000 Liander (overname: 2008)</v>
      </c>
      <c r="N210" s="82">
        <f>'13. Input desinvesteringen'!G123</f>
        <v>2008</v>
      </c>
      <c r="O210" s="82"/>
      <c r="P210" s="82"/>
      <c r="Q210" s="32">
        <f>'13. Input desinvesteringen'!H123</f>
        <v>326359</v>
      </c>
      <c r="R210" s="82">
        <f>'13. Input desinvesteringen'!I123</f>
        <v>2022</v>
      </c>
      <c r="S210" s="32">
        <f>'13. Input desinvesteringen'!J123</f>
        <v>11</v>
      </c>
      <c r="U210" s="76">
        <f t="shared" si="7"/>
        <v>0.9501178320392909</v>
      </c>
      <c r="V210" s="76">
        <f t="shared" si="8"/>
        <v>4.9882167960709101E-2</v>
      </c>
      <c r="X210" s="33" cm="1">
        <f t="array" ref="X210">((X$102=$R210)*((13-$S210)/12)+(X$102&gt;$R210))*$Q210*INDEX($J$13:$O$39,$N210-1999,X$102-2020)</f>
        <v>0</v>
      </c>
      <c r="Y210" s="33" cm="1">
        <f t="array" ref="Y210">((Y$102=$R210)*((13-$S210)/12)+(Y$102&gt;$R210))*$Q210*INDEX($J$13:$O$39,$N210-1999,Y$102-2020)</f>
        <v>69030.813502543708</v>
      </c>
      <c r="Z210" s="33" cm="1">
        <f t="array" ref="Z210">((Z$102=$R210)*((13-$S210)/12)+(Z$102&gt;$R210))*$Q210*INDEX($J$13:$O$39,$N210-1999,Z$102-2020)</f>
        <v>463887.06673709379</v>
      </c>
      <c r="AA210" s="33" cm="1">
        <f t="array" ref="AA210">((AA$102=$R210)*((13-$S210)/12)+(AA$102&gt;$R210))*$Q210*INDEX($J$13:$O$39,$N210-1999,AA$102-2020)</f>
        <v>477803.67873920663</v>
      </c>
      <c r="AB210" s="33" cm="1">
        <f t="array" ref="AB210">((AB$102=$R210)*((13-$S210)/12)+(AB$102&gt;$R210))*$Q210*INDEX($J$13:$O$39,$N210-1999,AB$102-2020)</f>
        <v>495004.61117381812</v>
      </c>
      <c r="AC210" s="33" cm="1">
        <f t="array" ref="AC210">((AC$102=$R210)*((13-$S210)/12)+(AC$102&gt;$R210))*$Q210*INDEX($J$13:$O$39,$N210-1999,AC$102-2020)</f>
        <v>508864.740286685</v>
      </c>
    </row>
    <row r="211" spans="2:29" x14ac:dyDescent="0.2">
      <c r="B211" s="32">
        <f>'13. Input desinvesteringen'!B124</f>
        <v>108</v>
      </c>
      <c r="J211" s="32" t="str">
        <f>'13. Input desinvesteringen'!C124</f>
        <v>Transport</v>
      </c>
      <c r="K211" s="32" t="str">
        <f>'13. Input desinvesteringen'!D124</f>
        <v>HS</v>
      </c>
      <c r="L211" s="32" t="str">
        <f>'13. Input desinvesteringen'!E124</f>
        <v>Nee</v>
      </c>
      <c r="M211" s="32" t="str">
        <f>'13. Input desinvesteringen'!F124</f>
        <v>GAW ultimo 2000 Liander (overname: 2008)</v>
      </c>
      <c r="N211" s="82">
        <f>'13. Input desinvesteringen'!G124</f>
        <v>2008</v>
      </c>
      <c r="O211" s="82"/>
      <c r="P211" s="82"/>
      <c r="Q211" s="32">
        <f>'13. Input desinvesteringen'!H124</f>
        <v>319986</v>
      </c>
      <c r="R211" s="82">
        <f>'13. Input desinvesteringen'!I124</f>
        <v>2022</v>
      </c>
      <c r="S211" s="32">
        <f>'13. Input desinvesteringen'!J124</f>
        <v>12</v>
      </c>
      <c r="U211" s="76">
        <f t="shared" si="7"/>
        <v>0.9501178320392909</v>
      </c>
      <c r="V211" s="76">
        <f t="shared" si="8"/>
        <v>4.9882167960709101E-2</v>
      </c>
      <c r="X211" s="33" cm="1">
        <f t="array" ref="X211">((X$102=$R211)*((13-$S211)/12)+(X$102&gt;$R211))*$Q211*INDEX($J$13:$O$39,$N211-1999,X$102-2020)</f>
        <v>0</v>
      </c>
      <c r="Y211" s="33" cm="1">
        <f t="array" ref="Y211">((Y$102=$R211)*((13-$S211)/12)+(Y$102&gt;$R211))*$Q211*INDEX($J$13:$O$39,$N211-1999,Y$102-2020)</f>
        <v>33841.404541356227</v>
      </c>
      <c r="Z211" s="33" cm="1">
        <f t="array" ref="Z211">((Z$102=$R211)*((13-$S211)/12)+(Z$102&gt;$R211))*$Q211*INDEX($J$13:$O$39,$N211-1999,Z$102-2020)</f>
        <v>454828.4770358277</v>
      </c>
      <c r="AA211" s="33" cm="1">
        <f t="array" ref="AA211">((AA$102=$R211)*((13-$S211)/12)+(AA$102&gt;$R211))*$Q211*INDEX($J$13:$O$39,$N211-1999,AA$102-2020)</f>
        <v>468473.33134690253</v>
      </c>
      <c r="AB211" s="33" cm="1">
        <f t="array" ref="AB211">((AB$102=$R211)*((13-$S211)/12)+(AB$102&gt;$R211))*$Q211*INDEX($J$13:$O$39,$N211-1999,AB$102-2020)</f>
        <v>485338.37127539108</v>
      </c>
      <c r="AC211" s="33" cm="1">
        <f t="array" ref="AC211">((AC$102=$R211)*((13-$S211)/12)+(AC$102&gt;$R211))*$Q211*INDEX($J$13:$O$39,$N211-1999,AC$102-2020)</f>
        <v>498927.84567110206</v>
      </c>
    </row>
    <row r="212" spans="2:29" x14ac:dyDescent="0.2">
      <c r="B212" s="32">
        <f>'13. Input desinvesteringen'!B125</f>
        <v>109</v>
      </c>
      <c r="J212" s="32" t="str">
        <f>'13. Input desinvesteringen'!C125</f>
        <v>Transport</v>
      </c>
      <c r="K212" s="32" t="str">
        <f>'13. Input desinvesteringen'!D125</f>
        <v>HS</v>
      </c>
      <c r="L212" s="32" t="str">
        <f>'13. Input desinvesteringen'!E125</f>
        <v>Nee</v>
      </c>
      <c r="M212" s="32" t="str">
        <f>'13. Input desinvesteringen'!F125</f>
        <v>GAW ultimo 2000 Liander (overname: 2008)</v>
      </c>
      <c r="N212" s="82">
        <f>'13. Input desinvesteringen'!G125</f>
        <v>2008</v>
      </c>
      <c r="O212" s="82"/>
      <c r="P212" s="82"/>
      <c r="Q212" s="32">
        <f>'13. Input desinvesteringen'!H125</f>
        <v>1002659</v>
      </c>
      <c r="R212" s="82">
        <f>'13. Input desinvesteringen'!I125</f>
        <v>2022</v>
      </c>
      <c r="S212" s="32">
        <f>'13. Input desinvesteringen'!J125</f>
        <v>13</v>
      </c>
      <c r="U212" s="76">
        <f t="shared" si="7"/>
        <v>0.9501178320392909</v>
      </c>
      <c r="V212" s="76">
        <f t="shared" si="8"/>
        <v>4.9882167960709101E-2</v>
      </c>
      <c r="X212" s="33" cm="1">
        <f t="array" ref="X212">((X$102=$R212)*((13-$S212)/12)+(X$102&gt;$R212))*$Q212*INDEX($J$13:$O$39,$N212-1999,X$102-2020)</f>
        <v>0</v>
      </c>
      <c r="Y212" s="33" cm="1">
        <f t="array" ref="Y212">((Y$102=$R212)*((13-$S212)/12)+(Y$102&gt;$R212))*$Q212*INDEX($J$13:$O$39,$N212-1999,Y$102-2020)</f>
        <v>0</v>
      </c>
      <c r="Z212" s="33" cm="1">
        <f t="array" ref="Z212">((Z$102=$R212)*((13-$S212)/12)+(Z$102&gt;$R212))*$Q212*INDEX($J$13:$O$39,$N212-1999,Z$102-2020)</f>
        <v>1425180.6827682022</v>
      </c>
      <c r="AA212" s="33" cm="1">
        <f t="array" ref="AA212">((AA$102=$R212)*((13-$S212)/12)+(AA$102&gt;$R212))*$Q212*INDEX($J$13:$O$39,$N212-1999,AA$102-2020)</f>
        <v>1467936.1032512484</v>
      </c>
      <c r="AB212" s="33" cm="1">
        <f t="array" ref="AB212">((AB$102=$R212)*((13-$S212)/12)+(AB$102&gt;$R212))*$Q212*INDEX($J$13:$O$39,$N212-1999,AB$102-2020)</f>
        <v>1520781.8029682934</v>
      </c>
      <c r="AC212" s="33" cm="1">
        <f t="array" ref="AC212">((AC$102=$R212)*((13-$S212)/12)+(AC$102&gt;$R212))*$Q212*INDEX($J$13:$O$39,$N212-1999,AC$102-2020)</f>
        <v>1563363.6934514057</v>
      </c>
    </row>
    <row r="213" spans="2:29" x14ac:dyDescent="0.2">
      <c r="B213" s="32">
        <f>'13. Input desinvesteringen'!B126</f>
        <v>110</v>
      </c>
      <c r="J213" s="32" t="str">
        <f>'13. Input desinvesteringen'!C126</f>
        <v>Transport</v>
      </c>
      <c r="K213" s="32" t="str">
        <f>'13. Input desinvesteringen'!D126</f>
        <v>HS</v>
      </c>
      <c r="L213" s="32" t="str">
        <f>'13. Input desinvesteringen'!E126</f>
        <v>Nee</v>
      </c>
      <c r="M213" s="32" t="str">
        <f>'13. Input desinvesteringen'!F126</f>
        <v>GAW ultimo 2000 Stedin - HS Utrecht (ENBU)</v>
      </c>
      <c r="N213" s="82">
        <f>'13. Input desinvesteringen'!G126</f>
        <v>2015</v>
      </c>
      <c r="O213" s="82"/>
      <c r="P213" s="82"/>
      <c r="Q213" s="32">
        <f>'13. Input desinvesteringen'!H126</f>
        <v>60860</v>
      </c>
      <c r="R213" s="82">
        <f>'13. Input desinvesteringen'!I126</f>
        <v>2022</v>
      </c>
      <c r="S213" s="32">
        <f>'13. Input desinvesteringen'!J126</f>
        <v>1</v>
      </c>
      <c r="U213" s="76">
        <f t="shared" si="7"/>
        <v>0.8732220164530794</v>
      </c>
      <c r="V213" s="76">
        <f t="shared" si="8"/>
        <v>0.1267779835469206</v>
      </c>
      <c r="X213" s="33" cm="1">
        <f t="array" ref="X213">((X$102=$R213)*((13-$S213)/12)+(X$102&gt;$R213))*$Q213*INDEX($J$13:$O$39,$N213-1999,X$102-2020)</f>
        <v>0</v>
      </c>
      <c r="Y213" s="33" cm="1">
        <f t="array" ref="Y213">((Y$102=$R213)*((13-$S213)/12)+(Y$102&gt;$R213))*$Q213*INDEX($J$13:$O$39,$N213-1999,Y$102-2020)</f>
        <v>67460.016115211358</v>
      </c>
      <c r="Z213" s="33" cm="1">
        <f t="array" ref="Z213">((Z$102=$R213)*((13-$S213)/12)+(Z$102&gt;$R213))*$Q213*INDEX($J$13:$O$39,$N213-1999,Z$102-2020)</f>
        <v>75555.218049036732</v>
      </c>
      <c r="AA213" s="33" cm="1">
        <f t="array" ref="AA213">((AA$102=$R213)*((13-$S213)/12)+(AA$102&gt;$R213))*$Q213*INDEX($J$13:$O$39,$N213-1999,AA$102-2020)</f>
        <v>77821.874590507825</v>
      </c>
      <c r="AB213" s="33" cm="1">
        <f t="array" ref="AB213">((AB$102=$R213)*((13-$S213)/12)+(AB$102&gt;$R213))*$Q213*INDEX($J$13:$O$39,$N213-1999,AB$102-2020)</f>
        <v>80623.462075766103</v>
      </c>
      <c r="AC213" s="33" cm="1">
        <f t="array" ref="AC213">((AC$102=$R213)*((13-$S213)/12)+(AC$102&gt;$R213))*$Q213*INDEX($J$13:$O$39,$N213-1999,AC$102-2020)</f>
        <v>82880.919013887571</v>
      </c>
    </row>
    <row r="214" spans="2:29" x14ac:dyDescent="0.2">
      <c r="B214" s="32">
        <f>'13. Input desinvesteringen'!B127</f>
        <v>111</v>
      </c>
      <c r="J214" s="32" t="str">
        <f>'13. Input desinvesteringen'!C127</f>
        <v>Transport</v>
      </c>
      <c r="K214" s="32" t="str">
        <f>'13. Input desinvesteringen'!D127</f>
        <v>HS</v>
      </c>
      <c r="L214" s="32" t="str">
        <f>'13. Input desinvesteringen'!E127</f>
        <v>Nee</v>
      </c>
      <c r="M214" s="32" t="str">
        <f>'13. Input desinvesteringen'!F127</f>
        <v>GAW ultimo 2000 Stedin - HS Utrecht (ENBU)</v>
      </c>
      <c r="N214" s="82">
        <f>'13. Input desinvesteringen'!G127</f>
        <v>2015</v>
      </c>
      <c r="O214" s="82"/>
      <c r="P214" s="82"/>
      <c r="Q214" s="32">
        <f>'13. Input desinvesteringen'!H127</f>
        <v>683852</v>
      </c>
      <c r="R214" s="82">
        <f>'13. Input desinvesteringen'!I127</f>
        <v>2022</v>
      </c>
      <c r="S214" s="32">
        <f>'13. Input desinvesteringen'!J127</f>
        <v>9</v>
      </c>
      <c r="U214" s="76">
        <f t="shared" si="7"/>
        <v>0.8732220164530794</v>
      </c>
      <c r="V214" s="76">
        <f t="shared" si="8"/>
        <v>0.1267779835469206</v>
      </c>
      <c r="X214" s="33" cm="1">
        <f t="array" ref="X214">((X$102=$R214)*((13-$S214)/12)+(X$102&gt;$R214))*$Q214*INDEX($J$13:$O$39,$N214-1999,X$102-2020)</f>
        <v>0</v>
      </c>
      <c r="Y214" s="33" cm="1">
        <f t="array" ref="Y214">((Y$102=$R214)*((13-$S214)/12)+(Y$102&gt;$R214))*$Q214*INDEX($J$13:$O$39,$N214-1999,Y$102-2020)</f>
        <v>252670.97677960081</v>
      </c>
      <c r="Z214" s="33" cm="1">
        <f t="array" ref="Z214">((Z$102=$R214)*((13-$S214)/12)+(Z$102&gt;$R214))*$Q214*INDEX($J$13:$O$39,$N214-1999,Z$102-2020)</f>
        <v>848974.48197945883</v>
      </c>
      <c r="AA214" s="33" cm="1">
        <f t="array" ref="AA214">((AA$102=$R214)*((13-$S214)/12)+(AA$102&gt;$R214))*$Q214*INDEX($J$13:$O$39,$N214-1999,AA$102-2020)</f>
        <v>874443.71643884259</v>
      </c>
      <c r="AB214" s="33" cm="1">
        <f t="array" ref="AB214">((AB$102=$R214)*((13-$S214)/12)+(AB$102&gt;$R214))*$Q214*INDEX($J$13:$O$39,$N214-1999,AB$102-2020)</f>
        <v>905923.69023064093</v>
      </c>
      <c r="AC214" s="33" cm="1">
        <f t="array" ref="AC214">((AC$102=$R214)*((13-$S214)/12)+(AC$102&gt;$R214))*$Q214*INDEX($J$13:$O$39,$N214-1999,AC$102-2020)</f>
        <v>931289.55355709896</v>
      </c>
    </row>
    <row r="215" spans="2:29" x14ac:dyDescent="0.2">
      <c r="B215" s="32">
        <f>'13. Input desinvesteringen'!B128</f>
        <v>112</v>
      </c>
      <c r="J215" s="32" t="str">
        <f>'13. Input desinvesteringen'!C128</f>
        <v>Transport</v>
      </c>
      <c r="K215" s="32" t="str">
        <f>'13. Input desinvesteringen'!D128</f>
        <v>HS</v>
      </c>
      <c r="L215" s="32" t="str">
        <f>'13. Input desinvesteringen'!E128</f>
        <v>Nee</v>
      </c>
      <c r="M215" s="32" t="str">
        <f>'13. Input desinvesteringen'!F128</f>
        <v>GAW ultimo 2000 Stedin - HS Utrecht (ENBU)</v>
      </c>
      <c r="N215" s="82">
        <f>'13. Input desinvesteringen'!G128</f>
        <v>2015</v>
      </c>
      <c r="O215" s="82"/>
      <c r="P215" s="82"/>
      <c r="Q215" s="32">
        <f>'13. Input desinvesteringen'!H128</f>
        <v>183363</v>
      </c>
      <c r="R215" s="82">
        <f>'13. Input desinvesteringen'!I128</f>
        <v>2022</v>
      </c>
      <c r="S215" s="32">
        <f>'13. Input desinvesteringen'!J128</f>
        <v>11</v>
      </c>
      <c r="U215" s="76">
        <f t="shared" si="7"/>
        <v>0.8732220164530794</v>
      </c>
      <c r="V215" s="76">
        <f t="shared" si="8"/>
        <v>0.1267779835469206</v>
      </c>
      <c r="X215" s="33" cm="1">
        <f t="array" ref="X215">((X$102=$R215)*((13-$S215)/12)+(X$102&gt;$R215))*$Q215*INDEX($J$13:$O$39,$N215-1999,X$102-2020)</f>
        <v>0</v>
      </c>
      <c r="Y215" s="33" cm="1">
        <f t="array" ref="Y215">((Y$102=$R215)*((13-$S215)/12)+(Y$102&gt;$R215))*$Q215*INDEX($J$13:$O$39,$N215-1999,Y$102-2020)</f>
        <v>33874.660244642073</v>
      </c>
      <c r="Z215" s="33" cm="1">
        <f t="array" ref="Z215">((Z$102=$R215)*((13-$S215)/12)+(Z$102&gt;$R215))*$Q215*INDEX($J$13:$O$39,$N215-1999,Z$102-2020)</f>
        <v>227637.71684399477</v>
      </c>
      <c r="AA215" s="33" cm="1">
        <f t="array" ref="AA215">((AA$102=$R215)*((13-$S215)/12)+(AA$102&gt;$R215))*$Q215*INDEX($J$13:$O$39,$N215-1999,AA$102-2020)</f>
        <v>234466.84834931462</v>
      </c>
      <c r="AB215" s="33" cm="1">
        <f t="array" ref="AB215">((AB$102=$R215)*((13-$S215)/12)+(AB$102&gt;$R215))*$Q215*INDEX($J$13:$O$39,$N215-1999,AB$102-2020)</f>
        <v>242907.65488988993</v>
      </c>
      <c r="AC215" s="33" cm="1">
        <f t="array" ref="AC215">((AC$102=$R215)*((13-$S215)/12)+(AC$102&gt;$R215))*$Q215*INDEX($J$13:$O$39,$N215-1999,AC$102-2020)</f>
        <v>249709.06922680687</v>
      </c>
    </row>
    <row r="216" spans="2:29" x14ac:dyDescent="0.2">
      <c r="B216" s="32">
        <f>'13. Input desinvesteringen'!B129</f>
        <v>113</v>
      </c>
      <c r="J216" s="32" t="str">
        <f>'13. Input desinvesteringen'!C129</f>
        <v>Transport</v>
      </c>
      <c r="K216" s="32" t="str">
        <f>'13. Input desinvesteringen'!D129</f>
        <v>HS</v>
      </c>
      <c r="L216" s="32" t="str">
        <f>'13. Input desinvesteringen'!E129</f>
        <v>Nee</v>
      </c>
      <c r="M216" s="32" t="str">
        <f>'13. Input desinvesteringen'!F129</f>
        <v>GAW ultimo 2000 TZH</v>
      </c>
      <c r="N216" s="82">
        <f>'13. Input desinvesteringen'!G129</f>
        <v>2000</v>
      </c>
      <c r="O216" s="82"/>
      <c r="P216" s="82"/>
      <c r="Q216" s="32">
        <f>'13. Input desinvesteringen'!H129</f>
        <v>293429</v>
      </c>
      <c r="R216" s="82">
        <f>'13. Input desinvesteringen'!I129</f>
        <v>2022</v>
      </c>
      <c r="S216" s="32">
        <f>'13. Input desinvesteringen'!J129</f>
        <v>6</v>
      </c>
      <c r="U216" s="76">
        <f t="shared" si="7"/>
        <v>0.9501178320392909</v>
      </c>
      <c r="V216" s="76">
        <f t="shared" si="8"/>
        <v>4.9882167960709101E-2</v>
      </c>
      <c r="X216" s="33" cm="1">
        <f t="array" ref="X216">((X$102=$R216)*((13-$S216)/12)+(X$102&gt;$R216))*$Q216*INDEX($J$13:$O$39,$N216-1999,X$102-2020)</f>
        <v>0</v>
      </c>
      <c r="Y216" s="33" cm="1">
        <f t="array" ref="Y216">((Y$102=$R216)*((13-$S216)/12)+(Y$102&gt;$R216))*$Q216*INDEX($J$13:$O$39,$N216-1999,Y$102-2020)</f>
        <v>259419.80613853285</v>
      </c>
      <c r="Z216" s="33" cm="1">
        <f t="array" ref="Z216">((Z$102=$R216)*((13-$S216)/12)+(Z$102&gt;$R216))*$Q216*INDEX($J$13:$O$39,$N216-1999,Z$102-2020)</f>
        <v>498086.02778598305</v>
      </c>
      <c r="AA216" s="33" cm="1">
        <f t="array" ref="AA216">((AA$102=$R216)*((13-$S216)/12)+(AA$102&gt;$R216))*$Q216*INDEX($J$13:$O$39,$N216-1999,AA$102-2020)</f>
        <v>513028.60861956258</v>
      </c>
      <c r="AB216" s="33" cm="1">
        <f t="array" ref="AB216">((AB$102=$R216)*((13-$S216)/12)+(AB$102&gt;$R216))*$Q216*INDEX($J$13:$O$39,$N216-1999,AB$102-2020)</f>
        <v>531497.63852986682</v>
      </c>
      <c r="AC216" s="33" cm="1">
        <f t="array" ref="AC216">((AC$102=$R216)*((13-$S216)/12)+(AC$102&gt;$R216))*$Q216*INDEX($J$13:$O$39,$N216-1999,AC$102-2020)</f>
        <v>546379.57240870316</v>
      </c>
    </row>
    <row r="217" spans="2:29" x14ac:dyDescent="0.2">
      <c r="B217" s="32">
        <f>'13. Input desinvesteringen'!B130</f>
        <v>114</v>
      </c>
      <c r="J217" s="32" t="str">
        <f>'13. Input desinvesteringen'!C130</f>
        <v>Transport</v>
      </c>
      <c r="K217" s="32" t="str">
        <f>'13. Input desinvesteringen'!D130</f>
        <v>HS</v>
      </c>
      <c r="L217" s="32" t="str">
        <f>'13. Input desinvesteringen'!E130</f>
        <v>Nee</v>
      </c>
      <c r="M217" s="32" t="str">
        <f>'13. Input desinvesteringen'!F130</f>
        <v>GAW ultimo 2000 TZH</v>
      </c>
      <c r="N217" s="82">
        <f>'13. Input desinvesteringen'!G130</f>
        <v>2000</v>
      </c>
      <c r="O217" s="82"/>
      <c r="P217" s="82"/>
      <c r="Q217" s="32">
        <f>'13. Input desinvesteringen'!H130</f>
        <v>2927891</v>
      </c>
      <c r="R217" s="82">
        <f>'13. Input desinvesteringen'!I130</f>
        <v>2022</v>
      </c>
      <c r="S217" s="32">
        <f>'13. Input desinvesteringen'!J130</f>
        <v>12</v>
      </c>
      <c r="U217" s="76">
        <f t="shared" si="7"/>
        <v>0.9501178320392909</v>
      </c>
      <c r="V217" s="76">
        <f t="shared" si="8"/>
        <v>4.9882167960709101E-2</v>
      </c>
      <c r="X217" s="33" cm="1">
        <f t="array" ref="X217">((X$102=$R217)*((13-$S217)/12)+(X$102&gt;$R217))*$Q217*INDEX($J$13:$O$39,$N217-1999,X$102-2020)</f>
        <v>0</v>
      </c>
      <c r="Y217" s="33" cm="1">
        <f t="array" ref="Y217">((Y$102=$R217)*((13-$S217)/12)+(Y$102&gt;$R217))*$Q217*INDEX($J$13:$O$39,$N217-1999,Y$102-2020)</f>
        <v>369791.53176249255</v>
      </c>
      <c r="Z217" s="33" cm="1">
        <f t="array" ref="Z217">((Z$102=$R217)*((13-$S217)/12)+(Z$102&gt;$R217))*$Q217*INDEX($J$13:$O$39,$N217-1999,Z$102-2020)</f>
        <v>4969998.1868879003</v>
      </c>
      <c r="AA217" s="33" cm="1">
        <f t="array" ref="AA217">((AA$102=$R217)*((13-$S217)/12)+(AA$102&gt;$R217))*$Q217*INDEX($J$13:$O$39,$N217-1999,AA$102-2020)</f>
        <v>5119098.1324945372</v>
      </c>
      <c r="AB217" s="33" cm="1">
        <f t="array" ref="AB217">((AB$102=$R217)*((13-$S217)/12)+(AB$102&gt;$R217))*$Q217*INDEX($J$13:$O$39,$N217-1999,AB$102-2020)</f>
        <v>5303385.665264341</v>
      </c>
      <c r="AC217" s="33" cm="1">
        <f t="array" ref="AC217">((AC$102=$R217)*((13-$S217)/12)+(AC$102&gt;$R217))*$Q217*INDEX($J$13:$O$39,$N217-1999,AC$102-2020)</f>
        <v>5451880.4638917428</v>
      </c>
    </row>
    <row r="218" spans="2:29" x14ac:dyDescent="0.2">
      <c r="B218" s="32">
        <f>'13. Input desinvesteringen'!B131</f>
        <v>115</v>
      </c>
      <c r="J218" s="32" t="str">
        <f>'13. Input desinvesteringen'!C131</f>
        <v>Transport</v>
      </c>
      <c r="K218" s="32" t="str">
        <f>'13. Input desinvesteringen'!D131</f>
        <v>HS</v>
      </c>
      <c r="L218" s="32" t="str">
        <f>'13. Input desinvesteringen'!E131</f>
        <v>Nee</v>
      </c>
      <c r="M218" s="32" t="str">
        <f>'13. Input desinvesteringen'!F131</f>
        <v>GAW ultimo 2000 TZH</v>
      </c>
      <c r="N218" s="82">
        <f>'13. Input desinvesteringen'!G131</f>
        <v>2000</v>
      </c>
      <c r="O218" s="82"/>
      <c r="P218" s="82"/>
      <c r="Q218" s="32">
        <f>'13. Input desinvesteringen'!H131</f>
        <v>10693273</v>
      </c>
      <c r="R218" s="82">
        <f>'13. Input desinvesteringen'!I131</f>
        <v>2022</v>
      </c>
      <c r="S218" s="32">
        <f>'13. Input desinvesteringen'!J131</f>
        <v>13</v>
      </c>
      <c r="U218" s="76">
        <f t="shared" si="7"/>
        <v>0.9501178320392909</v>
      </c>
      <c r="V218" s="76">
        <f t="shared" si="8"/>
        <v>4.9882167960709101E-2</v>
      </c>
      <c r="X218" s="33" cm="1">
        <f t="array" ref="X218">((X$102=$R218)*((13-$S218)/12)+(X$102&gt;$R218))*$Q218*INDEX($J$13:$O$39,$N218-1999,X$102-2020)</f>
        <v>0</v>
      </c>
      <c r="Y218" s="33" cm="1">
        <f t="array" ref="Y218">((Y$102=$R218)*((13-$S218)/12)+(Y$102&gt;$R218))*$Q218*INDEX($J$13:$O$39,$N218-1999,Y$102-2020)</f>
        <v>0</v>
      </c>
      <c r="Z218" s="33" cm="1">
        <f t="array" ref="Z218">((Z$102=$R218)*((13-$S218)/12)+(Z$102&gt;$R218))*$Q218*INDEX($J$13:$O$39,$N218-1999,Z$102-2020)</f>
        <v>18151477.436112661</v>
      </c>
      <c r="AA218" s="33" cm="1">
        <f t="array" ref="AA218">((AA$102=$R218)*((13-$S218)/12)+(AA$102&gt;$R218))*$Q218*INDEX($J$13:$O$39,$N218-1999,AA$102-2020)</f>
        <v>18696021.759196043</v>
      </c>
      <c r="AB218" s="33" cm="1">
        <f t="array" ref="AB218">((AB$102=$R218)*((13-$S218)/12)+(AB$102&gt;$R218))*$Q218*INDEX($J$13:$O$39,$N218-1999,AB$102-2020)</f>
        <v>19369078.542527102</v>
      </c>
      <c r="AC218" s="33" cm="1">
        <f t="array" ref="AC218">((AC$102=$R218)*((13-$S218)/12)+(AC$102&gt;$R218))*$Q218*INDEX($J$13:$O$39,$N218-1999,AC$102-2020)</f>
        <v>19911412.74171786</v>
      </c>
    </row>
    <row r="219" spans="2:29" x14ac:dyDescent="0.2">
      <c r="B219" s="32">
        <f>'13. Input desinvesteringen'!B132</f>
        <v>116</v>
      </c>
      <c r="J219" s="32" t="str">
        <f>'13. Input desinvesteringen'!C132</f>
        <v>Systeem</v>
      </c>
      <c r="K219" s="32" t="str">
        <f>'13. Input desinvesteringen'!D132</f>
        <v>EHS</v>
      </c>
      <c r="L219" s="32" t="str">
        <f>'13. Input desinvesteringen'!E132</f>
        <v>Nee</v>
      </c>
      <c r="M219" s="32" t="str">
        <f>'13. Input desinvesteringen'!F132</f>
        <v>(Proces)automatisering</v>
      </c>
      <c r="N219" s="82">
        <f>'13. Input desinvesteringen'!G132</f>
        <v>2013</v>
      </c>
      <c r="O219" s="82"/>
      <c r="P219" s="82"/>
      <c r="Q219" s="32">
        <f>'13. Input desinvesteringen'!H132</f>
        <v>1581961</v>
      </c>
      <c r="R219" s="82">
        <f>'13. Input desinvesteringen'!I132</f>
        <v>2022</v>
      </c>
      <c r="S219" s="32">
        <f>'13. Input desinvesteringen'!J132</f>
        <v>12</v>
      </c>
      <c r="U219" s="76">
        <f t="shared" si="7"/>
        <v>0</v>
      </c>
      <c r="V219" s="76">
        <f t="shared" si="8"/>
        <v>1</v>
      </c>
      <c r="X219" s="33" cm="1">
        <f t="array" ref="X219">((X$102=$R219)*((13-$S219)/12)+(X$102&gt;$R219))*$Q219*INDEX($J$13:$O$39,$N219-1999,X$102-2020)</f>
        <v>0</v>
      </c>
      <c r="Y219" s="33" cm="1">
        <f t="array" ref="Y219">((Y$102=$R219)*((13-$S219)/12)+(Y$102&gt;$R219))*$Q219*INDEX($J$13:$O$39,$N219-1999,Y$102-2020)</f>
        <v>151720.23531979005</v>
      </c>
      <c r="Z219" s="33" cm="1">
        <f t="array" ref="Z219">((Z$102=$R219)*((13-$S219)/12)+(Z$102&gt;$R219))*$Q219*INDEX($J$13:$O$39,$N219-1999,Z$102-2020)</f>
        <v>2039119.9626979791</v>
      </c>
      <c r="AA219" s="33" cm="1">
        <f t="array" ref="AA219">((AA$102=$R219)*((13-$S219)/12)+(AA$102&gt;$R219))*$Q219*INDEX($J$13:$O$39,$N219-1999,AA$102-2020)</f>
        <v>2100293.5615789182</v>
      </c>
      <c r="AB219" s="33" cm="1">
        <f t="array" ref="AB219">((AB$102=$R219)*((13-$S219)/12)+(AB$102&gt;$R219))*$Q219*INDEX($J$13:$O$39,$N219-1999,AB$102-2020)</f>
        <v>2175904.1297957595</v>
      </c>
      <c r="AC219" s="33" cm="1">
        <f t="array" ref="AC219">((AC$102=$R219)*((13-$S219)/12)+(AC$102&gt;$R219))*$Q219*INDEX($J$13:$O$39,$N219-1999,AC$102-2020)</f>
        <v>2236829.4454300408</v>
      </c>
    </row>
    <row r="220" spans="2:29" x14ac:dyDescent="0.2">
      <c r="B220" s="32">
        <f>'13. Input desinvesteringen'!B133</f>
        <v>117</v>
      </c>
      <c r="J220" s="32" t="str">
        <f>'13. Input desinvesteringen'!C133</f>
        <v>Systeem</v>
      </c>
      <c r="K220" s="32" t="str">
        <f>'13. Input desinvesteringen'!D133</f>
        <v>EHS</v>
      </c>
      <c r="L220" s="32" t="str">
        <f>'13. Input desinvesteringen'!E133</f>
        <v>Nee</v>
      </c>
      <c r="M220" s="32" t="str">
        <f>'13. Input desinvesteringen'!F133</f>
        <v>(Proces)automatisering</v>
      </c>
      <c r="N220" s="82">
        <f>'13. Input desinvesteringen'!G133</f>
        <v>2008</v>
      </c>
      <c r="O220" s="82"/>
      <c r="P220" s="82"/>
      <c r="Q220" s="32">
        <f>'13. Input desinvesteringen'!H133</f>
        <v>66672</v>
      </c>
      <c r="R220" s="82">
        <f>'13. Input desinvesteringen'!I133</f>
        <v>2022</v>
      </c>
      <c r="S220" s="32">
        <f>'13. Input desinvesteringen'!J133</f>
        <v>4</v>
      </c>
      <c r="U220" s="76">
        <f t="shared" si="7"/>
        <v>0</v>
      </c>
      <c r="V220" s="76">
        <f t="shared" si="8"/>
        <v>1</v>
      </c>
      <c r="X220" s="33" cm="1">
        <f t="array" ref="X220">((X$102=$R220)*((13-$S220)/12)+(X$102&gt;$R220))*$Q220*INDEX($J$13:$O$39,$N220-1999,X$102-2020)</f>
        <v>0</v>
      </c>
      <c r="Y220" s="33" cm="1">
        <f t="array" ref="Y220">((Y$102=$R220)*((13-$S220)/12)+(Y$102&gt;$R220))*$Q220*INDEX($J$13:$O$39,$N220-1999,Y$102-2020)</f>
        <v>63460.486121991962</v>
      </c>
      <c r="Z220" s="33" cm="1">
        <f t="array" ref="Z220">((Z$102=$R220)*((13-$S220)/12)+(Z$102&gt;$R220))*$Q220*INDEX($J$13:$O$39,$N220-1999,Z$102-2020)</f>
        <v>94767.659275508006</v>
      </c>
      <c r="AA220" s="33" cm="1">
        <f t="array" ref="AA220">((AA$102=$R220)*((13-$S220)/12)+(AA$102&gt;$R220))*$Q220*INDEX($J$13:$O$39,$N220-1999,AA$102-2020)</f>
        <v>97610.689053773254</v>
      </c>
      <c r="AB220" s="33" cm="1">
        <f t="array" ref="AB220">((AB$102=$R220)*((13-$S220)/12)+(AB$102&gt;$R220))*$Q220*INDEX($J$13:$O$39,$N220-1999,AB$102-2020)</f>
        <v>101124.67385970909</v>
      </c>
      <c r="AC220" s="33" cm="1">
        <f t="array" ref="AC220">((AC$102=$R220)*((13-$S220)/12)+(AC$102&gt;$R220))*$Q220*INDEX($J$13:$O$39,$N220-1999,AC$102-2020)</f>
        <v>103956.16472778095</v>
      </c>
    </row>
    <row r="221" spans="2:29" x14ac:dyDescent="0.2">
      <c r="B221" s="32">
        <f>'13. Input desinvesteringen'!B134</f>
        <v>118</v>
      </c>
      <c r="J221" s="32" t="str">
        <f>'13. Input desinvesteringen'!C134</f>
        <v>Transport</v>
      </c>
      <c r="K221" s="32" t="str">
        <f>'13. Input desinvesteringen'!D134</f>
        <v>EHS</v>
      </c>
      <c r="L221" s="32" t="str">
        <f>'13. Input desinvesteringen'!E134</f>
        <v>Nee</v>
      </c>
      <c r="M221" s="32" t="str">
        <f>'13. Input desinvesteringen'!F134</f>
        <v>(Proces)automatisering</v>
      </c>
      <c r="N221" s="82">
        <f>'13. Input desinvesteringen'!G134</f>
        <v>2008</v>
      </c>
      <c r="O221" s="82"/>
      <c r="P221" s="82"/>
      <c r="Q221" s="32">
        <f>'13. Input desinvesteringen'!H134</f>
        <v>222241</v>
      </c>
      <c r="R221" s="82">
        <f>'13. Input desinvesteringen'!I134</f>
        <v>2022</v>
      </c>
      <c r="S221" s="32">
        <f>'13. Input desinvesteringen'!J134</f>
        <v>4</v>
      </c>
      <c r="U221" s="76">
        <f t="shared" si="7"/>
        <v>0</v>
      </c>
      <c r="V221" s="76">
        <f t="shared" si="8"/>
        <v>1</v>
      </c>
      <c r="X221" s="33" cm="1">
        <f t="array" ref="X221">((X$102=$R221)*((13-$S221)/12)+(X$102&gt;$R221))*$Q221*INDEX($J$13:$O$39,$N221-1999,X$102-2020)</f>
        <v>0</v>
      </c>
      <c r="Y221" s="33" cm="1">
        <f t="array" ref="Y221">((Y$102=$R221)*((13-$S221)/12)+(Y$102&gt;$R221))*$Q221*INDEX($J$13:$O$39,$N221-1999,Y$102-2020)</f>
        <v>211535.90557111855</v>
      </c>
      <c r="Z221" s="33" cm="1">
        <f t="array" ref="Z221">((Z$102=$R221)*((13-$S221)/12)+(Z$102&gt;$R221))*$Q221*INDEX($J$13:$O$39,$N221-1999,Z$102-2020)</f>
        <v>315893.61898620368</v>
      </c>
      <c r="AA221" s="33" cm="1">
        <f t="array" ref="AA221">((AA$102=$R221)*((13-$S221)/12)+(AA$102&gt;$R221))*$Q221*INDEX($J$13:$O$39,$N221-1999,AA$102-2020)</f>
        <v>325370.42755578982</v>
      </c>
      <c r="AB221" s="33" cm="1">
        <f t="array" ref="AB221">((AB$102=$R221)*((13-$S221)/12)+(AB$102&gt;$R221))*$Q221*INDEX($J$13:$O$39,$N221-1999,AB$102-2020)</f>
        <v>337083.7629477983</v>
      </c>
      <c r="AC221" s="33" cm="1">
        <f t="array" ref="AC221">((AC$102=$R221)*((13-$S221)/12)+(AC$102&gt;$R221))*$Q221*INDEX($J$13:$O$39,$N221-1999,AC$102-2020)</f>
        <v>346522.10831033665</v>
      </c>
    </row>
    <row r="222" spans="2:29" x14ac:dyDescent="0.2">
      <c r="B222" s="32">
        <f>'13. Input desinvesteringen'!B135</f>
        <v>119</v>
      </c>
      <c r="J222" s="32" t="str">
        <f>'13. Input desinvesteringen'!C135</f>
        <v>Transport</v>
      </c>
      <c r="K222" s="32" t="str">
        <f>'13. Input desinvesteringen'!D135</f>
        <v>HS</v>
      </c>
      <c r="L222" s="32" t="str">
        <f>'13. Input desinvesteringen'!E135</f>
        <v>Nee</v>
      </c>
      <c r="M222" s="32" t="str">
        <f>'13. Input desinvesteringen'!F135</f>
        <v>(Proces)automatisering</v>
      </c>
      <c r="N222" s="82">
        <f>'13. Input desinvesteringen'!G135</f>
        <v>2008</v>
      </c>
      <c r="O222" s="82"/>
      <c r="P222" s="82"/>
      <c r="Q222" s="32">
        <f>'13. Input desinvesteringen'!H135</f>
        <v>155569</v>
      </c>
      <c r="R222" s="82">
        <f>'13. Input desinvesteringen'!I135</f>
        <v>2022</v>
      </c>
      <c r="S222" s="32">
        <f>'13. Input desinvesteringen'!J135</f>
        <v>4</v>
      </c>
      <c r="U222" s="76">
        <f t="shared" si="7"/>
        <v>0</v>
      </c>
      <c r="V222" s="76">
        <f t="shared" si="8"/>
        <v>1</v>
      </c>
      <c r="X222" s="33" cm="1">
        <f t="array" ref="X222">((X$102=$R222)*((13-$S222)/12)+(X$102&gt;$R222))*$Q222*INDEX($J$13:$O$39,$N222-1999,X$102-2020)</f>
        <v>0</v>
      </c>
      <c r="Y222" s="33" cm="1">
        <f t="array" ref="Y222">((Y$102=$R222)*((13-$S222)/12)+(Y$102&gt;$R222))*$Q222*INDEX($J$13:$O$39,$N222-1999,Y$102-2020)</f>
        <v>148075.41944912658</v>
      </c>
      <c r="Z222" s="33" cm="1">
        <f t="array" ref="Z222">((Z$102=$R222)*((13-$S222)/12)+(Z$102&gt;$R222))*$Q222*INDEX($J$13:$O$39,$N222-1999,Z$102-2020)</f>
        <v>221125.95971069569</v>
      </c>
      <c r="AA222" s="33" cm="1">
        <f t="array" ref="AA222">((AA$102=$R222)*((13-$S222)/12)+(AA$102&gt;$R222))*$Q222*INDEX($J$13:$O$39,$N222-1999,AA$102-2020)</f>
        <v>227759.73850201661</v>
      </c>
      <c r="AB222" s="33" cm="1">
        <f t="array" ref="AB222">((AB$102=$R222)*((13-$S222)/12)+(AB$102&gt;$R222))*$Q222*INDEX($J$13:$O$39,$N222-1999,AB$102-2020)</f>
        <v>235959.08908808921</v>
      </c>
      <c r="AC222" s="33" cm="1">
        <f t="array" ref="AC222">((AC$102=$R222)*((13-$S222)/12)+(AC$102&gt;$R222))*$Q222*INDEX($J$13:$O$39,$N222-1999,AC$102-2020)</f>
        <v>242565.94358255572</v>
      </c>
    </row>
    <row r="223" spans="2:29" x14ac:dyDescent="0.2">
      <c r="B223" s="32">
        <f>'13. Input desinvesteringen'!B136</f>
        <v>120</v>
      </c>
      <c r="J223" s="32" t="str">
        <f>'13. Input desinvesteringen'!C136</f>
        <v>Transport</v>
      </c>
      <c r="K223" s="32" t="str">
        <f>'13. Input desinvesteringen'!D136</f>
        <v>HS</v>
      </c>
      <c r="L223" s="32" t="str">
        <f>'13. Input desinvesteringen'!E136</f>
        <v>Nee</v>
      </c>
      <c r="M223" s="32" t="str">
        <f>'13. Input desinvesteringen'!F136</f>
        <v>Overige bedrijfsmiddelen</v>
      </c>
      <c r="N223" s="82">
        <f>'13. Input desinvesteringen'!G136</f>
        <v>2009</v>
      </c>
      <c r="O223" s="82"/>
      <c r="P223" s="82"/>
      <c r="Q223" s="32">
        <f>'13. Input desinvesteringen'!H136</f>
        <v>301918</v>
      </c>
      <c r="R223" s="82">
        <f>'13. Input desinvesteringen'!I136</f>
        <v>2022</v>
      </c>
      <c r="S223" s="32">
        <f>'13. Input desinvesteringen'!J136</f>
        <v>5</v>
      </c>
      <c r="U223" s="76">
        <f t="shared" si="7"/>
        <v>1</v>
      </c>
      <c r="V223" s="76">
        <f t="shared" si="8"/>
        <v>0</v>
      </c>
      <c r="X223" s="33" cm="1">
        <f t="array" ref="X223">((X$102=$R223)*((13-$S223)/12)+(X$102&gt;$R223))*$Q223*INDEX($J$13:$O$39,$N223-1999,X$102-2020)</f>
        <v>0</v>
      </c>
      <c r="Y223" s="33" cm="1">
        <f t="array" ref="Y223">((Y$102=$R223)*((13-$S223)/12)+(Y$102&gt;$R223))*$Q223*INDEX($J$13:$O$39,$N223-1999,Y$102-2020)</f>
        <v>247523.64835334587</v>
      </c>
      <c r="Z223" s="33" cm="1">
        <f t="array" ref="Z223">((Z$102=$R223)*((13-$S223)/12)+(Z$102&gt;$R223))*$Q223*INDEX($J$13:$O$39,$N223-1999,Z$102-2020)</f>
        <v>415839.7292336211</v>
      </c>
      <c r="AA223" s="33" cm="1">
        <f t="array" ref="AA223">((AA$102=$R223)*((13-$S223)/12)+(AA$102&gt;$R223))*$Q223*INDEX($J$13:$O$39,$N223-1999,AA$102-2020)</f>
        <v>428314.92111062974</v>
      </c>
      <c r="AB223" s="33" cm="1">
        <f t="array" ref="AB223">((AB$102=$R223)*((13-$S223)/12)+(AB$102&gt;$R223))*$Q223*INDEX($J$13:$O$39,$N223-1999,AB$102-2020)</f>
        <v>443734.25827061245</v>
      </c>
      <c r="AC223" s="33" cm="1">
        <f t="array" ref="AC223">((AC$102=$R223)*((13-$S223)/12)+(AC$102&gt;$R223))*$Q223*INDEX($J$13:$O$39,$N223-1999,AC$102-2020)</f>
        <v>456158.8175021896</v>
      </c>
    </row>
    <row r="224" spans="2:29" x14ac:dyDescent="0.2">
      <c r="B224" s="32">
        <f>'13. Input desinvesteringen'!B137</f>
        <v>121</v>
      </c>
      <c r="J224" s="32" t="str">
        <f>'13. Input desinvesteringen'!C137</f>
        <v>Systeem</v>
      </c>
      <c r="K224" s="32" t="str">
        <f>'13. Input desinvesteringen'!D137</f>
        <v>EHS</v>
      </c>
      <c r="L224" s="32" t="str">
        <f>'13. Input desinvesteringen'!E137</f>
        <v>Nee</v>
      </c>
      <c r="M224" s="32" t="str">
        <f>'13. Input desinvesteringen'!F137</f>
        <v>Computerapparatuur</v>
      </c>
      <c r="N224" s="82">
        <f>'13. Input desinvesteringen'!G137</f>
        <v>2015</v>
      </c>
      <c r="O224" s="82"/>
      <c r="P224" s="82"/>
      <c r="Q224" s="32">
        <f>'13. Input desinvesteringen'!H137</f>
        <v>125325</v>
      </c>
      <c r="R224" s="82">
        <f>'13. Input desinvesteringen'!I137</f>
        <v>2022</v>
      </c>
      <c r="S224" s="32">
        <f>'13. Input desinvesteringen'!J137</f>
        <v>12</v>
      </c>
      <c r="U224" s="76">
        <f t="shared" si="7"/>
        <v>0</v>
      </c>
      <c r="V224" s="76">
        <f t="shared" si="8"/>
        <v>1</v>
      </c>
      <c r="X224" s="33" cm="1">
        <f t="array" ref="X224">((X$102=$R224)*((13-$S224)/12)+(X$102&gt;$R224))*$Q224*INDEX($J$13:$O$39,$N224-1999,X$102-2020)</f>
        <v>0</v>
      </c>
      <c r="Y224" s="33" cm="1">
        <f t="array" ref="Y224">((Y$102=$R224)*((13-$S224)/12)+(Y$102&gt;$R224))*$Q224*INDEX($J$13:$O$39,$N224-1999,Y$102-2020)</f>
        <v>11576.331634952985</v>
      </c>
      <c r="Z224" s="33" cm="1">
        <f t="array" ref="Z224">((Z$102=$R224)*((13-$S224)/12)+(Z$102&gt;$R224))*$Q224*INDEX($J$13:$O$39,$N224-1999,Z$102-2020)</f>
        <v>155585.89717376811</v>
      </c>
      <c r="AA224" s="33" cm="1">
        <f t="array" ref="AA224">((AA$102=$R224)*((13-$S224)/12)+(AA$102&gt;$R224))*$Q224*INDEX($J$13:$O$39,$N224-1999,AA$102-2020)</f>
        <v>160253.47408898117</v>
      </c>
      <c r="AB224" s="33" cm="1">
        <f t="array" ref="AB224">((AB$102=$R224)*((13-$S224)/12)+(AB$102&gt;$R224))*$Q224*INDEX($J$13:$O$39,$N224-1999,AB$102-2020)</f>
        <v>166022.59915618447</v>
      </c>
      <c r="AC224" s="33" cm="1">
        <f t="array" ref="AC224">((AC$102=$R224)*((13-$S224)/12)+(AC$102&gt;$R224))*$Q224*INDEX($J$13:$O$39,$N224-1999,AC$102-2020)</f>
        <v>170671.23193255765</v>
      </c>
    </row>
    <row r="225" spans="2:29" x14ac:dyDescent="0.2">
      <c r="B225" s="32">
        <f>'13. Input desinvesteringen'!B138</f>
        <v>122</v>
      </c>
      <c r="J225" s="32" t="str">
        <f>'13. Input desinvesteringen'!C138</f>
        <v>Systeem</v>
      </c>
      <c r="K225" s="32" t="str">
        <f>'13. Input desinvesteringen'!D138</f>
        <v>EHS</v>
      </c>
      <c r="L225" s="32" t="str">
        <f>'13. Input desinvesteringen'!E138</f>
        <v>Nee</v>
      </c>
      <c r="M225" s="32" t="str">
        <f>'13. Input desinvesteringen'!F138</f>
        <v>Computerapparatuur</v>
      </c>
      <c r="N225" s="82">
        <f>'13. Input desinvesteringen'!G138</f>
        <v>2015</v>
      </c>
      <c r="O225" s="82"/>
      <c r="P225" s="82"/>
      <c r="Q225" s="32">
        <f>'13. Input desinvesteringen'!H138</f>
        <v>546382</v>
      </c>
      <c r="R225" s="82">
        <f>'13. Input desinvesteringen'!I138</f>
        <v>2022</v>
      </c>
      <c r="S225" s="32">
        <f>'13. Input desinvesteringen'!J138</f>
        <v>12</v>
      </c>
      <c r="U225" s="76">
        <f t="shared" si="7"/>
        <v>0</v>
      </c>
      <c r="V225" s="76">
        <f t="shared" si="8"/>
        <v>1</v>
      </c>
      <c r="X225" s="33" cm="1">
        <f t="array" ref="X225">((X$102=$R225)*((13-$S225)/12)+(X$102&gt;$R225))*$Q225*INDEX($J$13:$O$39,$N225-1999,X$102-2020)</f>
        <v>0</v>
      </c>
      <c r="Y225" s="33" cm="1">
        <f t="array" ref="Y225">((Y$102=$R225)*((13-$S225)/12)+(Y$102&gt;$R225))*$Q225*INDEX($J$13:$O$39,$N225-1999,Y$102-2020)</f>
        <v>50469.57296125179</v>
      </c>
      <c r="Z225" s="33" cm="1">
        <f t="array" ref="Z225">((Z$102=$R225)*((13-$S225)/12)+(Z$102&gt;$R225))*$Q225*INDEX($J$13:$O$39,$N225-1999,Z$102-2020)</f>
        <v>678311.06059922418</v>
      </c>
      <c r="AA225" s="33" cm="1">
        <f t="array" ref="AA225">((AA$102=$R225)*((13-$S225)/12)+(AA$102&gt;$R225))*$Q225*INDEX($J$13:$O$39,$N225-1999,AA$102-2020)</f>
        <v>698660.39241720096</v>
      </c>
      <c r="AB225" s="33" cm="1">
        <f t="array" ref="AB225">((AB$102=$R225)*((13-$S225)/12)+(AB$102&gt;$R225))*$Q225*INDEX($J$13:$O$39,$N225-1999,AB$102-2020)</f>
        <v>723812.16654422018</v>
      </c>
      <c r="AC225" s="33" cm="1">
        <f t="array" ref="AC225">((AC$102=$R225)*((13-$S225)/12)+(AC$102&gt;$R225))*$Q225*INDEX($J$13:$O$39,$N225-1999,AC$102-2020)</f>
        <v>744078.9072074584</v>
      </c>
    </row>
    <row r="226" spans="2:29" x14ac:dyDescent="0.2">
      <c r="B226" s="32">
        <f>'13. Input desinvesteringen'!B139</f>
        <v>123</v>
      </c>
      <c r="J226" s="32" t="str">
        <f>'13. Input desinvesteringen'!C139</f>
        <v>Systeem</v>
      </c>
      <c r="K226" s="32" t="str">
        <f>'13. Input desinvesteringen'!D139</f>
        <v>EHS</v>
      </c>
      <c r="L226" s="32" t="str">
        <f>'13. Input desinvesteringen'!E139</f>
        <v>Nee</v>
      </c>
      <c r="M226" s="32" t="str">
        <f>'13. Input desinvesteringen'!F139</f>
        <v>Computerapparatuur</v>
      </c>
      <c r="N226" s="82">
        <f>'13. Input desinvesteringen'!G139</f>
        <v>2017</v>
      </c>
      <c r="O226" s="82"/>
      <c r="P226" s="82"/>
      <c r="Q226" s="32">
        <f>'13. Input desinvesteringen'!H139</f>
        <v>368204</v>
      </c>
      <c r="R226" s="82">
        <f>'13. Input desinvesteringen'!I139</f>
        <v>2022</v>
      </c>
      <c r="S226" s="32">
        <f>'13. Input desinvesteringen'!J139</f>
        <v>12</v>
      </c>
      <c r="U226" s="76">
        <f t="shared" si="7"/>
        <v>0</v>
      </c>
      <c r="V226" s="76">
        <f t="shared" si="8"/>
        <v>1</v>
      </c>
      <c r="X226" s="33" cm="1">
        <f t="array" ref="X226">((X$102=$R226)*((13-$S226)/12)+(X$102&gt;$R226))*$Q226*INDEX($J$13:$O$39,$N226-1999,X$102-2020)</f>
        <v>0</v>
      </c>
      <c r="Y226" s="33" cm="1">
        <f t="array" ref="Y226">((Y$102=$R226)*((13-$S226)/12)+(Y$102&gt;$R226))*$Q226*INDEX($J$13:$O$39,$N226-1999,Y$102-2020)</f>
        <v>33673.905986217578</v>
      </c>
      <c r="Z226" s="33" cm="1">
        <f t="array" ref="Z226">((Z$102=$R226)*((13-$S226)/12)+(Z$102&gt;$R226))*$Q226*INDEX($J$13:$O$39,$N226-1999,Z$102-2020)</f>
        <v>452577.29645476438</v>
      </c>
      <c r="AA226" s="33" cm="1">
        <f t="array" ref="AA226">((AA$102=$R226)*((13-$S226)/12)+(AA$102&gt;$R226))*$Q226*INDEX($J$13:$O$39,$N226-1999,AA$102-2020)</f>
        <v>466154.6153484073</v>
      </c>
      <c r="AB226" s="33" cm="1">
        <f t="array" ref="AB226">((AB$102=$R226)*((13-$S226)/12)+(AB$102&gt;$R226))*$Q226*INDEX($J$13:$O$39,$N226-1999,AB$102-2020)</f>
        <v>482936.18150094996</v>
      </c>
      <c r="AC226" s="33" cm="1">
        <f t="array" ref="AC226">((AC$102=$R226)*((13-$S226)/12)+(AC$102&gt;$R226))*$Q226*INDEX($J$13:$O$39,$N226-1999,AC$102-2020)</f>
        <v>496458.39458297653</v>
      </c>
    </row>
    <row r="227" spans="2:29" x14ac:dyDescent="0.2">
      <c r="B227" s="32">
        <f>'13. Input desinvesteringen'!B140</f>
        <v>124</v>
      </c>
      <c r="J227" s="32" t="str">
        <f>'13. Input desinvesteringen'!C140</f>
        <v>Systeem</v>
      </c>
      <c r="K227" s="32" t="str">
        <f>'13. Input desinvesteringen'!D140</f>
        <v>EHS</v>
      </c>
      <c r="L227" s="32" t="str">
        <f>'13. Input desinvesteringen'!E140</f>
        <v>Nee</v>
      </c>
      <c r="M227" s="32" t="str">
        <f>'13. Input desinvesteringen'!F140</f>
        <v>Computerapparatuur</v>
      </c>
      <c r="N227" s="82">
        <f>'13. Input desinvesteringen'!G140</f>
        <v>2018</v>
      </c>
      <c r="O227" s="82"/>
      <c r="P227" s="82"/>
      <c r="Q227" s="32">
        <f>'13. Input desinvesteringen'!H140</f>
        <v>48570</v>
      </c>
      <c r="R227" s="82">
        <f>'13. Input desinvesteringen'!I140</f>
        <v>2022</v>
      </c>
      <c r="S227" s="32">
        <f>'13. Input desinvesteringen'!J140</f>
        <v>12</v>
      </c>
      <c r="U227" s="76">
        <f t="shared" si="7"/>
        <v>0</v>
      </c>
      <c r="V227" s="76">
        <f t="shared" si="8"/>
        <v>1</v>
      </c>
      <c r="X227" s="33" cm="1">
        <f t="array" ref="X227">((X$102=$R227)*((13-$S227)/12)+(X$102&gt;$R227))*$Q227*INDEX($J$13:$O$39,$N227-1999,X$102-2020)</f>
        <v>0</v>
      </c>
      <c r="Y227" s="33" cm="1">
        <f t="array" ref="Y227">((Y$102=$R227)*((13-$S227)/12)+(Y$102&gt;$R227))*$Q227*INDEX($J$13:$O$39,$N227-1999,Y$102-2020)</f>
        <v>4380.615559178239</v>
      </c>
      <c r="Z227" s="33" cm="1">
        <f t="array" ref="Z227">((Z$102=$R227)*((13-$S227)/12)+(Z$102&gt;$R227))*$Q227*INDEX($J$13:$O$39,$N227-1999,Z$102-2020)</f>
        <v>58875.473115355533</v>
      </c>
      <c r="AA227" s="33" cm="1">
        <f t="array" ref="AA227">((AA$102=$R227)*((13-$S227)/12)+(AA$102&gt;$R227))*$Q227*INDEX($J$13:$O$39,$N227-1999,AA$102-2020)</f>
        <v>60641.737308816206</v>
      </c>
      <c r="AB227" s="33" cm="1">
        <f t="array" ref="AB227">((AB$102=$R227)*((13-$S227)/12)+(AB$102&gt;$R227))*$Q227*INDEX($J$13:$O$39,$N227-1999,AB$102-2020)</f>
        <v>62824.83985193359</v>
      </c>
      <c r="AC227" s="33" cm="1">
        <f t="array" ref="AC227">((AC$102=$R227)*((13-$S227)/12)+(AC$102&gt;$R227))*$Q227*INDEX($J$13:$O$39,$N227-1999,AC$102-2020)</f>
        <v>64583.935367787737</v>
      </c>
    </row>
    <row r="228" spans="2:29" x14ac:dyDescent="0.2">
      <c r="B228" s="32">
        <f>'13. Input desinvesteringen'!B141</f>
        <v>125</v>
      </c>
      <c r="J228" s="32" t="str">
        <f>'13. Input desinvesteringen'!C141</f>
        <v>Transport</v>
      </c>
      <c r="K228" s="32" t="str">
        <f>'13. Input desinvesteringen'!D141</f>
        <v>EHS</v>
      </c>
      <c r="L228" s="32" t="str">
        <f>'13. Input desinvesteringen'!E141</f>
        <v>Nee</v>
      </c>
      <c r="M228" s="32" t="str">
        <f>'13. Input desinvesteringen'!F141</f>
        <v>Computerapparatuur</v>
      </c>
      <c r="N228" s="82">
        <f>'13. Input desinvesteringen'!G141</f>
        <v>2015</v>
      </c>
      <c r="O228" s="82"/>
      <c r="P228" s="82"/>
      <c r="Q228" s="32">
        <f>'13. Input desinvesteringen'!H141</f>
        <v>107074</v>
      </c>
      <c r="R228" s="82">
        <f>'13. Input desinvesteringen'!I141</f>
        <v>2022</v>
      </c>
      <c r="S228" s="32">
        <f>'13. Input desinvesteringen'!J141</f>
        <v>12</v>
      </c>
      <c r="U228" s="76">
        <f t="shared" si="7"/>
        <v>1</v>
      </c>
      <c r="V228" s="76">
        <f t="shared" si="8"/>
        <v>0</v>
      </c>
      <c r="X228" s="33" cm="1">
        <f t="array" ref="X228">((X$102=$R228)*((13-$S228)/12)+(X$102&gt;$R228))*$Q228*INDEX($J$13:$O$39,$N228-1999,X$102-2020)</f>
        <v>0</v>
      </c>
      <c r="Y228" s="33" cm="1">
        <f t="array" ref="Y228">((Y$102=$R228)*((13-$S228)/12)+(Y$102&gt;$R228))*$Q228*INDEX($J$13:$O$39,$N228-1999,Y$102-2020)</f>
        <v>9890.4778255013425</v>
      </c>
      <c r="Z228" s="33" cm="1">
        <f t="array" ref="Z228">((Z$102=$R228)*((13-$S228)/12)+(Z$102&gt;$R228))*$Q228*INDEX($J$13:$O$39,$N228-1999,Z$102-2020)</f>
        <v>132928.02197473808</v>
      </c>
      <c r="AA228" s="33" cm="1">
        <f t="array" ref="AA228">((AA$102=$R228)*((13-$S228)/12)+(AA$102&gt;$R228))*$Q228*INDEX($J$13:$O$39,$N228-1999,AA$102-2020)</f>
        <v>136915.8626339802</v>
      </c>
      <c r="AB228" s="33" cm="1">
        <f t="array" ref="AB228">((AB$102=$R228)*((13-$S228)/12)+(AB$102&gt;$R228))*$Q228*INDEX($J$13:$O$39,$N228-1999,AB$102-2020)</f>
        <v>141844.83368880348</v>
      </c>
      <c r="AC228" s="33" cm="1">
        <f t="array" ref="AC228">((AC$102=$R228)*((13-$S228)/12)+(AC$102&gt;$R228))*$Q228*INDEX($J$13:$O$39,$N228-1999,AC$102-2020)</f>
        <v>145816.48903209</v>
      </c>
    </row>
    <row r="229" spans="2:29" x14ac:dyDescent="0.2">
      <c r="B229" s="32">
        <f>'13. Input desinvesteringen'!B142</f>
        <v>126</v>
      </c>
      <c r="J229" s="32" t="str">
        <f>'13. Input desinvesteringen'!C142</f>
        <v>Transport</v>
      </c>
      <c r="K229" s="32" t="str">
        <f>'13. Input desinvesteringen'!D142</f>
        <v>EHS</v>
      </c>
      <c r="L229" s="32" t="str">
        <f>'13. Input desinvesteringen'!E142</f>
        <v>Nee</v>
      </c>
      <c r="M229" s="32" t="str">
        <f>'13. Input desinvesteringen'!F142</f>
        <v>Computerapparatuur</v>
      </c>
      <c r="N229" s="82">
        <f>'13. Input desinvesteringen'!G142</f>
        <v>2015</v>
      </c>
      <c r="O229" s="82"/>
      <c r="P229" s="82"/>
      <c r="Q229" s="32">
        <f>'13. Input desinvesteringen'!H142</f>
        <v>466812</v>
      </c>
      <c r="R229" s="82">
        <f>'13. Input desinvesteringen'!I142</f>
        <v>2022</v>
      </c>
      <c r="S229" s="32">
        <f>'13. Input desinvesteringen'!J142</f>
        <v>12</v>
      </c>
      <c r="U229" s="76">
        <f t="shared" si="7"/>
        <v>1</v>
      </c>
      <c r="V229" s="76">
        <f t="shared" si="8"/>
        <v>0</v>
      </c>
      <c r="X229" s="33" cm="1">
        <f t="array" ref="X229">((X$102=$R229)*((13-$S229)/12)+(X$102&gt;$R229))*$Q229*INDEX($J$13:$O$39,$N229-1999,X$102-2020)</f>
        <v>0</v>
      </c>
      <c r="Y229" s="33" cm="1">
        <f t="array" ref="Y229">((Y$102=$R229)*((13-$S229)/12)+(Y$102&gt;$R229))*$Q229*INDEX($J$13:$O$39,$N229-1999,Y$102-2020)</f>
        <v>43119.653087378196</v>
      </c>
      <c r="Z229" s="33" cm="1">
        <f t="array" ref="Z229">((Z$102=$R229)*((13-$S229)/12)+(Z$102&gt;$R229))*$Q229*INDEX($J$13:$O$39,$N229-1999,Z$102-2020)</f>
        <v>579528.13749436301</v>
      </c>
      <c r="AA229" s="33" cm="1">
        <f t="array" ref="AA229">((AA$102=$R229)*((13-$S229)/12)+(AA$102&gt;$R229))*$Q229*INDEX($J$13:$O$39,$N229-1999,AA$102-2020)</f>
        <v>596913.98161919392</v>
      </c>
      <c r="AB229" s="33" cm="1">
        <f t="array" ref="AB229">((AB$102=$R229)*((13-$S229)/12)+(AB$102&gt;$R229))*$Q229*INDEX($J$13:$O$39,$N229-1999,AB$102-2020)</f>
        <v>618402.8849574849</v>
      </c>
      <c r="AC229" s="33" cm="1">
        <f t="array" ref="AC229">((AC$102=$R229)*((13-$S229)/12)+(AC$102&gt;$R229))*$Q229*INDEX($J$13:$O$39,$N229-1999,AC$102-2020)</f>
        <v>635718.16573629447</v>
      </c>
    </row>
    <row r="230" spans="2:29" x14ac:dyDescent="0.2">
      <c r="B230" s="32">
        <f>'13. Input desinvesteringen'!B143</f>
        <v>127</v>
      </c>
      <c r="J230" s="32" t="str">
        <f>'13. Input desinvesteringen'!C143</f>
        <v>Transport</v>
      </c>
      <c r="K230" s="32" t="str">
        <f>'13. Input desinvesteringen'!D143</f>
        <v>EHS</v>
      </c>
      <c r="L230" s="32" t="str">
        <f>'13. Input desinvesteringen'!E143</f>
        <v>Nee</v>
      </c>
      <c r="M230" s="32" t="str">
        <f>'13. Input desinvesteringen'!F143</f>
        <v>Computerapparatuur</v>
      </c>
      <c r="N230" s="82">
        <f>'13. Input desinvesteringen'!G143</f>
        <v>2017</v>
      </c>
      <c r="O230" s="82"/>
      <c r="P230" s="82"/>
      <c r="Q230" s="32">
        <f>'13. Input desinvesteringen'!H143</f>
        <v>104070</v>
      </c>
      <c r="R230" s="82">
        <f>'13. Input desinvesteringen'!I143</f>
        <v>2022</v>
      </c>
      <c r="S230" s="32">
        <f>'13. Input desinvesteringen'!J143</f>
        <v>12</v>
      </c>
      <c r="U230" s="76">
        <f t="shared" si="7"/>
        <v>1</v>
      </c>
      <c r="V230" s="76">
        <f t="shared" si="8"/>
        <v>0</v>
      </c>
      <c r="X230" s="33" cm="1">
        <f t="array" ref="X230">((X$102=$R230)*((13-$S230)/12)+(X$102&gt;$R230))*$Q230*INDEX($J$13:$O$39,$N230-1999,X$102-2020)</f>
        <v>0</v>
      </c>
      <c r="Y230" s="33" cm="1">
        <f t="array" ref="Y230">((Y$102=$R230)*((13-$S230)/12)+(Y$102&gt;$R230))*$Q230*INDEX($J$13:$O$39,$N230-1999,Y$102-2020)</f>
        <v>9517.6679123139984</v>
      </c>
      <c r="Z230" s="33" cm="1">
        <f t="array" ref="Z230">((Z$102=$R230)*((13-$S230)/12)+(Z$102&gt;$R230))*$Q230*INDEX($J$13:$O$39,$N230-1999,Z$102-2020)</f>
        <v>127917.45674150017</v>
      </c>
      <c r="AA230" s="33" cm="1">
        <f t="array" ref="AA230">((AA$102=$R230)*((13-$S230)/12)+(AA$102&gt;$R230))*$Q230*INDEX($J$13:$O$39,$N230-1999,AA$102-2020)</f>
        <v>131754.98044374515</v>
      </c>
      <c r="AB230" s="33" cm="1">
        <f t="array" ref="AB230">((AB$102=$R230)*((13-$S230)/12)+(AB$102&gt;$R230))*$Q230*INDEX($J$13:$O$39,$N230-1999,AB$102-2020)</f>
        <v>136498.15973971999</v>
      </c>
      <c r="AC230" s="33" cm="1">
        <f t="array" ref="AC230">((AC$102=$R230)*((13-$S230)/12)+(AC$102&gt;$R230))*$Q230*INDEX($J$13:$O$39,$N230-1999,AC$102-2020)</f>
        <v>140320.10821243215</v>
      </c>
    </row>
    <row r="231" spans="2:29" x14ac:dyDescent="0.2">
      <c r="B231" s="32">
        <f>'13. Input desinvesteringen'!B144</f>
        <v>128</v>
      </c>
      <c r="J231" s="32" t="str">
        <f>'13. Input desinvesteringen'!C144</f>
        <v>Transport</v>
      </c>
      <c r="K231" s="32" t="str">
        <f>'13. Input desinvesteringen'!D144</f>
        <v>EHS</v>
      </c>
      <c r="L231" s="32" t="str">
        <f>'13. Input desinvesteringen'!E144</f>
        <v>Nee</v>
      </c>
      <c r="M231" s="32" t="str">
        <f>'13. Input desinvesteringen'!F144</f>
        <v>Computerapparatuur</v>
      </c>
      <c r="N231" s="82">
        <f>'13. Input desinvesteringen'!G144</f>
        <v>2018</v>
      </c>
      <c r="O231" s="82"/>
      <c r="P231" s="82"/>
      <c r="Q231" s="32">
        <f>'13. Input desinvesteringen'!H144</f>
        <v>75302</v>
      </c>
      <c r="R231" s="82">
        <f>'13. Input desinvesteringen'!I144</f>
        <v>2022</v>
      </c>
      <c r="S231" s="32">
        <f>'13. Input desinvesteringen'!J144</f>
        <v>12</v>
      </c>
      <c r="U231" s="76">
        <f t="shared" si="7"/>
        <v>1</v>
      </c>
      <c r="V231" s="76">
        <f t="shared" si="8"/>
        <v>0</v>
      </c>
      <c r="X231" s="33" cm="1">
        <f t="array" ref="X231">((X$102=$R231)*((13-$S231)/12)+(X$102&gt;$R231))*$Q231*INDEX($J$13:$O$39,$N231-1999,X$102-2020)</f>
        <v>0</v>
      </c>
      <c r="Y231" s="33" cm="1">
        <f t="array" ref="Y231">((Y$102=$R231)*((13-$S231)/12)+(Y$102&gt;$R231))*$Q231*INDEX($J$13:$O$39,$N231-1999,Y$102-2020)</f>
        <v>6791.6226649627279</v>
      </c>
      <c r="Z231" s="33" cm="1">
        <f t="array" ref="Z231">((Z$102=$R231)*((13-$S231)/12)+(Z$102&gt;$R231))*$Q231*INDEX($J$13:$O$39,$N231-1999,Z$102-2020)</f>
        <v>91279.408617099092</v>
      </c>
      <c r="AA231" s="33" cm="1">
        <f t="array" ref="AA231">((AA$102=$R231)*((13-$S231)/12)+(AA$102&gt;$R231))*$Q231*INDEX($J$13:$O$39,$N231-1999,AA$102-2020)</f>
        <v>94017.79087561206</v>
      </c>
      <c r="AB231" s="33" cm="1">
        <f t="array" ref="AB231">((AB$102=$R231)*((13-$S231)/12)+(AB$102&gt;$R231))*$Q231*INDEX($J$13:$O$39,$N231-1999,AB$102-2020)</f>
        <v>97402.431347134101</v>
      </c>
      <c r="AC231" s="33" cm="1">
        <f t="array" ref="AC231">((AC$102=$R231)*((13-$S231)/12)+(AC$102&gt;$R231))*$Q231*INDEX($J$13:$O$39,$N231-1999,AC$102-2020)</f>
        <v>100129.69942485387</v>
      </c>
    </row>
    <row r="232" spans="2:29" x14ac:dyDescent="0.2">
      <c r="B232" s="32">
        <f>'13. Input desinvesteringen'!B145</f>
        <v>129</v>
      </c>
      <c r="J232" s="32" t="str">
        <f>'13. Input desinvesteringen'!C145</f>
        <v>Transport</v>
      </c>
      <c r="K232" s="32" t="str">
        <f>'13. Input desinvesteringen'!D145</f>
        <v>HS</v>
      </c>
      <c r="L232" s="32" t="str">
        <f>'13. Input desinvesteringen'!E145</f>
        <v>Nee</v>
      </c>
      <c r="M232" s="32" t="str">
        <f>'13. Input desinvesteringen'!F145</f>
        <v>Computerapparatuur</v>
      </c>
      <c r="N232" s="82">
        <f>'13. Input desinvesteringen'!G145</f>
        <v>2015</v>
      </c>
      <c r="O232" s="82"/>
      <c r="P232" s="82"/>
      <c r="Q232" s="32">
        <f>'13. Input desinvesteringen'!H145</f>
        <v>375975</v>
      </c>
      <c r="R232" s="82">
        <f>'13. Input desinvesteringen'!I145</f>
        <v>2022</v>
      </c>
      <c r="S232" s="32">
        <f>'13. Input desinvesteringen'!J145</f>
        <v>12</v>
      </c>
      <c r="U232" s="76">
        <f t="shared" si="7"/>
        <v>1</v>
      </c>
      <c r="V232" s="76">
        <f t="shared" si="8"/>
        <v>0</v>
      </c>
      <c r="X232" s="33" cm="1">
        <f t="array" ref="X232">((X$102=$R232)*((13-$S232)/12)+(X$102&gt;$R232))*$Q232*INDEX($J$13:$O$39,$N232-1999,X$102-2020)</f>
        <v>0</v>
      </c>
      <c r="Y232" s="33" cm="1">
        <f t="array" ref="Y232">((Y$102=$R232)*((13-$S232)/12)+(Y$102&gt;$R232))*$Q232*INDEX($J$13:$O$39,$N232-1999,Y$102-2020)</f>
        <v>34728.994904858955</v>
      </c>
      <c r="Z232" s="33" cm="1">
        <f t="array" ref="Z232">((Z$102=$R232)*((13-$S232)/12)+(Z$102&gt;$R232))*$Q232*INDEX($J$13:$O$39,$N232-1999,Z$102-2020)</f>
        <v>466757.69152130437</v>
      </c>
      <c r="AA232" s="33" cm="1">
        <f t="array" ref="AA232">((AA$102=$R232)*((13-$S232)/12)+(AA$102&gt;$R232))*$Q232*INDEX($J$13:$O$39,$N232-1999,AA$102-2020)</f>
        <v>480760.4222669435</v>
      </c>
      <c r="AB232" s="33" cm="1">
        <f t="array" ref="AB232">((AB$102=$R232)*((13-$S232)/12)+(AB$102&gt;$R232))*$Q232*INDEX($J$13:$O$39,$N232-1999,AB$102-2020)</f>
        <v>498067.79746855347</v>
      </c>
      <c r="AC232" s="33" cm="1">
        <f t="array" ref="AC232">((AC$102=$R232)*((13-$S232)/12)+(AC$102&gt;$R232))*$Q232*INDEX($J$13:$O$39,$N232-1999,AC$102-2020)</f>
        <v>512013.69579767302</v>
      </c>
    </row>
    <row r="233" spans="2:29" x14ac:dyDescent="0.2">
      <c r="B233" s="32">
        <f>'13. Input desinvesteringen'!B146</f>
        <v>130</v>
      </c>
      <c r="J233" s="32" t="str">
        <f>'13. Input desinvesteringen'!C146</f>
        <v>Transport</v>
      </c>
      <c r="K233" s="32" t="str">
        <f>'13. Input desinvesteringen'!D146</f>
        <v>HS</v>
      </c>
      <c r="L233" s="32" t="str">
        <f>'13. Input desinvesteringen'!E146</f>
        <v>Nee</v>
      </c>
      <c r="M233" s="32" t="str">
        <f>'13. Input desinvesteringen'!F146</f>
        <v>Computerapparatuur</v>
      </c>
      <c r="N233" s="82">
        <f>'13. Input desinvesteringen'!G146</f>
        <v>2015</v>
      </c>
      <c r="O233" s="82"/>
      <c r="P233" s="82"/>
      <c r="Q233" s="32">
        <f>'13. Input desinvesteringen'!H146</f>
        <v>1639146</v>
      </c>
      <c r="R233" s="82">
        <f>'13. Input desinvesteringen'!I146</f>
        <v>2022</v>
      </c>
      <c r="S233" s="32">
        <f>'13. Input desinvesteringen'!J146</f>
        <v>12</v>
      </c>
      <c r="U233" s="76">
        <f t="shared" si="7"/>
        <v>1</v>
      </c>
      <c r="V233" s="76">
        <f t="shared" si="8"/>
        <v>0</v>
      </c>
      <c r="X233" s="33" cm="1">
        <f t="array" ref="X233">((X$102=$R233)*((13-$S233)/12)+(X$102&gt;$R233))*$Q233*INDEX($J$13:$O$39,$N233-1999,X$102-2020)</f>
        <v>0</v>
      </c>
      <c r="Y233" s="33" cm="1">
        <f t="array" ref="Y233">((Y$102=$R233)*((13-$S233)/12)+(Y$102&gt;$R233))*$Q233*INDEX($J$13:$O$39,$N233-1999,Y$102-2020)</f>
        <v>151408.71888375538</v>
      </c>
      <c r="Z233" s="33" cm="1">
        <f t="array" ref="Z233">((Z$102=$R233)*((13-$S233)/12)+(Z$102&gt;$R233))*$Q233*INDEX($J$13:$O$39,$N233-1999,Z$102-2020)</f>
        <v>2034933.1817976725</v>
      </c>
      <c r="AA233" s="33" cm="1">
        <f t="array" ref="AA233">((AA$102=$R233)*((13-$S233)/12)+(AA$102&gt;$R233))*$Q233*INDEX($J$13:$O$39,$N233-1999,AA$102-2020)</f>
        <v>2095981.1772516028</v>
      </c>
      <c r="AB233" s="33" cm="1">
        <f t="array" ref="AB233">((AB$102=$R233)*((13-$S233)/12)+(AB$102&gt;$R233))*$Q233*INDEX($J$13:$O$39,$N233-1999,AB$102-2020)</f>
        <v>2171436.4996326603</v>
      </c>
      <c r="AC233" s="33" cm="1">
        <f t="array" ref="AC233">((AC$102=$R233)*((13-$S233)/12)+(AC$102&gt;$R233))*$Q233*INDEX($J$13:$O$39,$N233-1999,AC$102-2020)</f>
        <v>2232236.7216223753</v>
      </c>
    </row>
    <row r="234" spans="2:29" x14ac:dyDescent="0.2">
      <c r="B234" s="32">
        <f>'13. Input desinvesteringen'!B147</f>
        <v>131</v>
      </c>
      <c r="J234" s="32" t="str">
        <f>'13. Input desinvesteringen'!C147</f>
        <v>Transport</v>
      </c>
      <c r="K234" s="32" t="str">
        <f>'13. Input desinvesteringen'!D147</f>
        <v>HS</v>
      </c>
      <c r="L234" s="32" t="str">
        <f>'13. Input desinvesteringen'!E147</f>
        <v>Nee</v>
      </c>
      <c r="M234" s="32" t="str">
        <f>'13. Input desinvesteringen'!F147</f>
        <v>Computerapparatuur</v>
      </c>
      <c r="N234" s="82">
        <f>'13. Input desinvesteringen'!G147</f>
        <v>2017</v>
      </c>
      <c r="O234" s="82"/>
      <c r="P234" s="82"/>
      <c r="Q234" s="32">
        <f>'13. Input desinvesteringen'!H147</f>
        <v>93324</v>
      </c>
      <c r="R234" s="82">
        <f>'13. Input desinvesteringen'!I147</f>
        <v>2022</v>
      </c>
      <c r="S234" s="32">
        <f>'13. Input desinvesteringen'!J147</f>
        <v>12</v>
      </c>
      <c r="U234" s="76">
        <f t="shared" si="7"/>
        <v>1</v>
      </c>
      <c r="V234" s="76">
        <f t="shared" si="8"/>
        <v>0</v>
      </c>
      <c r="X234" s="33" cm="1">
        <f t="array" ref="X234">((X$102=$R234)*((13-$S234)/12)+(X$102&gt;$R234))*$Q234*INDEX($J$13:$O$39,$N234-1999,X$102-2020)</f>
        <v>0</v>
      </c>
      <c r="Y234" s="33" cm="1">
        <f t="array" ref="Y234">((Y$102=$R234)*((13-$S234)/12)+(Y$102&gt;$R234))*$Q234*INDEX($J$13:$O$39,$N234-1999,Y$102-2020)</f>
        <v>8534.8980517804521</v>
      </c>
      <c r="Z234" s="33" cm="1">
        <f t="array" ref="Z234">((Z$102=$R234)*((13-$S234)/12)+(Z$102&gt;$R234))*$Q234*INDEX($J$13:$O$39,$N234-1999,Z$102-2020)</f>
        <v>114709.02981592929</v>
      </c>
      <c r="AA234" s="33" cm="1">
        <f t="array" ref="AA234">((AA$102=$R234)*((13-$S234)/12)+(AA$102&gt;$R234))*$Q234*INDEX($J$13:$O$39,$N234-1999,AA$102-2020)</f>
        <v>118150.30071040717</v>
      </c>
      <c r="AB234" s="33" cm="1">
        <f t="array" ref="AB234">((AB$102=$R234)*((13-$S234)/12)+(AB$102&gt;$R234))*$Q234*INDEX($J$13:$O$39,$N234-1999,AB$102-2020)</f>
        <v>122403.71153598183</v>
      </c>
      <c r="AC234" s="33" cm="1">
        <f t="array" ref="AC234">((AC$102=$R234)*((13-$S234)/12)+(AC$102&gt;$R234))*$Q234*INDEX($J$13:$O$39,$N234-1999,AC$102-2020)</f>
        <v>125831.01545898932</v>
      </c>
    </row>
    <row r="235" spans="2:29" x14ac:dyDescent="0.2">
      <c r="B235" s="32">
        <f>'13. Input desinvesteringen'!B148</f>
        <v>132</v>
      </c>
      <c r="J235" s="32" t="str">
        <f>'13. Input desinvesteringen'!C148</f>
        <v>Transport</v>
      </c>
      <c r="K235" s="32" t="str">
        <f>'13. Input desinvesteringen'!D148</f>
        <v>HS</v>
      </c>
      <c r="L235" s="32" t="str">
        <f>'13. Input desinvesteringen'!E148</f>
        <v>Nee</v>
      </c>
      <c r="M235" s="32" t="str">
        <f>'13. Input desinvesteringen'!F148</f>
        <v>Computerapparatuur</v>
      </c>
      <c r="N235" s="82">
        <f>'13. Input desinvesteringen'!G148</f>
        <v>2018</v>
      </c>
      <c r="O235" s="82"/>
      <c r="P235" s="82"/>
      <c r="Q235" s="32">
        <f>'13. Input desinvesteringen'!H148</f>
        <v>252638</v>
      </c>
      <c r="R235" s="82">
        <f>'13. Input desinvesteringen'!I148</f>
        <v>2022</v>
      </c>
      <c r="S235" s="32">
        <f>'13. Input desinvesteringen'!J148</f>
        <v>12</v>
      </c>
      <c r="U235" s="76">
        <f t="shared" si="7"/>
        <v>1</v>
      </c>
      <c r="V235" s="76">
        <f t="shared" si="8"/>
        <v>0</v>
      </c>
      <c r="X235" s="33" cm="1">
        <f t="array" ref="X235">((X$102=$R235)*((13-$S235)/12)+(X$102&gt;$R235))*$Q235*INDEX($J$13:$O$39,$N235-1999,X$102-2020)</f>
        <v>0</v>
      </c>
      <c r="Y235" s="33" cm="1">
        <f t="array" ref="Y235">((Y$102=$R235)*((13-$S235)/12)+(Y$102&gt;$R235))*$Q235*INDEX($J$13:$O$39,$N235-1999,Y$102-2020)</f>
        <v>22785.875100672674</v>
      </c>
      <c r="Z235" s="33" cm="1">
        <f t="array" ref="Z235">((Z$102=$R235)*((13-$S235)/12)+(Z$102&gt;$R235))*$Q235*INDEX($J$13:$O$39,$N235-1999,Z$102-2020)</f>
        <v>306242.16135304078</v>
      </c>
      <c r="AA235" s="33" cm="1">
        <f t="array" ref="AA235">((AA$102=$R235)*((13-$S235)/12)+(AA$102&gt;$R235))*$Q235*INDEX($J$13:$O$39,$N235-1999,AA$102-2020)</f>
        <v>315429.42619363207</v>
      </c>
      <c r="AB235" s="33" cm="1">
        <f t="array" ref="AB235">((AB$102=$R235)*((13-$S235)/12)+(AB$102&gt;$R235))*$Q235*INDEX($J$13:$O$39,$N235-1999,AB$102-2020)</f>
        <v>326784.88553660281</v>
      </c>
      <c r="AC235" s="33" cm="1">
        <f t="array" ref="AC235">((AC$102=$R235)*((13-$S235)/12)+(AC$102&gt;$R235))*$Q235*INDEX($J$13:$O$39,$N235-1999,AC$102-2020)</f>
        <v>335934.86233162769</v>
      </c>
    </row>
    <row r="236" spans="2:29" x14ac:dyDescent="0.2">
      <c r="B236" s="32">
        <f>'13. Input desinvesteringen'!B149</f>
        <v>133</v>
      </c>
      <c r="J236" s="32" t="str">
        <f>'13. Input desinvesteringen'!C149</f>
        <v>Transport</v>
      </c>
      <c r="K236" s="32" t="str">
        <f>'13. Input desinvesteringen'!D149</f>
        <v>EHS</v>
      </c>
      <c r="L236" s="32" t="str">
        <f>'13. Input desinvesteringen'!E149</f>
        <v>Nee</v>
      </c>
      <c r="M236" s="32" t="str">
        <f>'13. Input desinvesteringen'!F149</f>
        <v>Overige bedrijfsmiddelen</v>
      </c>
      <c r="N236" s="82">
        <f>'13. Input desinvesteringen'!G149</f>
        <v>2012</v>
      </c>
      <c r="O236" s="82"/>
      <c r="P236" s="82"/>
      <c r="Q236" s="32">
        <f>'13. Input desinvesteringen'!H149</f>
        <v>16703</v>
      </c>
      <c r="R236" s="82">
        <f>'13. Input desinvesteringen'!I149</f>
        <v>2022</v>
      </c>
      <c r="S236" s="32">
        <f>'13. Input desinvesteringen'!J149</f>
        <v>10</v>
      </c>
      <c r="U236" s="76">
        <f t="shared" ref="U236:U299" si="9">(J236="Transport")*(L236="Nee")*(VLOOKUP($M236,$B$64:$H$97,7,FALSE))</f>
        <v>1</v>
      </c>
      <c r="V236" s="76">
        <f t="shared" ref="V236:V299" si="10">1-U236</f>
        <v>0</v>
      </c>
      <c r="X236" s="33" cm="1">
        <f t="array" ref="X236">((X$102=$R236)*((13-$S236)/12)+(X$102&gt;$R236))*$Q236*INDEX($J$13:$O$39,$N236-1999,X$102-2020)</f>
        <v>0</v>
      </c>
      <c r="Y236" s="33" cm="1">
        <f t="array" ref="Y236">((Y$102=$R236)*((13-$S236)/12)+(Y$102&gt;$R236))*$Q236*INDEX($J$13:$O$39,$N236-1999,Y$102-2020)</f>
        <v>4916.3082433050249</v>
      </c>
      <c r="Z236" s="33" cm="1">
        <f t="array" ref="Z236">((Z$102=$R236)*((13-$S236)/12)+(Z$102&gt;$R236))*$Q236*INDEX($J$13:$O$39,$N236-1999,Z$102-2020)</f>
        <v>22025.060930006515</v>
      </c>
      <c r="AA236" s="33" cm="1">
        <f t="array" ref="AA236">((AA$102=$R236)*((13-$S236)/12)+(AA$102&gt;$R236))*$Q236*INDEX($J$13:$O$39,$N236-1999,AA$102-2020)</f>
        <v>22685.812757906711</v>
      </c>
      <c r="AB236" s="33" cm="1">
        <f t="array" ref="AB236">((AB$102=$R236)*((13-$S236)/12)+(AB$102&gt;$R236))*$Q236*INDEX($J$13:$O$39,$N236-1999,AB$102-2020)</f>
        <v>23502.502017191353</v>
      </c>
      <c r="AC236" s="33" cm="1">
        <f t="array" ref="AC236">((AC$102=$R236)*((13-$S236)/12)+(AC$102&gt;$R236))*$Q236*INDEX($J$13:$O$39,$N236-1999,AC$102-2020)</f>
        <v>24160.572073672709</v>
      </c>
    </row>
    <row r="237" spans="2:29" x14ac:dyDescent="0.2">
      <c r="B237" s="32">
        <f>'13. Input desinvesteringen'!B150</f>
        <v>134</v>
      </c>
      <c r="J237" s="32" t="str">
        <f>'13. Input desinvesteringen'!C150</f>
        <v>Transport</v>
      </c>
      <c r="K237" s="32" t="str">
        <f>'13. Input desinvesteringen'!D150</f>
        <v>EHS</v>
      </c>
      <c r="L237" s="32" t="str">
        <f>'13. Input desinvesteringen'!E150</f>
        <v>Nee</v>
      </c>
      <c r="M237" s="32" t="str">
        <f>'13. Input desinvesteringen'!F150</f>
        <v>Overige bedrijfsmiddelen</v>
      </c>
      <c r="N237" s="82">
        <f>'13. Input desinvesteringen'!G150</f>
        <v>2013</v>
      </c>
      <c r="O237" s="82"/>
      <c r="P237" s="82"/>
      <c r="Q237" s="32">
        <f>'13. Input desinvesteringen'!H150</f>
        <v>23790</v>
      </c>
      <c r="R237" s="82">
        <f>'13. Input desinvesteringen'!I150</f>
        <v>2022</v>
      </c>
      <c r="S237" s="32">
        <f>'13. Input desinvesteringen'!J150</f>
        <v>10</v>
      </c>
      <c r="U237" s="76">
        <f t="shared" si="9"/>
        <v>1</v>
      </c>
      <c r="V237" s="76">
        <f t="shared" si="10"/>
        <v>0</v>
      </c>
      <c r="X237" s="33" cm="1">
        <f t="array" ref="X237">((X$102=$R237)*((13-$S237)/12)+(X$102&gt;$R237))*$Q237*INDEX($J$13:$O$39,$N237-1999,X$102-2020)</f>
        <v>0</v>
      </c>
      <c r="Y237" s="33" cm="1">
        <f t="array" ref="Y237">((Y$102=$R237)*((13-$S237)/12)+(Y$102&gt;$R237))*$Q237*INDEX($J$13:$O$39,$N237-1999,Y$102-2020)</f>
        <v>6844.8420629670509</v>
      </c>
      <c r="Z237" s="33" cm="1">
        <f t="array" ref="Z237">((Z$102=$R237)*((13-$S237)/12)+(Z$102&gt;$R237))*$Q237*INDEX($J$13:$O$39,$N237-1999,Z$102-2020)</f>
        <v>30664.89244209239</v>
      </c>
      <c r="AA237" s="33" cm="1">
        <f t="array" ref="AA237">((AA$102=$R237)*((13-$S237)/12)+(AA$102&gt;$R237))*$Q237*INDEX($J$13:$O$39,$N237-1999,AA$102-2020)</f>
        <v>31584.839215355161</v>
      </c>
      <c r="AB237" s="33" cm="1">
        <f t="array" ref="AB237">((AB$102=$R237)*((13-$S237)/12)+(AB$102&gt;$R237))*$Q237*INDEX($J$13:$O$39,$N237-1999,AB$102-2020)</f>
        <v>32721.893427107949</v>
      </c>
      <c r="AC237" s="33" cm="1">
        <f t="array" ref="AC237">((AC$102=$R237)*((13-$S237)/12)+(AC$102&gt;$R237))*$Q237*INDEX($J$13:$O$39,$N237-1999,AC$102-2020)</f>
        <v>33638.106443066972</v>
      </c>
    </row>
    <row r="238" spans="2:29" x14ac:dyDescent="0.2">
      <c r="B238" s="32">
        <f>'13. Input desinvesteringen'!B151</f>
        <v>135</v>
      </c>
      <c r="J238" s="32" t="str">
        <f>'13. Input desinvesteringen'!C151</f>
        <v>Transport</v>
      </c>
      <c r="K238" s="32" t="str">
        <f>'13. Input desinvesteringen'!D151</f>
        <v>HS</v>
      </c>
      <c r="L238" s="32" t="str">
        <f>'13. Input desinvesteringen'!E151</f>
        <v>Nee</v>
      </c>
      <c r="M238" s="32" t="str">
        <f>'13. Input desinvesteringen'!F151</f>
        <v>Hoogspanningsstations primair</v>
      </c>
      <c r="N238" s="82">
        <f>'13. Input desinvesteringen'!G151</f>
        <v>2014</v>
      </c>
      <c r="O238" s="82"/>
      <c r="P238" s="82"/>
      <c r="Q238" s="32">
        <f>'13. Input desinvesteringen'!H151</f>
        <v>51668</v>
      </c>
      <c r="R238" s="82">
        <f>'13. Input desinvesteringen'!I151</f>
        <v>2022</v>
      </c>
      <c r="S238" s="32">
        <f>'13. Input desinvesteringen'!J151</f>
        <v>10</v>
      </c>
      <c r="U238" s="76">
        <f t="shared" si="9"/>
        <v>1</v>
      </c>
      <c r="V238" s="76">
        <f t="shared" si="10"/>
        <v>0</v>
      </c>
      <c r="X238" s="33" cm="1">
        <f t="array" ref="X238">((X$102=$R238)*((13-$S238)/12)+(X$102&gt;$R238))*$Q238*INDEX($J$13:$O$39,$N238-1999,X$102-2020)</f>
        <v>0</v>
      </c>
      <c r="Y238" s="33" cm="1">
        <f t="array" ref="Y238">((Y$102=$R238)*((13-$S238)/12)+(Y$102&gt;$R238))*$Q238*INDEX($J$13:$O$39,$N238-1999,Y$102-2020)</f>
        <v>14460.973355928149</v>
      </c>
      <c r="Z238" s="33" cm="1">
        <f t="array" ref="Z238">((Z$102=$R238)*((13-$S238)/12)+(Z$102&gt;$R238))*$Q238*INDEX($J$13:$O$39,$N238-1999,Z$102-2020)</f>
        <v>64785.160634558109</v>
      </c>
      <c r="AA238" s="33" cm="1">
        <f t="array" ref="AA238">((AA$102=$R238)*((13-$S238)/12)+(AA$102&gt;$R238))*$Q238*INDEX($J$13:$O$39,$N238-1999,AA$102-2020)</f>
        <v>66728.71545359485</v>
      </c>
      <c r="AB238" s="33" cm="1">
        <f t="array" ref="AB238">((AB$102=$R238)*((13-$S238)/12)+(AB$102&gt;$R238))*$Q238*INDEX($J$13:$O$39,$N238-1999,AB$102-2020)</f>
        <v>69130.949209924278</v>
      </c>
      <c r="AC238" s="33" cm="1">
        <f t="array" ref="AC238">((AC$102=$R238)*((13-$S238)/12)+(AC$102&gt;$R238))*$Q238*INDEX($J$13:$O$39,$N238-1999,AC$102-2020)</f>
        <v>71066.615787802148</v>
      </c>
    </row>
    <row r="239" spans="2:29" x14ac:dyDescent="0.2">
      <c r="B239" s="32">
        <f>'13. Input desinvesteringen'!B152</f>
        <v>136</v>
      </c>
      <c r="J239" s="32" t="str">
        <f>'13. Input desinvesteringen'!C152</f>
        <v>Transport</v>
      </c>
      <c r="K239" s="32" t="str">
        <f>'13. Input desinvesteringen'!D152</f>
        <v>EHS</v>
      </c>
      <c r="L239" s="32" t="str">
        <f>'13. Input desinvesteringen'!E152</f>
        <v>Nee</v>
      </c>
      <c r="M239" s="32" t="str">
        <f>'13. Input desinvesteringen'!F152</f>
        <v>Hoogspanningsstations primair</v>
      </c>
      <c r="N239" s="82">
        <f>'13. Input desinvesteringen'!G152</f>
        <v>2017</v>
      </c>
      <c r="O239" s="82"/>
      <c r="P239" s="82"/>
      <c r="Q239" s="32">
        <f>'13. Input desinvesteringen'!H152</f>
        <v>41232</v>
      </c>
      <c r="R239" s="82">
        <f>'13. Input desinvesteringen'!I152</f>
        <v>2022</v>
      </c>
      <c r="S239" s="32">
        <f>'13. Input desinvesteringen'!J152</f>
        <v>7</v>
      </c>
      <c r="U239" s="76">
        <f t="shared" si="9"/>
        <v>1</v>
      </c>
      <c r="V239" s="76">
        <f t="shared" si="10"/>
        <v>0</v>
      </c>
      <c r="X239" s="33" cm="1">
        <f t="array" ref="X239">((X$102=$R239)*((13-$S239)/12)+(X$102&gt;$R239))*$Q239*INDEX($J$13:$O$39,$N239-1999,X$102-2020)</f>
        <v>0</v>
      </c>
      <c r="Y239" s="33" cm="1">
        <f t="array" ref="Y239">((Y$102=$R239)*((13-$S239)/12)+(Y$102&gt;$R239))*$Q239*INDEX($J$13:$O$39,$N239-1999,Y$102-2020)</f>
        <v>22625.107140993416</v>
      </c>
      <c r="Z239" s="33" cm="1">
        <f t="array" ref="Z239">((Z$102=$R239)*((13-$S239)/12)+(Z$102&gt;$R239))*$Q239*INDEX($J$13:$O$39,$N239-1999,Z$102-2020)</f>
        <v>50680.239995825257</v>
      </c>
      <c r="AA239" s="33" cm="1">
        <f t="array" ref="AA239">((AA$102=$R239)*((13-$S239)/12)+(AA$102&gt;$R239))*$Q239*INDEX($J$13:$O$39,$N239-1999,AA$102-2020)</f>
        <v>52200.647195700018</v>
      </c>
      <c r="AB239" s="33" cm="1">
        <f t="array" ref="AB239">((AB$102=$R239)*((13-$S239)/12)+(AB$102&gt;$R239))*$Q239*INDEX($J$13:$O$39,$N239-1999,AB$102-2020)</f>
        <v>54079.870494745221</v>
      </c>
      <c r="AC239" s="33" cm="1">
        <f t="array" ref="AC239">((AC$102=$R239)*((13-$S239)/12)+(AC$102&gt;$R239))*$Q239*INDEX($J$13:$O$39,$N239-1999,AC$102-2020)</f>
        <v>55594.106868598086</v>
      </c>
    </row>
    <row r="240" spans="2:29" x14ac:dyDescent="0.2">
      <c r="B240" s="32">
        <f>'13. Input desinvesteringen'!B153</f>
        <v>137</v>
      </c>
      <c r="J240" s="32" t="str">
        <f>'13. Input desinvesteringen'!C153</f>
        <v>Transport</v>
      </c>
      <c r="K240" s="32" t="str">
        <f>'13. Input desinvesteringen'!D153</f>
        <v>EHS</v>
      </c>
      <c r="L240" s="32" t="str">
        <f>'13. Input desinvesteringen'!E153</f>
        <v>Nee</v>
      </c>
      <c r="M240" s="32" t="str">
        <f>'13. Input desinvesteringen'!F153</f>
        <v>Hoogspanningsstations primair</v>
      </c>
      <c r="N240" s="82">
        <f>'13. Input desinvesteringen'!G153</f>
        <v>2012</v>
      </c>
      <c r="O240" s="82"/>
      <c r="P240" s="82"/>
      <c r="Q240" s="32">
        <f>'13. Input desinvesteringen'!H153</f>
        <v>46142</v>
      </c>
      <c r="R240" s="82">
        <f>'13. Input desinvesteringen'!I153</f>
        <v>2022</v>
      </c>
      <c r="S240" s="32">
        <f>'13. Input desinvesteringen'!J153</f>
        <v>12</v>
      </c>
      <c r="U240" s="76">
        <f t="shared" si="9"/>
        <v>1</v>
      </c>
      <c r="V240" s="76">
        <f t="shared" si="10"/>
        <v>0</v>
      </c>
      <c r="X240" s="33" cm="1">
        <f t="array" ref="X240">((X$102=$R240)*((13-$S240)/12)+(X$102&gt;$R240))*$Q240*INDEX($J$13:$O$39,$N240-1999,X$102-2020)</f>
        <v>0</v>
      </c>
      <c r="Y240" s="33" cm="1">
        <f t="array" ref="Y240">((Y$102=$R240)*((13-$S240)/12)+(Y$102&gt;$R240))*$Q240*INDEX($J$13:$O$39,$N240-1999,Y$102-2020)</f>
        <v>4527.0968281662072</v>
      </c>
      <c r="Z240" s="33" cm="1">
        <f t="array" ref="Z240">((Z$102=$R240)*((13-$S240)/12)+(Z$102&gt;$R240))*$Q240*INDEX($J$13:$O$39,$N240-1999,Z$102-2020)</f>
        <v>60844.18137055383</v>
      </c>
      <c r="AA240" s="33" cm="1">
        <f t="array" ref="AA240">((AA$102=$R240)*((13-$S240)/12)+(AA$102&gt;$R240))*$Q240*INDEX($J$13:$O$39,$N240-1999,AA$102-2020)</f>
        <v>62669.506811670442</v>
      </c>
      <c r="AB240" s="33" cm="1">
        <f t="array" ref="AB240">((AB$102=$R240)*((13-$S240)/12)+(AB$102&gt;$R240))*$Q240*INDEX($J$13:$O$39,$N240-1999,AB$102-2020)</f>
        <v>64925.609056890578</v>
      </c>
      <c r="AC240" s="33" cm="1">
        <f t="array" ref="AC240">((AC$102=$R240)*((13-$S240)/12)+(AC$102&gt;$R240))*$Q240*INDEX($J$13:$O$39,$N240-1999,AC$102-2020)</f>
        <v>66743.526110483523</v>
      </c>
    </row>
    <row r="241" spans="2:29" x14ac:dyDescent="0.2">
      <c r="B241" s="32">
        <f>'13. Input desinvesteringen'!B154</f>
        <v>138</v>
      </c>
      <c r="J241" s="32" t="str">
        <f>'13. Input desinvesteringen'!C154</f>
        <v>Transport</v>
      </c>
      <c r="K241" s="32" t="str">
        <f>'13. Input desinvesteringen'!D154</f>
        <v>HS</v>
      </c>
      <c r="L241" s="32" t="str">
        <f>'13. Input desinvesteringen'!E154</f>
        <v>Nee</v>
      </c>
      <c r="M241" s="32" t="str">
        <f>'13. Input desinvesteringen'!F154</f>
        <v>Hoogspanningsstations primair</v>
      </c>
      <c r="N241" s="82">
        <f>'13. Input desinvesteringen'!G154</f>
        <v>2018</v>
      </c>
      <c r="O241" s="82"/>
      <c r="P241" s="82"/>
      <c r="Q241" s="32">
        <f>'13. Input desinvesteringen'!H154</f>
        <v>529675</v>
      </c>
      <c r="R241" s="82">
        <f>'13. Input desinvesteringen'!I154</f>
        <v>2022</v>
      </c>
      <c r="S241" s="32">
        <f>'13. Input desinvesteringen'!J154</f>
        <v>12</v>
      </c>
      <c r="U241" s="76">
        <f t="shared" si="9"/>
        <v>1</v>
      </c>
      <c r="V241" s="76">
        <f t="shared" si="10"/>
        <v>0</v>
      </c>
      <c r="X241" s="33" cm="1">
        <f t="array" ref="X241">((X$102=$R241)*((13-$S241)/12)+(X$102&gt;$R241))*$Q241*INDEX($J$13:$O$39,$N241-1999,X$102-2020)</f>
        <v>0</v>
      </c>
      <c r="Y241" s="33" cm="1">
        <f t="array" ref="Y241">((Y$102=$R241)*((13-$S241)/12)+(Y$102&gt;$R241))*$Q241*INDEX($J$13:$O$39,$N241-1999,Y$102-2020)</f>
        <v>47772.339845742914</v>
      </c>
      <c r="Z241" s="33" cm="1">
        <f t="array" ref="Z241">((Z$102=$R241)*((13-$S241)/12)+(Z$102&gt;$R241))*$Q241*INDEX($J$13:$O$39,$N241-1999,Z$102-2020)</f>
        <v>642060.24752678489</v>
      </c>
      <c r="AA241" s="33" cm="1">
        <f t="array" ref="AA241">((AA$102=$R241)*((13-$S241)/12)+(AA$102&gt;$R241))*$Q241*INDEX($J$13:$O$39,$N241-1999,AA$102-2020)</f>
        <v>661322.05495258851</v>
      </c>
      <c r="AB241" s="33" cm="1">
        <f t="array" ref="AB241">((AB$102=$R241)*((13-$S241)/12)+(AB$102&gt;$R241))*$Q241*INDEX($J$13:$O$39,$N241-1999,AB$102-2020)</f>
        <v>685129.64893088175</v>
      </c>
      <c r="AC241" s="33" cm="1">
        <f t="array" ref="AC241">((AC$102=$R241)*((13-$S241)/12)+(AC$102&gt;$R241))*$Q241*INDEX($J$13:$O$39,$N241-1999,AC$102-2020)</f>
        <v>704313.2791009465</v>
      </c>
    </row>
    <row r="242" spans="2:29" x14ac:dyDescent="0.2">
      <c r="B242" s="32">
        <f>'13. Input desinvesteringen'!B155</f>
        <v>139</v>
      </c>
      <c r="J242" s="32" t="str">
        <f>'13. Input desinvesteringen'!C155</f>
        <v>Transport</v>
      </c>
      <c r="K242" s="32" t="str">
        <f>'13. Input desinvesteringen'!D155</f>
        <v>HS</v>
      </c>
      <c r="L242" s="32" t="str">
        <f>'13. Input desinvesteringen'!E155</f>
        <v>Nee</v>
      </c>
      <c r="M242" s="32" t="str">
        <f>'13. Input desinvesteringen'!F155</f>
        <v>GAW ultimo 2000 Stedin - HS Utrecht (ENBU)</v>
      </c>
      <c r="N242" s="82">
        <f>'13. Input desinvesteringen'!G155</f>
        <v>2015</v>
      </c>
      <c r="O242" s="82"/>
      <c r="P242" s="82"/>
      <c r="Q242" s="32">
        <f>'13. Input desinvesteringen'!H155</f>
        <v>28125</v>
      </c>
      <c r="R242" s="82">
        <f>'13. Input desinvesteringen'!I155</f>
        <v>2023</v>
      </c>
      <c r="S242" s="32">
        <f>'13. Input desinvesteringen'!J155</f>
        <v>5</v>
      </c>
      <c r="U242" s="76">
        <f t="shared" si="9"/>
        <v>0.8732220164530794</v>
      </c>
      <c r="V242" s="76">
        <f t="shared" si="10"/>
        <v>0.1267779835469206</v>
      </c>
      <c r="X242" s="33" cm="1">
        <f t="array" ref="X242">((X$102=$R242)*((13-$S242)/12)+(X$102&gt;$R242))*$Q242*INDEX($J$13:$O$39,$N242-1999,X$102-2020)</f>
        <v>0</v>
      </c>
      <c r="Y242" s="33" cm="1">
        <f t="array" ref="Y242">((Y$102=$R242)*((13-$S242)/12)+(Y$102&gt;$R242))*$Q242*INDEX($J$13:$O$39,$N242-1999,Y$102-2020)</f>
        <v>0</v>
      </c>
      <c r="Z242" s="33" cm="1">
        <f t="array" ref="Z242">((Z$102=$R242)*((13-$S242)/12)+(Z$102&gt;$R242))*$Q242*INDEX($J$13:$O$39,$N242-1999,Z$102-2020)</f>
        <v>23277.363431144244</v>
      </c>
      <c r="AA242" s="33" cm="1">
        <f t="array" ref="AA242">((AA$102=$R242)*((13-$S242)/12)+(AA$102&gt;$R242))*$Q242*INDEX($J$13:$O$39,$N242-1999,AA$102-2020)</f>
        <v>35963.526501117856</v>
      </c>
      <c r="AB242" s="33" cm="1">
        <f t="array" ref="AB242">((AB$102=$R242)*((13-$S242)/12)+(AB$102&gt;$R242))*$Q242*INDEX($J$13:$O$39,$N242-1999,AB$102-2020)</f>
        <v>37258.213455158097</v>
      </c>
      <c r="AC242" s="33" cm="1">
        <f t="array" ref="AC242">((AC$102=$R242)*((13-$S242)/12)+(AC$102&gt;$R242))*$Q242*INDEX($J$13:$O$39,$N242-1999,AC$102-2020)</f>
        <v>38301.443431902531</v>
      </c>
    </row>
    <row r="243" spans="2:29" x14ac:dyDescent="0.2">
      <c r="B243" s="32">
        <f>'13. Input desinvesteringen'!B156</f>
        <v>140</v>
      </c>
      <c r="J243" s="32" t="str">
        <f>'13. Input desinvesteringen'!C156</f>
        <v>Transport</v>
      </c>
      <c r="K243" s="32" t="str">
        <f>'13. Input desinvesteringen'!D156</f>
        <v>EHS</v>
      </c>
      <c r="L243" s="32" t="str">
        <f>'13. Input desinvesteringen'!E156</f>
        <v>Nee</v>
      </c>
      <c r="M243" s="32" t="str">
        <f>'13. Input desinvesteringen'!F156</f>
        <v>GAW ultimo 2000 EHS OUD</v>
      </c>
      <c r="N243" s="82">
        <f>'13. Input desinvesteringen'!G156</f>
        <v>2000</v>
      </c>
      <c r="O243" s="82"/>
      <c r="P243" s="82"/>
      <c r="Q243" s="32">
        <f>'13. Input desinvesteringen'!H156</f>
        <v>3194817</v>
      </c>
      <c r="R243" s="82">
        <f>'13. Input desinvesteringen'!I156</f>
        <v>2023</v>
      </c>
      <c r="S243" s="32">
        <f>'13. Input desinvesteringen'!J156</f>
        <v>1</v>
      </c>
      <c r="U243" s="76">
        <f t="shared" si="9"/>
        <v>0.97443793491415276</v>
      </c>
      <c r="V243" s="76">
        <f t="shared" si="10"/>
        <v>2.5562065085847241E-2</v>
      </c>
      <c r="X243" s="33" cm="1">
        <f t="array" ref="X243">((X$102=$R243)*((13-$S243)/12)+(X$102&gt;$R243))*$Q243*INDEX($J$13:$O$39,$N243-1999,X$102-2020)</f>
        <v>0</v>
      </c>
      <c r="Y243" s="33" cm="1">
        <f t="array" ref="Y243">((Y$102=$R243)*((13-$S243)/12)+(Y$102&gt;$R243))*$Q243*INDEX($J$13:$O$39,$N243-1999,Y$102-2020)</f>
        <v>0</v>
      </c>
      <c r="Z243" s="33" cm="1">
        <f t="array" ref="Z243">((Z$102=$R243)*((13-$S243)/12)+(Z$102&gt;$R243))*$Q243*INDEX($J$13:$O$39,$N243-1999,Z$102-2020)</f>
        <v>5423096.2482683407</v>
      </c>
      <c r="AA243" s="33" cm="1">
        <f t="array" ref="AA243">((AA$102=$R243)*((13-$S243)/12)+(AA$102&gt;$R243))*$Q243*INDEX($J$13:$O$39,$N243-1999,AA$102-2020)</f>
        <v>5585789.1357163917</v>
      </c>
      <c r="AB243" s="33" cm="1">
        <f t="array" ref="AB243">((AB$102=$R243)*((13-$S243)/12)+(AB$102&gt;$R243))*$Q243*INDEX($J$13:$O$39,$N243-1999,AB$102-2020)</f>
        <v>5786877.5446021818</v>
      </c>
      <c r="AC243" s="33" cm="1">
        <f t="array" ref="AC243">((AC$102=$R243)*((13-$S243)/12)+(AC$102&gt;$R243))*$Q243*INDEX($J$13:$O$39,$N243-1999,AC$102-2020)</f>
        <v>5948910.1158510428</v>
      </c>
    </row>
    <row r="244" spans="2:29" x14ac:dyDescent="0.2">
      <c r="B244" s="32">
        <f>'13. Input desinvesteringen'!B157</f>
        <v>141</v>
      </c>
      <c r="J244" s="32" t="str">
        <f>'13. Input desinvesteringen'!C157</f>
        <v>Transport</v>
      </c>
      <c r="K244" s="32" t="str">
        <f>'13. Input desinvesteringen'!D157</f>
        <v>EHS</v>
      </c>
      <c r="L244" s="32" t="str">
        <f>'13. Input desinvesteringen'!E157</f>
        <v>Nee</v>
      </c>
      <c r="M244" s="32" t="str">
        <f>'13. Input desinvesteringen'!F157</f>
        <v>GAW ultimo 2000 EHS OUD</v>
      </c>
      <c r="N244" s="82">
        <f>'13. Input desinvesteringen'!G157</f>
        <v>2000</v>
      </c>
      <c r="O244" s="82"/>
      <c r="P244" s="82"/>
      <c r="Q244" s="32">
        <f>'13. Input desinvesteringen'!H157</f>
        <v>178753</v>
      </c>
      <c r="R244" s="82">
        <f>'13. Input desinvesteringen'!I157</f>
        <v>2023</v>
      </c>
      <c r="S244" s="32">
        <f>'13. Input desinvesteringen'!J157</f>
        <v>3</v>
      </c>
      <c r="U244" s="76">
        <f t="shared" si="9"/>
        <v>0.97443793491415276</v>
      </c>
      <c r="V244" s="76">
        <f t="shared" si="10"/>
        <v>2.5562065085847241E-2</v>
      </c>
      <c r="X244" s="33" cm="1">
        <f t="array" ref="X244">((X$102=$R244)*((13-$S244)/12)+(X$102&gt;$R244))*$Q244*INDEX($J$13:$O$39,$N244-1999,X$102-2020)</f>
        <v>0</v>
      </c>
      <c r="Y244" s="33" cm="1">
        <f t="array" ref="Y244">((Y$102=$R244)*((13-$S244)/12)+(Y$102&gt;$R244))*$Q244*INDEX($J$13:$O$39,$N244-1999,Y$102-2020)</f>
        <v>0</v>
      </c>
      <c r="Z244" s="33" cm="1">
        <f t="array" ref="Z244">((Z$102=$R244)*((13-$S244)/12)+(Z$102&gt;$R244))*$Q244*INDEX($J$13:$O$39,$N244-1999,Z$102-2020)</f>
        <v>252856.09047057334</v>
      </c>
      <c r="AA244" s="33" cm="1">
        <f t="array" ref="AA244">((AA$102=$R244)*((13-$S244)/12)+(AA$102&gt;$R244))*$Q244*INDEX($J$13:$O$39,$N244-1999,AA$102-2020)</f>
        <v>312530.12782162864</v>
      </c>
      <c r="AB244" s="33" cm="1">
        <f t="array" ref="AB244">((AB$102=$R244)*((13-$S244)/12)+(AB$102&gt;$R244))*$Q244*INDEX($J$13:$O$39,$N244-1999,AB$102-2020)</f>
        <v>323781.21242320724</v>
      </c>
      <c r="AC244" s="33" cm="1">
        <f t="array" ref="AC244">((AC$102=$R244)*((13-$S244)/12)+(AC$102&gt;$R244))*$Q244*INDEX($J$13:$O$39,$N244-1999,AC$102-2020)</f>
        <v>332847.08637105708</v>
      </c>
    </row>
    <row r="245" spans="2:29" x14ac:dyDescent="0.2">
      <c r="B245" s="32">
        <f>'13. Input desinvesteringen'!B158</f>
        <v>142</v>
      </c>
      <c r="J245" s="32" t="str">
        <f>'13. Input desinvesteringen'!C158</f>
        <v>Transport</v>
      </c>
      <c r="K245" s="32" t="str">
        <f>'13. Input desinvesteringen'!D158</f>
        <v>EHS</v>
      </c>
      <c r="L245" s="32" t="str">
        <f>'13. Input desinvesteringen'!E158</f>
        <v>Nee</v>
      </c>
      <c r="M245" s="32" t="str">
        <f>'13. Input desinvesteringen'!F158</f>
        <v>GAW ultimo 2000 EHS OUD</v>
      </c>
      <c r="N245" s="82">
        <f>'13. Input desinvesteringen'!G158</f>
        <v>2000</v>
      </c>
      <c r="O245" s="82"/>
      <c r="P245" s="82"/>
      <c r="Q245" s="32">
        <f>'13. Input desinvesteringen'!H158</f>
        <v>268311</v>
      </c>
      <c r="R245" s="82">
        <f>'13. Input desinvesteringen'!I158</f>
        <v>2023</v>
      </c>
      <c r="S245" s="32">
        <f>'13. Input desinvesteringen'!J158</f>
        <v>4</v>
      </c>
      <c r="U245" s="76">
        <f t="shared" si="9"/>
        <v>0.97443793491415276</v>
      </c>
      <c r="V245" s="76">
        <f t="shared" si="10"/>
        <v>2.5562065085847241E-2</v>
      </c>
      <c r="X245" s="33" cm="1">
        <f t="array" ref="X245">((X$102=$R245)*((13-$S245)/12)+(X$102&gt;$R245))*$Q245*INDEX($J$13:$O$39,$N245-1999,X$102-2020)</f>
        <v>0</v>
      </c>
      <c r="Y245" s="33" cm="1">
        <f t="array" ref="Y245">((Y$102=$R245)*((13-$S245)/12)+(Y$102&gt;$R245))*$Q245*INDEX($J$13:$O$39,$N245-1999,Y$102-2020)</f>
        <v>0</v>
      </c>
      <c r="Z245" s="33" cm="1">
        <f t="array" ref="Z245">((Z$102=$R245)*((13-$S245)/12)+(Z$102&gt;$R245))*$Q245*INDEX($J$13:$O$39,$N245-1999,Z$102-2020)</f>
        <v>341586.78982296801</v>
      </c>
      <c r="AA245" s="33" cm="1">
        <f t="array" ref="AA245">((AA$102=$R245)*((13-$S245)/12)+(AA$102&gt;$R245))*$Q245*INDEX($J$13:$O$39,$N245-1999,AA$102-2020)</f>
        <v>469112.52469020942</v>
      </c>
      <c r="AB245" s="33" cm="1">
        <f t="array" ref="AB245">((AB$102=$R245)*((13-$S245)/12)+(AB$102&gt;$R245))*$Q245*INDEX($J$13:$O$39,$N245-1999,AB$102-2020)</f>
        <v>486000.57557905692</v>
      </c>
      <c r="AC245" s="33" cm="1">
        <f t="array" ref="AC245">((AC$102=$R245)*((13-$S245)/12)+(AC$102&gt;$R245))*$Q245*INDEX($J$13:$O$39,$N245-1999,AC$102-2020)</f>
        <v>499608.59169527056</v>
      </c>
    </row>
    <row r="246" spans="2:29" x14ac:dyDescent="0.2">
      <c r="B246" s="32">
        <f>'13. Input desinvesteringen'!B159</f>
        <v>143</v>
      </c>
      <c r="J246" s="32" t="str">
        <f>'13. Input desinvesteringen'!C159</f>
        <v>Transport</v>
      </c>
      <c r="K246" s="32" t="str">
        <f>'13. Input desinvesteringen'!D159</f>
        <v>EHS</v>
      </c>
      <c r="L246" s="32" t="str">
        <f>'13. Input desinvesteringen'!E159</f>
        <v>Nee</v>
      </c>
      <c r="M246" s="32" t="str">
        <f>'13. Input desinvesteringen'!F159</f>
        <v>GAW ultimo 2000 EHS OUD</v>
      </c>
      <c r="N246" s="82">
        <f>'13. Input desinvesteringen'!G159</f>
        <v>2000</v>
      </c>
      <c r="O246" s="82"/>
      <c r="P246" s="82"/>
      <c r="Q246" s="32">
        <f>'13. Input desinvesteringen'!H159</f>
        <v>35053</v>
      </c>
      <c r="R246" s="82">
        <f>'13. Input desinvesteringen'!I159</f>
        <v>2023</v>
      </c>
      <c r="S246" s="32">
        <f>'13. Input desinvesteringen'!J159</f>
        <v>5</v>
      </c>
      <c r="U246" s="76">
        <f t="shared" si="9"/>
        <v>0.97443793491415276</v>
      </c>
      <c r="V246" s="76">
        <f t="shared" si="10"/>
        <v>2.5562065085847241E-2</v>
      </c>
      <c r="X246" s="33" cm="1">
        <f t="array" ref="X246">((X$102=$R246)*((13-$S246)/12)+(X$102&gt;$R246))*$Q246*INDEX($J$13:$O$39,$N246-1999,X$102-2020)</f>
        <v>0</v>
      </c>
      <c r="Y246" s="33" cm="1">
        <f t="array" ref="Y246">((Y$102=$R246)*((13-$S246)/12)+(Y$102&gt;$R246))*$Q246*INDEX($J$13:$O$39,$N246-1999,Y$102-2020)</f>
        <v>0</v>
      </c>
      <c r="Z246" s="33" cm="1">
        <f t="array" ref="Z246">((Z$102=$R246)*((13-$S246)/12)+(Z$102&gt;$R246))*$Q246*INDEX($J$13:$O$39,$N246-1999,Z$102-2020)</f>
        <v>39667.539182066896</v>
      </c>
      <c r="AA246" s="33" cm="1">
        <f t="array" ref="AA246">((AA$102=$R246)*((13-$S246)/12)+(AA$102&gt;$R246))*$Q246*INDEX($J$13:$O$39,$N246-1999,AA$102-2020)</f>
        <v>61286.34803629337</v>
      </c>
      <c r="AB246" s="33" cm="1">
        <f t="array" ref="AB246">((AB$102=$R246)*((13-$S246)/12)+(AB$102&gt;$R246))*$Q246*INDEX($J$13:$O$39,$N246-1999,AB$102-2020)</f>
        <v>63492.656565599929</v>
      </c>
      <c r="AC246" s="33" cm="1">
        <f t="array" ref="AC246">((AC$102=$R246)*((13-$S246)/12)+(AC$102&gt;$R246))*$Q246*INDEX($J$13:$O$39,$N246-1999,AC$102-2020)</f>
        <v>65270.45094943673</v>
      </c>
    </row>
    <row r="247" spans="2:29" x14ac:dyDescent="0.2">
      <c r="B247" s="32">
        <f>'13. Input desinvesteringen'!B160</f>
        <v>144</v>
      </c>
      <c r="J247" s="32" t="str">
        <f>'13. Input desinvesteringen'!C160</f>
        <v>Transport</v>
      </c>
      <c r="K247" s="32" t="str">
        <f>'13. Input desinvesteringen'!D160</f>
        <v>EHS</v>
      </c>
      <c r="L247" s="32" t="str">
        <f>'13. Input desinvesteringen'!E160</f>
        <v>Nee</v>
      </c>
      <c r="M247" s="32" t="str">
        <f>'13. Input desinvesteringen'!F160</f>
        <v>GAW ultimo 2000 EHS OUD</v>
      </c>
      <c r="N247" s="82">
        <f>'13. Input desinvesteringen'!G160</f>
        <v>2000</v>
      </c>
      <c r="O247" s="82"/>
      <c r="P247" s="82"/>
      <c r="Q247" s="32">
        <f>'13. Input desinvesteringen'!H160</f>
        <v>341648</v>
      </c>
      <c r="R247" s="82">
        <f>'13. Input desinvesteringen'!I160</f>
        <v>2023</v>
      </c>
      <c r="S247" s="32">
        <f>'13. Input desinvesteringen'!J160</f>
        <v>6</v>
      </c>
      <c r="U247" s="76">
        <f t="shared" si="9"/>
        <v>0.97443793491415276</v>
      </c>
      <c r="V247" s="76">
        <f t="shared" si="10"/>
        <v>2.5562065085847241E-2</v>
      </c>
      <c r="X247" s="33" cm="1">
        <f t="array" ref="X247">((X$102=$R247)*((13-$S247)/12)+(X$102&gt;$R247))*$Q247*INDEX($J$13:$O$39,$N247-1999,X$102-2020)</f>
        <v>0</v>
      </c>
      <c r="Y247" s="33" cm="1">
        <f t="array" ref="Y247">((Y$102=$R247)*((13-$S247)/12)+(Y$102&gt;$R247))*$Q247*INDEX($J$13:$O$39,$N247-1999,Y$102-2020)</f>
        <v>0</v>
      </c>
      <c r="Z247" s="33" cm="1">
        <f t="array" ref="Z247">((Z$102=$R247)*((13-$S247)/12)+(Z$102&gt;$R247))*$Q247*INDEX($J$13:$O$39,$N247-1999,Z$102-2020)</f>
        <v>338296.10869727115</v>
      </c>
      <c r="AA247" s="33" cm="1">
        <f t="array" ref="AA247">((AA$102=$R247)*((13-$S247)/12)+(AA$102&gt;$R247))*$Q247*INDEX($J$13:$O$39,$N247-1999,AA$102-2020)</f>
        <v>597334.27192832448</v>
      </c>
      <c r="AB247" s="33" cm="1">
        <f t="array" ref="AB247">((AB$102=$R247)*((13-$S247)/12)+(AB$102&gt;$R247))*$Q247*INDEX($J$13:$O$39,$N247-1999,AB$102-2020)</f>
        <v>618838.30571774417</v>
      </c>
      <c r="AC247" s="33" cm="1">
        <f t="array" ref="AC247">((AC$102=$R247)*((13-$S247)/12)+(AC$102&gt;$R247))*$Q247*INDEX($J$13:$O$39,$N247-1999,AC$102-2020)</f>
        <v>636165.77827784093</v>
      </c>
    </row>
    <row r="248" spans="2:29" x14ac:dyDescent="0.2">
      <c r="B248" s="32">
        <f>'13. Input desinvesteringen'!B161</f>
        <v>145</v>
      </c>
      <c r="J248" s="32" t="str">
        <f>'13. Input desinvesteringen'!C161</f>
        <v>Transport</v>
      </c>
      <c r="K248" s="32" t="str">
        <f>'13. Input desinvesteringen'!D161</f>
        <v>EHS</v>
      </c>
      <c r="L248" s="32" t="str">
        <f>'13. Input desinvesteringen'!E161</f>
        <v>Nee</v>
      </c>
      <c r="M248" s="32" t="str">
        <f>'13. Input desinvesteringen'!F161</f>
        <v>GAW ultimo 2000 EHS OUD</v>
      </c>
      <c r="N248" s="82">
        <f>'13. Input desinvesteringen'!G161</f>
        <v>2000</v>
      </c>
      <c r="O248" s="82"/>
      <c r="P248" s="82"/>
      <c r="Q248" s="32">
        <f>'13. Input desinvesteringen'!H161</f>
        <v>7432359</v>
      </c>
      <c r="R248" s="82">
        <f>'13. Input desinvesteringen'!I161</f>
        <v>2023</v>
      </c>
      <c r="S248" s="32">
        <f>'13. Input desinvesteringen'!J161</f>
        <v>7</v>
      </c>
      <c r="U248" s="76">
        <f t="shared" si="9"/>
        <v>0.97443793491415276</v>
      </c>
      <c r="V248" s="76">
        <f t="shared" si="10"/>
        <v>2.5562065085847241E-2</v>
      </c>
      <c r="X248" s="33" cm="1">
        <f t="array" ref="X248">((X$102=$R248)*((13-$S248)/12)+(X$102&gt;$R248))*$Q248*INDEX($J$13:$O$39,$N248-1999,X$102-2020)</f>
        <v>0</v>
      </c>
      <c r="Y248" s="33" cm="1">
        <f t="array" ref="Y248">((Y$102=$R248)*((13-$S248)/12)+(Y$102&gt;$R248))*$Q248*INDEX($J$13:$O$39,$N248-1999,Y$102-2020)</f>
        <v>0</v>
      </c>
      <c r="Z248" s="33" cm="1">
        <f t="array" ref="Z248">((Z$102=$R248)*((13-$S248)/12)+(Z$102&gt;$R248))*$Q248*INDEX($J$13:$O$39,$N248-1999,Z$102-2020)</f>
        <v>6308091.8576374548</v>
      </c>
      <c r="AA248" s="33" cm="1">
        <f t="array" ref="AA248">((AA$102=$R248)*((13-$S248)/12)+(AA$102&gt;$R248))*$Q248*INDEX($J$13:$O$39,$N248-1999,AA$102-2020)</f>
        <v>12994669.226733157</v>
      </c>
      <c r="AB248" s="33" cm="1">
        <f t="array" ref="AB248">((AB$102=$R248)*((13-$S248)/12)+(AB$102&gt;$R248))*$Q248*INDEX($J$13:$O$39,$N248-1999,AB$102-2020)</f>
        <v>13462477.31889555</v>
      </c>
      <c r="AC248" s="33" cm="1">
        <f t="array" ref="AC248">((AC$102=$R248)*((13-$S248)/12)+(AC$102&gt;$R248))*$Q248*INDEX($J$13:$O$39,$N248-1999,AC$102-2020)</f>
        <v>13839426.683824627</v>
      </c>
    </row>
    <row r="249" spans="2:29" x14ac:dyDescent="0.2">
      <c r="B249" s="32">
        <f>'13. Input desinvesteringen'!B162</f>
        <v>146</v>
      </c>
      <c r="J249" s="32" t="str">
        <f>'13. Input desinvesteringen'!C162</f>
        <v>Transport</v>
      </c>
      <c r="K249" s="32" t="str">
        <f>'13. Input desinvesteringen'!D162</f>
        <v>EHS</v>
      </c>
      <c r="L249" s="32" t="str">
        <f>'13. Input desinvesteringen'!E162</f>
        <v>Nee</v>
      </c>
      <c r="M249" s="32" t="str">
        <f>'13. Input desinvesteringen'!F162</f>
        <v>GAW ultimo 2000 EHS OUD</v>
      </c>
      <c r="N249" s="82">
        <f>'13. Input desinvesteringen'!G162</f>
        <v>2000</v>
      </c>
      <c r="O249" s="82"/>
      <c r="P249" s="82"/>
      <c r="Q249" s="32">
        <f>'13. Input desinvesteringen'!H162</f>
        <v>165291</v>
      </c>
      <c r="R249" s="82">
        <f>'13. Input desinvesteringen'!I162</f>
        <v>2023</v>
      </c>
      <c r="S249" s="32">
        <f>'13. Input desinvesteringen'!J162</f>
        <v>8</v>
      </c>
      <c r="U249" s="76">
        <f t="shared" si="9"/>
        <v>0.97443793491415276</v>
      </c>
      <c r="V249" s="76">
        <f t="shared" si="10"/>
        <v>2.5562065085847241E-2</v>
      </c>
      <c r="X249" s="33" cm="1">
        <f t="array" ref="X249">((X$102=$R249)*((13-$S249)/12)+(X$102&gt;$R249))*$Q249*INDEX($J$13:$O$39,$N249-1999,X$102-2020)</f>
        <v>0</v>
      </c>
      <c r="Y249" s="33" cm="1">
        <f t="array" ref="Y249">((Y$102=$R249)*((13-$S249)/12)+(Y$102&gt;$R249))*$Q249*INDEX($J$13:$O$39,$N249-1999,Y$102-2020)</f>
        <v>0</v>
      </c>
      <c r="Z249" s="33" cm="1">
        <f t="array" ref="Z249">((Z$102=$R249)*((13-$S249)/12)+(Z$102&gt;$R249))*$Q249*INDEX($J$13:$O$39,$N249-1999,Z$102-2020)</f>
        <v>116906.67023762267</v>
      </c>
      <c r="AA249" s="33" cm="1">
        <f t="array" ref="AA249">((AA$102=$R249)*((13-$S249)/12)+(AA$102&gt;$R249))*$Q249*INDEX($J$13:$O$39,$N249-1999,AA$102-2020)</f>
        <v>288993.28882740327</v>
      </c>
      <c r="AB249" s="33" cm="1">
        <f t="array" ref="AB249">((AB$102=$R249)*((13-$S249)/12)+(AB$102&gt;$R249))*$Q249*INDEX($J$13:$O$39,$N249-1999,AB$102-2020)</f>
        <v>299397.0472251898</v>
      </c>
      <c r="AC249" s="33" cm="1">
        <f t="array" ref="AC249">((AC$102=$R249)*((13-$S249)/12)+(AC$102&gt;$R249))*$Q249*INDEX($J$13:$O$39,$N249-1999,AC$102-2020)</f>
        <v>307780.16454749514</v>
      </c>
    </row>
    <row r="250" spans="2:29" x14ac:dyDescent="0.2">
      <c r="B250" s="32">
        <f>'13. Input desinvesteringen'!B163</f>
        <v>147</v>
      </c>
      <c r="J250" s="32" t="str">
        <f>'13. Input desinvesteringen'!C163</f>
        <v>Transport</v>
      </c>
      <c r="K250" s="32" t="str">
        <f>'13. Input desinvesteringen'!D163</f>
        <v>EHS</v>
      </c>
      <c r="L250" s="32" t="str">
        <f>'13. Input desinvesteringen'!E163</f>
        <v>Nee</v>
      </c>
      <c r="M250" s="32" t="str">
        <f>'13. Input desinvesteringen'!F163</f>
        <v>GAW ultimo 2000 EHS OUD</v>
      </c>
      <c r="N250" s="82">
        <f>'13. Input desinvesteringen'!G163</f>
        <v>2000</v>
      </c>
      <c r="O250" s="82"/>
      <c r="P250" s="82"/>
      <c r="Q250" s="32">
        <f>'13. Input desinvesteringen'!H163</f>
        <v>188420</v>
      </c>
      <c r="R250" s="82">
        <f>'13. Input desinvesteringen'!I163</f>
        <v>2023</v>
      </c>
      <c r="S250" s="32">
        <f>'13. Input desinvesteringen'!J163</f>
        <v>9</v>
      </c>
      <c r="U250" s="76">
        <f t="shared" si="9"/>
        <v>0.97443793491415276</v>
      </c>
      <c r="V250" s="76">
        <f t="shared" si="10"/>
        <v>2.5562065085847241E-2</v>
      </c>
      <c r="X250" s="33" cm="1">
        <f t="array" ref="X250">((X$102=$R250)*((13-$S250)/12)+(X$102&gt;$R250))*$Q250*INDEX($J$13:$O$39,$N250-1999,X$102-2020)</f>
        <v>0</v>
      </c>
      <c r="Y250" s="33" cm="1">
        <f t="array" ref="Y250">((Y$102=$R250)*((13-$S250)/12)+(Y$102&gt;$R250))*$Q250*INDEX($J$13:$O$39,$N250-1999,Y$102-2020)</f>
        <v>0</v>
      </c>
      <c r="Z250" s="33" cm="1">
        <f t="array" ref="Z250">((Z$102=$R250)*((13-$S250)/12)+(Z$102&gt;$R250))*$Q250*INDEX($J$13:$O$39,$N250-1999,Z$102-2020)</f>
        <v>106612.24050273935</v>
      </c>
      <c r="AA250" s="33" cm="1">
        <f t="array" ref="AA250">((AA$102=$R250)*((13-$S250)/12)+(AA$102&gt;$R250))*$Q250*INDEX($J$13:$O$39,$N250-1999,AA$102-2020)</f>
        <v>329431.82315346465</v>
      </c>
      <c r="AB250" s="33" cm="1">
        <f t="array" ref="AB250">((AB$102=$R250)*((13-$S250)/12)+(AB$102&gt;$R250))*$Q250*INDEX($J$13:$O$39,$N250-1999,AB$102-2020)</f>
        <v>341291.36878698936</v>
      </c>
      <c r="AC250" s="33" cm="1">
        <f t="array" ref="AC250">((AC$102=$R250)*((13-$S250)/12)+(AC$102&gt;$R250))*$Q250*INDEX($J$13:$O$39,$N250-1999,AC$102-2020)</f>
        <v>350847.52711302508</v>
      </c>
    </row>
    <row r="251" spans="2:29" x14ac:dyDescent="0.2">
      <c r="B251" s="32">
        <f>'13. Input desinvesteringen'!B164</f>
        <v>148</v>
      </c>
      <c r="J251" s="32" t="str">
        <f>'13. Input desinvesteringen'!C164</f>
        <v>Transport</v>
      </c>
      <c r="K251" s="32" t="str">
        <f>'13. Input desinvesteringen'!D164</f>
        <v>EHS</v>
      </c>
      <c r="L251" s="32" t="str">
        <f>'13. Input desinvesteringen'!E164</f>
        <v>Nee</v>
      </c>
      <c r="M251" s="32" t="str">
        <f>'13. Input desinvesteringen'!F164</f>
        <v>GAW ultimo 2000 EHS OUD</v>
      </c>
      <c r="N251" s="82">
        <f>'13. Input desinvesteringen'!G164</f>
        <v>2000</v>
      </c>
      <c r="O251" s="82"/>
      <c r="P251" s="82"/>
      <c r="Q251" s="32">
        <f>'13. Input desinvesteringen'!H164</f>
        <v>489762</v>
      </c>
      <c r="R251" s="82">
        <f>'13. Input desinvesteringen'!I164</f>
        <v>2023</v>
      </c>
      <c r="S251" s="32">
        <f>'13. Input desinvesteringen'!J164</f>
        <v>10</v>
      </c>
      <c r="U251" s="76">
        <f t="shared" si="9"/>
        <v>0.97443793491415276</v>
      </c>
      <c r="V251" s="76">
        <f t="shared" si="10"/>
        <v>2.5562065085847241E-2</v>
      </c>
      <c r="X251" s="33" cm="1">
        <f t="array" ref="X251">((X$102=$R251)*((13-$S251)/12)+(X$102&gt;$R251))*$Q251*INDEX($J$13:$O$39,$N251-1999,X$102-2020)</f>
        <v>0</v>
      </c>
      <c r="Y251" s="33" cm="1">
        <f t="array" ref="Y251">((Y$102=$R251)*((13-$S251)/12)+(Y$102&gt;$R251))*$Q251*INDEX($J$13:$O$39,$N251-1999,Y$102-2020)</f>
        <v>0</v>
      </c>
      <c r="Z251" s="33" cm="1">
        <f t="array" ref="Z251">((Z$102=$R251)*((13-$S251)/12)+(Z$102&gt;$R251))*$Q251*INDEX($J$13:$O$39,$N251-1999,Z$102-2020)</f>
        <v>207838.7013046756</v>
      </c>
      <c r="AA251" s="33" cm="1">
        <f t="array" ref="AA251">((AA$102=$R251)*((13-$S251)/12)+(AA$102&gt;$R251))*$Q251*INDEX($J$13:$O$39,$N251-1999,AA$102-2020)</f>
        <v>856295.44937526353</v>
      </c>
      <c r="AB251" s="33" cm="1">
        <f t="array" ref="AB251">((AB$102=$R251)*((13-$S251)/12)+(AB$102&gt;$R251))*$Q251*INDEX($J$13:$O$39,$N251-1999,AB$102-2020)</f>
        <v>887122.08555277297</v>
      </c>
      <c r="AC251" s="33" cm="1">
        <f t="array" ref="AC251">((AC$102=$R251)*((13-$S251)/12)+(AC$102&gt;$R251))*$Q251*INDEX($J$13:$O$39,$N251-1999,AC$102-2020)</f>
        <v>911961.50394825067</v>
      </c>
    </row>
    <row r="252" spans="2:29" x14ac:dyDescent="0.2">
      <c r="B252" s="32">
        <f>'13. Input desinvesteringen'!B165</f>
        <v>149</v>
      </c>
      <c r="J252" s="32" t="str">
        <f>'13. Input desinvesteringen'!C165</f>
        <v>Transport</v>
      </c>
      <c r="K252" s="32" t="str">
        <f>'13. Input desinvesteringen'!D165</f>
        <v>EHS</v>
      </c>
      <c r="L252" s="32" t="str">
        <f>'13. Input desinvesteringen'!E165</f>
        <v>Nee</v>
      </c>
      <c r="M252" s="32" t="str">
        <f>'13. Input desinvesteringen'!F165</f>
        <v>GAW ultimo 2000 EHS OUD</v>
      </c>
      <c r="N252" s="82">
        <f>'13. Input desinvesteringen'!G165</f>
        <v>2000</v>
      </c>
      <c r="O252" s="82"/>
      <c r="P252" s="82"/>
      <c r="Q252" s="32">
        <f>'13. Input desinvesteringen'!H165</f>
        <v>480162</v>
      </c>
      <c r="R252" s="82">
        <f>'13. Input desinvesteringen'!I165</f>
        <v>2023</v>
      </c>
      <c r="S252" s="32">
        <f>'13. Input desinvesteringen'!J165</f>
        <v>11</v>
      </c>
      <c r="U252" s="76">
        <f t="shared" si="9"/>
        <v>0.97443793491415276</v>
      </c>
      <c r="V252" s="76">
        <f t="shared" si="10"/>
        <v>2.5562065085847241E-2</v>
      </c>
      <c r="X252" s="33" cm="1">
        <f t="array" ref="X252">((X$102=$R252)*((13-$S252)/12)+(X$102&gt;$R252))*$Q252*INDEX($J$13:$O$39,$N252-1999,X$102-2020)</f>
        <v>0</v>
      </c>
      <c r="Y252" s="33" cm="1">
        <f t="array" ref="Y252">((Y$102=$R252)*((13-$S252)/12)+(Y$102&gt;$R252))*$Q252*INDEX($J$13:$O$39,$N252-1999,Y$102-2020)</f>
        <v>0</v>
      </c>
      <c r="Z252" s="33" cm="1">
        <f t="array" ref="Z252">((Z$102=$R252)*((13-$S252)/12)+(Z$102&gt;$R252))*$Q252*INDEX($J$13:$O$39,$N252-1999,Z$102-2020)</f>
        <v>135843.18709339862</v>
      </c>
      <c r="AA252" s="33" cm="1">
        <f t="array" ref="AA252">((AA$102=$R252)*((13-$S252)/12)+(AA$102&gt;$R252))*$Q252*INDEX($J$13:$O$39,$N252-1999,AA$102-2020)</f>
        <v>839510.8962372035</v>
      </c>
      <c r="AB252" s="33" cm="1">
        <f t="array" ref="AB252">((AB$102=$R252)*((13-$S252)/12)+(AB$102&gt;$R252))*$Q252*INDEX($J$13:$O$39,$N252-1999,AB$102-2020)</f>
        <v>869733.28850174288</v>
      </c>
      <c r="AC252" s="33" cm="1">
        <f t="array" ref="AC252">((AC$102=$R252)*((13-$S252)/12)+(AC$102&gt;$R252))*$Q252*INDEX($J$13:$O$39,$N252-1999,AC$102-2020)</f>
        <v>894085.82057979167</v>
      </c>
    </row>
    <row r="253" spans="2:29" x14ac:dyDescent="0.2">
      <c r="B253" s="32">
        <f>'13. Input desinvesteringen'!B166</f>
        <v>150</v>
      </c>
      <c r="J253" s="32" t="str">
        <f>'13. Input desinvesteringen'!C166</f>
        <v>Transport</v>
      </c>
      <c r="K253" s="32" t="str">
        <f>'13. Input desinvesteringen'!D166</f>
        <v>EHS</v>
      </c>
      <c r="L253" s="32" t="str">
        <f>'13. Input desinvesteringen'!E166</f>
        <v>Nee</v>
      </c>
      <c r="M253" s="32" t="str">
        <f>'13. Input desinvesteringen'!F166</f>
        <v>GAW ultimo 2000 EHS OUD</v>
      </c>
      <c r="N253" s="82">
        <f>'13. Input desinvesteringen'!G166</f>
        <v>2000</v>
      </c>
      <c r="O253" s="82"/>
      <c r="P253" s="82"/>
      <c r="Q253" s="32">
        <f>'13. Input desinvesteringen'!H166</f>
        <v>538586</v>
      </c>
      <c r="R253" s="82">
        <f>'13. Input desinvesteringen'!I166</f>
        <v>2023</v>
      </c>
      <c r="S253" s="32">
        <f>'13. Input desinvesteringen'!J166</f>
        <v>12</v>
      </c>
      <c r="U253" s="76">
        <f t="shared" si="9"/>
        <v>0.97443793491415276</v>
      </c>
      <c r="V253" s="76">
        <f t="shared" si="10"/>
        <v>2.5562065085847241E-2</v>
      </c>
      <c r="X253" s="33" cm="1">
        <f t="array" ref="X253">((X$102=$R253)*((13-$S253)/12)+(X$102&gt;$R253))*$Q253*INDEX($J$13:$O$39,$N253-1999,X$102-2020)</f>
        <v>0</v>
      </c>
      <c r="Y253" s="33" cm="1">
        <f t="array" ref="Y253">((Y$102=$R253)*((13-$S253)/12)+(Y$102&gt;$R253))*$Q253*INDEX($J$13:$O$39,$N253-1999,Y$102-2020)</f>
        <v>0</v>
      </c>
      <c r="Z253" s="33" cm="1">
        <f t="array" ref="Z253">((Z$102=$R253)*((13-$S253)/12)+(Z$102&gt;$R253))*$Q253*INDEX($J$13:$O$39,$N253-1999,Z$102-2020)</f>
        <v>76185.994272646727</v>
      </c>
      <c r="AA253" s="33" cm="1">
        <f t="array" ref="AA253">((AA$102=$R253)*((13-$S253)/12)+(AA$102&gt;$R253))*$Q253*INDEX($J$13:$O$39,$N253-1999,AA$102-2020)</f>
        <v>941658.88920991356</v>
      </c>
      <c r="AB253" s="33" cm="1">
        <f t="array" ref="AB253">((AB$102=$R253)*((13-$S253)/12)+(AB$102&gt;$R253))*$Q253*INDEX($J$13:$O$39,$N253-1999,AB$102-2020)</f>
        <v>975558.60922147043</v>
      </c>
      <c r="AC253" s="33" cm="1">
        <f t="array" ref="AC253">((AC$102=$R253)*((13-$S253)/12)+(AC$102&gt;$R253))*$Q253*INDEX($J$13:$O$39,$N253-1999,AC$102-2020)</f>
        <v>1002874.2502796716</v>
      </c>
    </row>
    <row r="254" spans="2:29" x14ac:dyDescent="0.2">
      <c r="B254" s="32">
        <f>'13. Input desinvesteringen'!B167</f>
        <v>151</v>
      </c>
      <c r="J254" s="32" t="str">
        <f>'13. Input desinvesteringen'!C167</f>
        <v>Transport</v>
      </c>
      <c r="K254" s="32" t="str">
        <f>'13. Input desinvesteringen'!D167</f>
        <v>EHS</v>
      </c>
      <c r="L254" s="32" t="str">
        <f>'13. Input desinvesteringen'!E167</f>
        <v>Nee</v>
      </c>
      <c r="M254" s="32" t="str">
        <f>'13. Input desinvesteringen'!F167</f>
        <v>GAW ultimo 2000 EHS OUD</v>
      </c>
      <c r="N254" s="82">
        <f>'13. Input desinvesteringen'!G167</f>
        <v>2000</v>
      </c>
      <c r="O254" s="82"/>
      <c r="P254" s="82"/>
      <c r="Q254" s="32">
        <f>'13. Input desinvesteringen'!H167</f>
        <v>438804</v>
      </c>
      <c r="R254" s="82">
        <f>'13. Input desinvesteringen'!I167</f>
        <v>2023</v>
      </c>
      <c r="S254" s="32">
        <f>'13. Input desinvesteringen'!J167</f>
        <v>13</v>
      </c>
      <c r="U254" s="76">
        <f t="shared" si="9"/>
        <v>0.97443793491415276</v>
      </c>
      <c r="V254" s="76">
        <f t="shared" si="10"/>
        <v>2.5562065085847241E-2</v>
      </c>
      <c r="X254" s="33" cm="1">
        <f t="array" ref="X254">((X$102=$R254)*((13-$S254)/12)+(X$102&gt;$R254))*$Q254*INDEX($J$13:$O$39,$N254-1999,X$102-2020)</f>
        <v>0</v>
      </c>
      <c r="Y254" s="33" cm="1">
        <f t="array" ref="Y254">((Y$102=$R254)*((13-$S254)/12)+(Y$102&gt;$R254))*$Q254*INDEX($J$13:$O$39,$N254-1999,Y$102-2020)</f>
        <v>0</v>
      </c>
      <c r="Z254" s="33" cm="1">
        <f t="array" ref="Z254">((Z$102=$R254)*((13-$S254)/12)+(Z$102&gt;$R254))*$Q254*INDEX($J$13:$O$39,$N254-1999,Z$102-2020)</f>
        <v>0</v>
      </c>
      <c r="AA254" s="33" cm="1">
        <f t="array" ref="AA254">((AA$102=$R254)*((13-$S254)/12)+(AA$102&gt;$R254))*$Q254*INDEX($J$13:$O$39,$N254-1999,AA$102-2020)</f>
        <v>767200.94324929896</v>
      </c>
      <c r="AB254" s="33" cm="1">
        <f t="array" ref="AB254">((AB$102=$R254)*((13-$S254)/12)+(AB$102&gt;$R254))*$Q254*INDEX($J$13:$O$39,$N254-1999,AB$102-2020)</f>
        <v>794820.17720627366</v>
      </c>
      <c r="AC254" s="33" cm="1">
        <f t="array" ref="AC254">((AC$102=$R254)*((13-$S254)/12)+(AC$102&gt;$R254))*$Q254*INDEX($J$13:$O$39,$N254-1999,AC$102-2020)</f>
        <v>817075.14216804935</v>
      </c>
    </row>
    <row r="255" spans="2:29" x14ac:dyDescent="0.2">
      <c r="B255" s="32">
        <f>'13. Input desinvesteringen'!B168</f>
        <v>152</v>
      </c>
      <c r="J255" s="32" t="str">
        <f>'13. Input desinvesteringen'!C168</f>
        <v>Transport</v>
      </c>
      <c r="K255" s="32" t="str">
        <f>'13. Input desinvesteringen'!D168</f>
        <v>HS</v>
      </c>
      <c r="L255" s="32" t="str">
        <f>'13. Input desinvesteringen'!E168</f>
        <v>Nee</v>
      </c>
      <c r="M255" s="32" t="str">
        <f>'13. Input desinvesteringen'!F168</f>
        <v>GAW ultimo 2000 Enexis</v>
      </c>
      <c r="N255" s="82">
        <f>'13. Input desinvesteringen'!G168</f>
        <v>2008</v>
      </c>
      <c r="O255" s="82"/>
      <c r="P255" s="82"/>
      <c r="Q255" s="32">
        <f>'13. Input desinvesteringen'!H168</f>
        <v>60501</v>
      </c>
      <c r="R255" s="82">
        <f>'13. Input desinvesteringen'!I168</f>
        <v>2023</v>
      </c>
      <c r="S255" s="32">
        <f>'13. Input desinvesteringen'!J168</f>
        <v>1</v>
      </c>
      <c r="U255" s="76">
        <f t="shared" si="9"/>
        <v>0.9501178320392909</v>
      </c>
      <c r="V255" s="76">
        <f t="shared" si="10"/>
        <v>4.9882167960709101E-2</v>
      </c>
      <c r="X255" s="33" cm="1">
        <f t="array" ref="X255">((X$102=$R255)*((13-$S255)/12)+(X$102&gt;$R255))*$Q255*INDEX($J$13:$O$39,$N255-1999,X$102-2020)</f>
        <v>0</v>
      </c>
      <c r="Y255" s="33" cm="1">
        <f t="array" ref="Y255">((Y$102=$R255)*((13-$S255)/12)+(Y$102&gt;$R255))*$Q255*INDEX($J$13:$O$39,$N255-1999,Y$102-2020)</f>
        <v>0</v>
      </c>
      <c r="Z255" s="33" cm="1">
        <f t="array" ref="Z255">((Z$102=$R255)*((13-$S255)/12)+(Z$102&gt;$R255))*$Q255*INDEX($J$13:$O$39,$N255-1999,Z$102-2020)</f>
        <v>85996.192612003681</v>
      </c>
      <c r="AA255" s="33" cm="1">
        <f t="array" ref="AA255">((AA$102=$R255)*((13-$S255)/12)+(AA$102&gt;$R255))*$Q255*INDEX($J$13:$O$39,$N255-1999,AA$102-2020)</f>
        <v>88576.078390363808</v>
      </c>
      <c r="AB255" s="33" cm="1">
        <f t="array" ref="AB255">((AB$102=$R255)*((13-$S255)/12)+(AB$102&gt;$R255))*$Q255*INDEX($J$13:$O$39,$N255-1999,AB$102-2020)</f>
        <v>91764.817212416907</v>
      </c>
      <c r="AC255" s="33" cm="1">
        <f t="array" ref="AC255">((AC$102=$R255)*((13-$S255)/12)+(AC$102&gt;$R255))*$Q255*INDEX($J$13:$O$39,$N255-1999,AC$102-2020)</f>
        <v>94334.232094364575</v>
      </c>
    </row>
    <row r="256" spans="2:29" x14ac:dyDescent="0.2">
      <c r="B256" s="32">
        <f>'13. Input desinvesteringen'!B169</f>
        <v>153</v>
      </c>
      <c r="J256" s="32" t="str">
        <f>'13. Input desinvesteringen'!C169</f>
        <v>Transport</v>
      </c>
      <c r="K256" s="32" t="str">
        <f>'13. Input desinvesteringen'!D169</f>
        <v>HS</v>
      </c>
      <c r="L256" s="32" t="str">
        <f>'13. Input desinvesteringen'!E169</f>
        <v>Nee</v>
      </c>
      <c r="M256" s="32" t="str">
        <f>'13. Input desinvesteringen'!F169</f>
        <v>GAW ultimo 2000 Enexis</v>
      </c>
      <c r="N256" s="82">
        <f>'13. Input desinvesteringen'!G169</f>
        <v>2008</v>
      </c>
      <c r="O256" s="82"/>
      <c r="P256" s="82"/>
      <c r="Q256" s="32">
        <f>'13. Input desinvesteringen'!H169</f>
        <v>1490122</v>
      </c>
      <c r="R256" s="82">
        <f>'13. Input desinvesteringen'!I169</f>
        <v>2023</v>
      </c>
      <c r="S256" s="32">
        <f>'13. Input desinvesteringen'!J169</f>
        <v>3</v>
      </c>
      <c r="U256" s="76">
        <f t="shared" si="9"/>
        <v>0.9501178320392909</v>
      </c>
      <c r="V256" s="76">
        <f t="shared" si="10"/>
        <v>4.9882167960709101E-2</v>
      </c>
      <c r="X256" s="33" cm="1">
        <f t="array" ref="X256">((X$102=$R256)*((13-$S256)/12)+(X$102&gt;$R256))*$Q256*INDEX($J$13:$O$39,$N256-1999,X$102-2020)</f>
        <v>0</v>
      </c>
      <c r="Y256" s="33" cm="1">
        <f t="array" ref="Y256">((Y$102=$R256)*((13-$S256)/12)+(Y$102&gt;$R256))*$Q256*INDEX($J$13:$O$39,$N256-1999,Y$102-2020)</f>
        <v>0</v>
      </c>
      <c r="Z256" s="33" cm="1">
        <f t="array" ref="Z256">((Z$102=$R256)*((13-$S256)/12)+(Z$102&gt;$R256))*$Q256*INDEX($J$13:$O$39,$N256-1999,Z$102-2020)</f>
        <v>1765050.9706090831</v>
      </c>
      <c r="AA256" s="33" cm="1">
        <f t="array" ref="AA256">((AA$102=$R256)*((13-$S256)/12)+(AA$102&gt;$R256))*$Q256*INDEX($J$13:$O$39,$N256-1999,AA$102-2020)</f>
        <v>2181602.9996728268</v>
      </c>
      <c r="AB256" s="33" cm="1">
        <f t="array" ref="AB256">((AB$102=$R256)*((13-$S256)/12)+(AB$102&gt;$R256))*$Q256*INDEX($J$13:$O$39,$N256-1999,AB$102-2020)</f>
        <v>2260140.7076610485</v>
      </c>
      <c r="AC256" s="33" cm="1">
        <f t="array" ref="AC256">((AC$102=$R256)*((13-$S256)/12)+(AC$102&gt;$R256))*$Q256*INDEX($J$13:$O$39,$N256-1999,AC$102-2020)</f>
        <v>2323424.6474755579</v>
      </c>
    </row>
    <row r="257" spans="2:29" x14ac:dyDescent="0.2">
      <c r="B257" s="32">
        <f>'13. Input desinvesteringen'!B170</f>
        <v>154</v>
      </c>
      <c r="J257" s="32" t="str">
        <f>'13. Input desinvesteringen'!C170</f>
        <v>Transport</v>
      </c>
      <c r="K257" s="32" t="str">
        <f>'13. Input desinvesteringen'!D170</f>
        <v>HS</v>
      </c>
      <c r="L257" s="32" t="str">
        <f>'13. Input desinvesteringen'!E170</f>
        <v>Nee</v>
      </c>
      <c r="M257" s="32" t="str">
        <f>'13. Input desinvesteringen'!F170</f>
        <v>GAW ultimo 2000 Enexis</v>
      </c>
      <c r="N257" s="82">
        <f>'13. Input desinvesteringen'!G170</f>
        <v>2008</v>
      </c>
      <c r="O257" s="82"/>
      <c r="P257" s="82"/>
      <c r="Q257" s="32">
        <f>'13. Input desinvesteringen'!H170</f>
        <v>121525</v>
      </c>
      <c r="R257" s="82">
        <f>'13. Input desinvesteringen'!I170</f>
        <v>2023</v>
      </c>
      <c r="S257" s="32">
        <f>'13. Input desinvesteringen'!J170</f>
        <v>6</v>
      </c>
      <c r="U257" s="76">
        <f t="shared" si="9"/>
        <v>0.9501178320392909</v>
      </c>
      <c r="V257" s="76">
        <f t="shared" si="10"/>
        <v>4.9882167960709101E-2</v>
      </c>
      <c r="X257" s="33" cm="1">
        <f t="array" ref="X257">((X$102=$R257)*((13-$S257)/12)+(X$102&gt;$R257))*$Q257*INDEX($J$13:$O$39,$N257-1999,X$102-2020)</f>
        <v>0</v>
      </c>
      <c r="Y257" s="33" cm="1">
        <f t="array" ref="Y257">((Y$102=$R257)*((13-$S257)/12)+(Y$102&gt;$R257))*$Q257*INDEX($J$13:$O$39,$N257-1999,Y$102-2020)</f>
        <v>0</v>
      </c>
      <c r="Z257" s="33" cm="1">
        <f t="array" ref="Z257">((Z$102=$R257)*((13-$S257)/12)+(Z$102&gt;$R257))*$Q257*INDEX($J$13:$O$39,$N257-1999,Z$102-2020)</f>
        <v>100762.53718976579</v>
      </c>
      <c r="AA257" s="33" cm="1">
        <f t="array" ref="AA257">((AA$102=$R257)*((13-$S257)/12)+(AA$102&gt;$R257))*$Q257*INDEX($J$13:$O$39,$N257-1999,AA$102-2020)</f>
        <v>177917.85138078645</v>
      </c>
      <c r="AB257" s="33" cm="1">
        <f t="array" ref="AB257">((AB$102=$R257)*((13-$S257)/12)+(AB$102&gt;$R257))*$Q257*INDEX($J$13:$O$39,$N257-1999,AB$102-2020)</f>
        <v>184322.89403049479</v>
      </c>
      <c r="AC257" s="33" cm="1">
        <f t="array" ref="AC257">((AC$102=$R257)*((13-$S257)/12)+(AC$102&gt;$R257))*$Q257*INDEX($J$13:$O$39,$N257-1999,AC$102-2020)</f>
        <v>189483.93506334862</v>
      </c>
    </row>
    <row r="258" spans="2:29" x14ac:dyDescent="0.2">
      <c r="B258" s="32">
        <f>'13. Input desinvesteringen'!B171</f>
        <v>155</v>
      </c>
      <c r="J258" s="32" t="str">
        <f>'13. Input desinvesteringen'!C171</f>
        <v>Transport</v>
      </c>
      <c r="K258" s="32" t="str">
        <f>'13. Input desinvesteringen'!D171</f>
        <v>HS</v>
      </c>
      <c r="L258" s="32" t="str">
        <f>'13. Input desinvesteringen'!E171</f>
        <v>Nee</v>
      </c>
      <c r="M258" s="32" t="str">
        <f>'13. Input desinvesteringen'!F171</f>
        <v>GAW ultimo 2000 Enexis</v>
      </c>
      <c r="N258" s="82">
        <f>'13. Input desinvesteringen'!G171</f>
        <v>2008</v>
      </c>
      <c r="O258" s="82"/>
      <c r="P258" s="82"/>
      <c r="Q258" s="32">
        <f>'13. Input desinvesteringen'!H171</f>
        <v>1900</v>
      </c>
      <c r="R258" s="82">
        <f>'13. Input desinvesteringen'!I171</f>
        <v>2023</v>
      </c>
      <c r="S258" s="32">
        <f>'13. Input desinvesteringen'!J171</f>
        <v>7</v>
      </c>
      <c r="U258" s="76">
        <f t="shared" si="9"/>
        <v>0.9501178320392909</v>
      </c>
      <c r="V258" s="76">
        <f t="shared" si="10"/>
        <v>4.9882167960709101E-2</v>
      </c>
      <c r="X258" s="33" cm="1">
        <f t="array" ref="X258">((X$102=$R258)*((13-$S258)/12)+(X$102&gt;$R258))*$Q258*INDEX($J$13:$O$39,$N258-1999,X$102-2020)</f>
        <v>0</v>
      </c>
      <c r="Y258" s="33" cm="1">
        <f t="array" ref="Y258">((Y$102=$R258)*((13-$S258)/12)+(Y$102&gt;$R258))*$Q258*INDEX($J$13:$O$39,$N258-1999,Y$102-2020)</f>
        <v>0</v>
      </c>
      <c r="Z258" s="33" cm="1">
        <f t="array" ref="Z258">((Z$102=$R258)*((13-$S258)/12)+(Z$102&gt;$R258))*$Q258*INDEX($J$13:$O$39,$N258-1999,Z$102-2020)</f>
        <v>1350.331118186534</v>
      </c>
      <c r="AA258" s="33" cm="1">
        <f t="array" ref="AA258">((AA$102=$R258)*((13-$S258)/12)+(AA$102&gt;$R258))*$Q258*INDEX($J$13:$O$39,$N258-1999,AA$102-2020)</f>
        <v>2781.6821034642603</v>
      </c>
      <c r="AB258" s="33" cm="1">
        <f t="array" ref="AB258">((AB$102=$R258)*((13-$S258)/12)+(AB$102&gt;$R258))*$Q258*INDEX($J$13:$O$39,$N258-1999,AB$102-2020)</f>
        <v>2881.8226591889743</v>
      </c>
      <c r="AC258" s="33" cm="1">
        <f t="array" ref="AC258">((AC$102=$R258)*((13-$S258)/12)+(AC$102&gt;$R258))*$Q258*INDEX($J$13:$O$39,$N258-1999,AC$102-2020)</f>
        <v>2962.5136936462654</v>
      </c>
    </row>
    <row r="259" spans="2:29" x14ac:dyDescent="0.2">
      <c r="B259" s="32">
        <f>'13. Input desinvesteringen'!B172</f>
        <v>156</v>
      </c>
      <c r="J259" s="32" t="str">
        <f>'13. Input desinvesteringen'!C172</f>
        <v>Transport</v>
      </c>
      <c r="K259" s="32" t="str">
        <f>'13. Input desinvesteringen'!D172</f>
        <v>HS</v>
      </c>
      <c r="L259" s="32" t="str">
        <f>'13. Input desinvesteringen'!E172</f>
        <v>Nee</v>
      </c>
      <c r="M259" s="32" t="str">
        <f>'13. Input desinvesteringen'!F172</f>
        <v>GAW ultimo 2000 Enexis</v>
      </c>
      <c r="N259" s="82">
        <f>'13. Input desinvesteringen'!G172</f>
        <v>2008</v>
      </c>
      <c r="O259" s="82"/>
      <c r="P259" s="82"/>
      <c r="Q259" s="32">
        <f>'13. Input desinvesteringen'!H172</f>
        <v>19839</v>
      </c>
      <c r="R259" s="82">
        <f>'13. Input desinvesteringen'!I172</f>
        <v>2023</v>
      </c>
      <c r="S259" s="32">
        <f>'13. Input desinvesteringen'!J172</f>
        <v>8</v>
      </c>
      <c r="U259" s="76">
        <f t="shared" si="9"/>
        <v>0.9501178320392909</v>
      </c>
      <c r="V259" s="76">
        <f t="shared" si="10"/>
        <v>4.9882167960709101E-2</v>
      </c>
      <c r="X259" s="33" cm="1">
        <f t="array" ref="X259">((X$102=$R259)*((13-$S259)/12)+(X$102&gt;$R259))*$Q259*INDEX($J$13:$O$39,$N259-1999,X$102-2020)</f>
        <v>0</v>
      </c>
      <c r="Y259" s="33" cm="1">
        <f t="array" ref="Y259">((Y$102=$R259)*((13-$S259)/12)+(Y$102&gt;$R259))*$Q259*INDEX($J$13:$O$39,$N259-1999,Y$102-2020)</f>
        <v>0</v>
      </c>
      <c r="Z259" s="33" cm="1">
        <f t="array" ref="Z259">((Z$102=$R259)*((13-$S259)/12)+(Z$102&gt;$R259))*$Q259*INDEX($J$13:$O$39,$N259-1999,Z$102-2020)</f>
        <v>11749.657479694144</v>
      </c>
      <c r="AA259" s="33" cm="1">
        <f t="array" ref="AA259">((AA$102=$R259)*((13-$S259)/12)+(AA$102&gt;$R259))*$Q259*INDEX($J$13:$O$39,$N259-1999,AA$102-2020)</f>
        <v>29045.15328980393</v>
      </c>
      <c r="AB259" s="33" cm="1">
        <f t="array" ref="AB259">((AB$102=$R259)*((13-$S259)/12)+(AB$102&gt;$R259))*$Q259*INDEX($J$13:$O$39,$N259-1999,AB$102-2020)</f>
        <v>30090.778808236872</v>
      </c>
      <c r="AC259" s="33" cm="1">
        <f t="array" ref="AC259">((AC$102=$R259)*((13-$S259)/12)+(AC$102&gt;$R259))*$Q259*INDEX($J$13:$O$39,$N259-1999,AC$102-2020)</f>
        <v>30933.320614867505</v>
      </c>
    </row>
    <row r="260" spans="2:29" x14ac:dyDescent="0.2">
      <c r="B260" s="32">
        <f>'13. Input desinvesteringen'!B173</f>
        <v>157</v>
      </c>
      <c r="J260" s="32" t="str">
        <f>'13. Input desinvesteringen'!C173</f>
        <v>Transport</v>
      </c>
      <c r="K260" s="32" t="str">
        <f>'13. Input desinvesteringen'!D173</f>
        <v>HS</v>
      </c>
      <c r="L260" s="32" t="str">
        <f>'13. Input desinvesteringen'!E173</f>
        <v>Nee</v>
      </c>
      <c r="M260" s="32" t="str">
        <f>'13. Input desinvesteringen'!F173</f>
        <v>GAW ultimo 2000 Enexis</v>
      </c>
      <c r="N260" s="82">
        <f>'13. Input desinvesteringen'!G173</f>
        <v>2008</v>
      </c>
      <c r="O260" s="82"/>
      <c r="P260" s="82"/>
      <c r="Q260" s="32">
        <f>'13. Input desinvesteringen'!H173</f>
        <v>216461</v>
      </c>
      <c r="R260" s="82">
        <f>'13. Input desinvesteringen'!I173</f>
        <v>2023</v>
      </c>
      <c r="S260" s="32">
        <f>'13. Input desinvesteringen'!J173</f>
        <v>10</v>
      </c>
      <c r="U260" s="76">
        <f t="shared" si="9"/>
        <v>0.9501178320392909</v>
      </c>
      <c r="V260" s="76">
        <f t="shared" si="10"/>
        <v>4.9882167960709101E-2</v>
      </c>
      <c r="X260" s="33" cm="1">
        <f t="array" ref="X260">((X$102=$R260)*((13-$S260)/12)+(X$102&gt;$R260))*$Q260*INDEX($J$13:$O$39,$N260-1999,X$102-2020)</f>
        <v>0</v>
      </c>
      <c r="Y260" s="33" cm="1">
        <f t="array" ref="Y260">((Y$102=$R260)*((13-$S260)/12)+(Y$102&gt;$R260))*$Q260*INDEX($J$13:$O$39,$N260-1999,Y$102-2020)</f>
        <v>0</v>
      </c>
      <c r="Z260" s="33" cm="1">
        <f t="array" ref="Z260">((Z$102=$R260)*((13-$S260)/12)+(Z$102&gt;$R260))*$Q260*INDEX($J$13:$O$39,$N260-1999,Z$102-2020)</f>
        <v>76919.48004573035</v>
      </c>
      <c r="AA260" s="33" cm="1">
        <f t="array" ref="AA260">((AA$102=$R260)*((13-$S260)/12)+(AA$102&gt;$R260))*$Q260*INDEX($J$13:$O$39,$N260-1999,AA$102-2020)</f>
        <v>316908.25778840907</v>
      </c>
      <c r="AB260" s="33" cm="1">
        <f t="array" ref="AB260">((AB$102=$R260)*((13-$S260)/12)+(AB$102&gt;$R260))*$Q260*INDEX($J$13:$O$39,$N260-1999,AB$102-2020)</f>
        <v>328316.95506879187</v>
      </c>
      <c r="AC260" s="33" cm="1">
        <f t="array" ref="AC260">((AC$102=$R260)*((13-$S260)/12)+(AC$102&gt;$R260))*$Q260*INDEX($J$13:$O$39,$N260-1999,AC$102-2020)</f>
        <v>337509.82981071802</v>
      </c>
    </row>
    <row r="261" spans="2:29" x14ac:dyDescent="0.2">
      <c r="B261" s="32">
        <f>'13. Input desinvesteringen'!B174</f>
        <v>158</v>
      </c>
      <c r="J261" s="32" t="str">
        <f>'13. Input desinvesteringen'!C174</f>
        <v>Transport</v>
      </c>
      <c r="K261" s="32" t="str">
        <f>'13. Input desinvesteringen'!D174</f>
        <v>HS</v>
      </c>
      <c r="L261" s="32" t="str">
        <f>'13. Input desinvesteringen'!E174</f>
        <v>Nee</v>
      </c>
      <c r="M261" s="32" t="str">
        <f>'13. Input desinvesteringen'!F174</f>
        <v>GAW ultimo 2000 Enexis</v>
      </c>
      <c r="N261" s="82">
        <f>'13. Input desinvesteringen'!G174</f>
        <v>2008</v>
      </c>
      <c r="O261" s="82"/>
      <c r="P261" s="82"/>
      <c r="Q261" s="32">
        <f>'13. Input desinvesteringen'!H174</f>
        <v>22073</v>
      </c>
      <c r="R261" s="82">
        <f>'13. Input desinvesteringen'!I174</f>
        <v>2023</v>
      </c>
      <c r="S261" s="32">
        <f>'13. Input desinvesteringen'!J174</f>
        <v>12</v>
      </c>
      <c r="U261" s="76">
        <f t="shared" si="9"/>
        <v>0.9501178320392909</v>
      </c>
      <c r="V261" s="76">
        <f t="shared" si="10"/>
        <v>4.9882167960709101E-2</v>
      </c>
      <c r="X261" s="33" cm="1">
        <f t="array" ref="X261">((X$102=$R261)*((13-$S261)/12)+(X$102&gt;$R261))*$Q261*INDEX($J$13:$O$39,$N261-1999,X$102-2020)</f>
        <v>0</v>
      </c>
      <c r="Y261" s="33" cm="1">
        <f t="array" ref="Y261">((Y$102=$R261)*((13-$S261)/12)+(Y$102&gt;$R261))*$Q261*INDEX($J$13:$O$39,$N261-1999,Y$102-2020)</f>
        <v>0</v>
      </c>
      <c r="Z261" s="33" cm="1">
        <f t="array" ref="Z261">((Z$102=$R261)*((13-$S261)/12)+(Z$102&gt;$R261))*$Q261*INDEX($J$13:$O$39,$N261-1999,Z$102-2020)</f>
        <v>2614.5490150641549</v>
      </c>
      <c r="AA261" s="33" cm="1">
        <f t="array" ref="AA261">((AA$102=$R261)*((13-$S261)/12)+(AA$102&gt;$R261))*$Q261*INDEX($J$13:$O$39,$N261-1999,AA$102-2020)</f>
        <v>32315.825826192959</v>
      </c>
      <c r="AB261" s="33" cm="1">
        <f t="array" ref="AB261">((AB$102=$R261)*((13-$S261)/12)+(AB$102&gt;$R261))*$Q261*INDEX($J$13:$O$39,$N261-1999,AB$102-2020)</f>
        <v>33479.195555935905</v>
      </c>
      <c r="AC261" s="33" cm="1">
        <f t="array" ref="AC261">((AC$102=$R261)*((13-$S261)/12)+(AC$102&gt;$R261))*$Q261*INDEX($J$13:$O$39,$N261-1999,AC$102-2020)</f>
        <v>34416.613031502115</v>
      </c>
    </row>
    <row r="262" spans="2:29" x14ac:dyDescent="0.2">
      <c r="B262" s="32">
        <f>'13. Input desinvesteringen'!B175</f>
        <v>159</v>
      </c>
      <c r="J262" s="32" t="str">
        <f>'13. Input desinvesteringen'!C175</f>
        <v>Transport</v>
      </c>
      <c r="K262" s="32" t="str">
        <f>'13. Input desinvesteringen'!D175</f>
        <v>HS</v>
      </c>
      <c r="L262" s="32" t="str">
        <f>'13. Input desinvesteringen'!E175</f>
        <v>Nee</v>
      </c>
      <c r="M262" s="32" t="str">
        <f>'13. Input desinvesteringen'!F175</f>
        <v>GAW ultimo 2000 Liander (overname: 2008)</v>
      </c>
      <c r="N262" s="82">
        <f>'13. Input desinvesteringen'!G175</f>
        <v>2008</v>
      </c>
      <c r="O262" s="82"/>
      <c r="P262" s="82"/>
      <c r="Q262" s="32">
        <f>'13. Input desinvesteringen'!H175</f>
        <v>62668</v>
      </c>
      <c r="R262" s="82">
        <f>'13. Input desinvesteringen'!I175</f>
        <v>2023</v>
      </c>
      <c r="S262" s="32">
        <f>'13. Input desinvesteringen'!J175</f>
        <v>1</v>
      </c>
      <c r="U262" s="76">
        <f t="shared" si="9"/>
        <v>0.9501178320392909</v>
      </c>
      <c r="V262" s="76">
        <f t="shared" si="10"/>
        <v>4.9882167960709101E-2</v>
      </c>
      <c r="X262" s="33" cm="1">
        <f t="array" ref="X262">((X$102=$R262)*((13-$S262)/12)+(X$102&gt;$R262))*$Q262*INDEX($J$13:$O$39,$N262-1999,X$102-2020)</f>
        <v>0</v>
      </c>
      <c r="Y262" s="33" cm="1">
        <f t="array" ref="Y262">((Y$102=$R262)*((13-$S262)/12)+(Y$102&gt;$R262))*$Q262*INDEX($J$13:$O$39,$N262-1999,Y$102-2020)</f>
        <v>0</v>
      </c>
      <c r="Z262" s="33" cm="1">
        <f t="array" ref="Z262">((Z$102=$R262)*((13-$S262)/12)+(Z$102&gt;$R262))*$Q262*INDEX($J$13:$O$39,$N262-1999,Z$102-2020)</f>
        <v>89076.368962646025</v>
      </c>
      <c r="AA262" s="33" cm="1">
        <f t="array" ref="AA262">((AA$102=$R262)*((13-$S262)/12)+(AA$102&gt;$R262))*$Q262*INDEX($J$13:$O$39,$N262-1999,AA$102-2020)</f>
        <v>91748.660031525404</v>
      </c>
      <c r="AB262" s="33" cm="1">
        <f t="array" ref="AB262">((AB$102=$R262)*((13-$S262)/12)+(AB$102&gt;$R262))*$Q262*INDEX($J$13:$O$39,$N262-1999,AB$102-2020)</f>
        <v>95051.611792660333</v>
      </c>
      <c r="AC262" s="33" cm="1">
        <f t="array" ref="AC262">((AC$102=$R262)*((13-$S262)/12)+(AC$102&gt;$R262))*$Q262*INDEX($J$13:$O$39,$N262-1999,AC$102-2020)</f>
        <v>97713.056922854812</v>
      </c>
    </row>
    <row r="263" spans="2:29" x14ac:dyDescent="0.2">
      <c r="B263" s="32">
        <f>'13. Input desinvesteringen'!B176</f>
        <v>160</v>
      </c>
      <c r="J263" s="32" t="str">
        <f>'13. Input desinvesteringen'!C176</f>
        <v>Transport</v>
      </c>
      <c r="K263" s="32" t="str">
        <f>'13. Input desinvesteringen'!D176</f>
        <v>HS</v>
      </c>
      <c r="L263" s="32" t="str">
        <f>'13. Input desinvesteringen'!E176</f>
        <v>Nee</v>
      </c>
      <c r="M263" s="32" t="str">
        <f>'13. Input desinvesteringen'!F176</f>
        <v>GAW ultimo 2000 Liander (overname: 2008)</v>
      </c>
      <c r="N263" s="82">
        <f>'13. Input desinvesteringen'!G176</f>
        <v>2008</v>
      </c>
      <c r="O263" s="82"/>
      <c r="P263" s="82"/>
      <c r="Q263" s="32">
        <f>'13. Input desinvesteringen'!H176</f>
        <v>17567</v>
      </c>
      <c r="R263" s="82">
        <f>'13. Input desinvesteringen'!I176</f>
        <v>2023</v>
      </c>
      <c r="S263" s="32">
        <f>'13. Input desinvesteringen'!J176</f>
        <v>4</v>
      </c>
      <c r="U263" s="76">
        <f t="shared" si="9"/>
        <v>0.9501178320392909</v>
      </c>
      <c r="V263" s="76">
        <f t="shared" si="10"/>
        <v>4.9882167960709101E-2</v>
      </c>
      <c r="X263" s="33" cm="1">
        <f t="array" ref="X263">((X$102=$R263)*((13-$S263)/12)+(X$102&gt;$R263))*$Q263*INDEX($J$13:$O$39,$N263-1999,X$102-2020)</f>
        <v>0</v>
      </c>
      <c r="Y263" s="33" cm="1">
        <f t="array" ref="Y263">((Y$102=$R263)*((13-$S263)/12)+(Y$102&gt;$R263))*$Q263*INDEX($J$13:$O$39,$N263-1999,Y$102-2020)</f>
        <v>0</v>
      </c>
      <c r="Z263" s="33" cm="1">
        <f t="array" ref="Z263">((Z$102=$R263)*((13-$S263)/12)+(Z$102&gt;$R263))*$Q263*INDEX($J$13:$O$39,$N263-1999,Z$102-2020)</f>
        <v>18727.315857775928</v>
      </c>
      <c r="AA263" s="33" cm="1">
        <f t="array" ref="AA263">((AA$102=$R263)*((13-$S263)/12)+(AA$102&gt;$R263))*$Q263*INDEX($J$13:$O$39,$N263-1999,AA$102-2020)</f>
        <v>25718.847111345611</v>
      </c>
      <c r="AB263" s="33" cm="1">
        <f t="array" ref="AB263">((AB$102=$R263)*((13-$S263)/12)+(AB$102&gt;$R263))*$Q263*INDEX($J$13:$O$39,$N263-1999,AB$102-2020)</f>
        <v>26644.725607354056</v>
      </c>
      <c r="AC263" s="33" cm="1">
        <f t="array" ref="AC263">((AC$102=$R263)*((13-$S263)/12)+(AC$102&gt;$R263))*$Q263*INDEX($J$13:$O$39,$N263-1999,AC$102-2020)</f>
        <v>27390.777924359969</v>
      </c>
    </row>
    <row r="264" spans="2:29" x14ac:dyDescent="0.2">
      <c r="B264" s="32">
        <f>'13. Input desinvesteringen'!B177</f>
        <v>161</v>
      </c>
      <c r="J264" s="32" t="str">
        <f>'13. Input desinvesteringen'!C177</f>
        <v>Transport</v>
      </c>
      <c r="K264" s="32" t="str">
        <f>'13. Input desinvesteringen'!D177</f>
        <v>HS</v>
      </c>
      <c r="L264" s="32" t="str">
        <f>'13. Input desinvesteringen'!E177</f>
        <v>Nee</v>
      </c>
      <c r="M264" s="32" t="str">
        <f>'13. Input desinvesteringen'!F177</f>
        <v>GAW ultimo 2000 Liander (overname: 2008)</v>
      </c>
      <c r="N264" s="82">
        <f>'13. Input desinvesteringen'!G177</f>
        <v>2008</v>
      </c>
      <c r="O264" s="82"/>
      <c r="P264" s="82"/>
      <c r="Q264" s="32">
        <f>'13. Input desinvesteringen'!H177</f>
        <v>71185</v>
      </c>
      <c r="R264" s="82">
        <f>'13. Input desinvesteringen'!I177</f>
        <v>2023</v>
      </c>
      <c r="S264" s="32">
        <f>'13. Input desinvesteringen'!J177</f>
        <v>5</v>
      </c>
      <c r="U264" s="76">
        <f t="shared" si="9"/>
        <v>0.9501178320392909</v>
      </c>
      <c r="V264" s="76">
        <f t="shared" si="10"/>
        <v>4.9882167960709101E-2</v>
      </c>
      <c r="X264" s="33" cm="1">
        <f t="array" ref="X264">((X$102=$R264)*((13-$S264)/12)+(X$102&gt;$R264))*$Q264*INDEX($J$13:$O$39,$N264-1999,X$102-2020)</f>
        <v>0</v>
      </c>
      <c r="Y264" s="33" cm="1">
        <f t="array" ref="Y264">((Y$102=$R264)*((13-$S264)/12)+(Y$102&gt;$R264))*$Q264*INDEX($J$13:$O$39,$N264-1999,Y$102-2020)</f>
        <v>0</v>
      </c>
      <c r="Z264" s="33" cm="1">
        <f t="array" ref="Z264">((Z$102=$R264)*((13-$S264)/12)+(Z$102&gt;$R264))*$Q264*INDEX($J$13:$O$39,$N264-1999,Z$102-2020)</f>
        <v>67454.961858321694</v>
      </c>
      <c r="AA264" s="33" cm="1">
        <f t="array" ref="AA264">((AA$102=$R264)*((13-$S264)/12)+(AA$102&gt;$R264))*$Q264*INDEX($J$13:$O$39,$N264-1999,AA$102-2020)</f>
        <v>104217.91607110704</v>
      </c>
      <c r="AB264" s="33" cm="1">
        <f t="array" ref="AB264">((AB$102=$R264)*((13-$S264)/12)+(AB$102&gt;$R264))*$Q264*INDEX($J$13:$O$39,$N264-1999,AB$102-2020)</f>
        <v>107969.76104966691</v>
      </c>
      <c r="AC264" s="33" cm="1">
        <f t="array" ref="AC264">((AC$102=$R264)*((13-$S264)/12)+(AC$102&gt;$R264))*$Q264*INDEX($J$13:$O$39,$N264-1999,AC$102-2020)</f>
        <v>110992.91435905758</v>
      </c>
    </row>
    <row r="265" spans="2:29" x14ac:dyDescent="0.2">
      <c r="B265" s="32">
        <f>'13. Input desinvesteringen'!B178</f>
        <v>162</v>
      </c>
      <c r="J265" s="32" t="str">
        <f>'13. Input desinvesteringen'!C178</f>
        <v>Transport</v>
      </c>
      <c r="K265" s="32" t="str">
        <f>'13. Input desinvesteringen'!D178</f>
        <v>HS</v>
      </c>
      <c r="L265" s="32" t="str">
        <f>'13. Input desinvesteringen'!E178</f>
        <v>Nee</v>
      </c>
      <c r="M265" s="32" t="str">
        <f>'13. Input desinvesteringen'!F178</f>
        <v>GAW ultimo 2000 Liander (overname: 2008)</v>
      </c>
      <c r="N265" s="82">
        <f>'13. Input desinvesteringen'!G178</f>
        <v>2008</v>
      </c>
      <c r="O265" s="82"/>
      <c r="P265" s="82"/>
      <c r="Q265" s="32">
        <f>'13. Input desinvesteringen'!H178</f>
        <v>110734</v>
      </c>
      <c r="R265" s="82">
        <f>'13. Input desinvesteringen'!I178</f>
        <v>2023</v>
      </c>
      <c r="S265" s="32">
        <f>'13. Input desinvesteringen'!J178</f>
        <v>6</v>
      </c>
      <c r="U265" s="76">
        <f t="shared" si="9"/>
        <v>0.9501178320392909</v>
      </c>
      <c r="V265" s="76">
        <f t="shared" si="10"/>
        <v>4.9882167960709101E-2</v>
      </c>
      <c r="X265" s="33" cm="1">
        <f t="array" ref="X265">((X$102=$R265)*((13-$S265)/12)+(X$102&gt;$R265))*$Q265*INDEX($J$13:$O$39,$N265-1999,X$102-2020)</f>
        <v>0</v>
      </c>
      <c r="Y265" s="33" cm="1">
        <f t="array" ref="Y265">((Y$102=$R265)*((13-$S265)/12)+(Y$102&gt;$R265))*$Q265*INDEX($J$13:$O$39,$N265-1999,Y$102-2020)</f>
        <v>0</v>
      </c>
      <c r="Z265" s="33" cm="1">
        <f t="array" ref="Z265">((Z$102=$R265)*((13-$S265)/12)+(Z$102&gt;$R265))*$Q265*INDEX($J$13:$O$39,$N265-1999,Z$102-2020)</f>
        <v>91815.17213060295</v>
      </c>
      <c r="AA265" s="33" cm="1">
        <f t="array" ref="AA265">((AA$102=$R265)*((13-$S265)/12)+(AA$102&gt;$R265))*$Q265*INDEX($J$13:$O$39,$N265-1999,AA$102-2020)</f>
        <v>162119.3610763218</v>
      </c>
      <c r="AB265" s="33" cm="1">
        <f t="array" ref="AB265">((AB$102=$R265)*((13-$S265)/12)+(AB$102&gt;$R265))*$Q265*INDEX($J$13:$O$39,$N265-1999,AB$102-2020)</f>
        <v>167955.6580750694</v>
      </c>
      <c r="AC265" s="33" cm="1">
        <f t="array" ref="AC265">((AC$102=$R265)*((13-$S265)/12)+(AC$102&gt;$R265))*$Q265*INDEX($J$13:$O$39,$N265-1999,AC$102-2020)</f>
        <v>172658.41650117133</v>
      </c>
    </row>
    <row r="266" spans="2:29" x14ac:dyDescent="0.2">
      <c r="B266" s="32">
        <f>'13. Input desinvesteringen'!B179</f>
        <v>163</v>
      </c>
      <c r="J266" s="32" t="str">
        <f>'13. Input desinvesteringen'!C179</f>
        <v>Transport</v>
      </c>
      <c r="K266" s="32" t="str">
        <f>'13. Input desinvesteringen'!D179</f>
        <v>HS</v>
      </c>
      <c r="L266" s="32" t="str">
        <f>'13. Input desinvesteringen'!E179</f>
        <v>Nee</v>
      </c>
      <c r="M266" s="32" t="str">
        <f>'13. Input desinvesteringen'!F179</f>
        <v>GAW ultimo 2000 Liander (overname: 2008)</v>
      </c>
      <c r="N266" s="82">
        <f>'13. Input desinvesteringen'!G179</f>
        <v>2008</v>
      </c>
      <c r="O266" s="82"/>
      <c r="P266" s="82"/>
      <c r="Q266" s="32">
        <f>'13. Input desinvesteringen'!H179</f>
        <v>372227</v>
      </c>
      <c r="R266" s="82">
        <f>'13. Input desinvesteringen'!I179</f>
        <v>2023</v>
      </c>
      <c r="S266" s="32">
        <f>'13. Input desinvesteringen'!J179</f>
        <v>8</v>
      </c>
      <c r="U266" s="76">
        <f t="shared" si="9"/>
        <v>0.9501178320392909</v>
      </c>
      <c r="V266" s="76">
        <f t="shared" si="10"/>
        <v>4.9882167960709101E-2</v>
      </c>
      <c r="X266" s="33" cm="1">
        <f t="array" ref="X266">((X$102=$R266)*((13-$S266)/12)+(X$102&gt;$R266))*$Q266*INDEX($J$13:$O$39,$N266-1999,X$102-2020)</f>
        <v>0</v>
      </c>
      <c r="Y266" s="33" cm="1">
        <f t="array" ref="Y266">((Y$102=$R266)*((13-$S266)/12)+(Y$102&gt;$R266))*$Q266*INDEX($J$13:$O$39,$N266-1999,Y$102-2020)</f>
        <v>0</v>
      </c>
      <c r="Z266" s="33" cm="1">
        <f t="array" ref="Z266">((Z$102=$R266)*((13-$S266)/12)+(Z$102&gt;$R266))*$Q266*INDEX($J$13:$O$39,$N266-1999,Z$102-2020)</f>
        <v>220451.62330228905</v>
      </c>
      <c r="AA266" s="33" cm="1">
        <f t="array" ref="AA266">((AA$102=$R266)*((13-$S266)/12)+(AA$102&gt;$R266))*$Q266*INDEX($J$13:$O$39,$N266-1999,AA$102-2020)</f>
        <v>544956.41280325851</v>
      </c>
      <c r="AB266" s="33" cm="1">
        <f t="array" ref="AB266">((AB$102=$R266)*((13-$S266)/12)+(AB$102&gt;$R266))*$Q266*INDEX($J$13:$O$39,$N266-1999,AB$102-2020)</f>
        <v>564574.84366417595</v>
      </c>
      <c r="AC266" s="33" cm="1">
        <f t="array" ref="AC266">((AC$102=$R266)*((13-$S266)/12)+(AC$102&gt;$R266))*$Q266*INDEX($J$13:$O$39,$N266-1999,AC$102-2020)</f>
        <v>580382.93928677286</v>
      </c>
    </row>
    <row r="267" spans="2:29" x14ac:dyDescent="0.2">
      <c r="B267" s="32">
        <f>'13. Input desinvesteringen'!B180</f>
        <v>164</v>
      </c>
      <c r="J267" s="32" t="str">
        <f>'13. Input desinvesteringen'!C180</f>
        <v>Transport</v>
      </c>
      <c r="K267" s="32" t="str">
        <f>'13. Input desinvesteringen'!D180</f>
        <v>HS</v>
      </c>
      <c r="L267" s="32" t="str">
        <f>'13. Input desinvesteringen'!E180</f>
        <v>Nee</v>
      </c>
      <c r="M267" s="32" t="str">
        <f>'13. Input desinvesteringen'!F180</f>
        <v>GAW ultimo 2000 Liander (overname: 2008)</v>
      </c>
      <c r="N267" s="82">
        <f>'13. Input desinvesteringen'!G180</f>
        <v>2008</v>
      </c>
      <c r="O267" s="82"/>
      <c r="P267" s="82"/>
      <c r="Q267" s="32">
        <f>'13. Input desinvesteringen'!H180</f>
        <v>3743</v>
      </c>
      <c r="R267" s="82">
        <f>'13. Input desinvesteringen'!I180</f>
        <v>2023</v>
      </c>
      <c r="S267" s="32">
        <f>'13. Input desinvesteringen'!J180</f>
        <v>9</v>
      </c>
      <c r="U267" s="76">
        <f t="shared" si="9"/>
        <v>0.9501178320392909</v>
      </c>
      <c r="V267" s="76">
        <f t="shared" si="10"/>
        <v>4.9882167960709101E-2</v>
      </c>
      <c r="X267" s="33" cm="1">
        <f t="array" ref="X267">((X$102=$R267)*((13-$S267)/12)+(X$102&gt;$R267))*$Q267*INDEX($J$13:$O$39,$N267-1999,X$102-2020)</f>
        <v>0</v>
      </c>
      <c r="Y267" s="33" cm="1">
        <f t="array" ref="Y267">((Y$102=$R267)*((13-$S267)/12)+(Y$102&gt;$R267))*$Q267*INDEX($J$13:$O$39,$N267-1999,Y$102-2020)</f>
        <v>0</v>
      </c>
      <c r="Z267" s="33" cm="1">
        <f t="array" ref="Z267">((Z$102=$R267)*((13-$S267)/12)+(Z$102&gt;$R267))*$Q267*INDEX($J$13:$O$39,$N267-1999,Z$102-2020)</f>
        <v>1773.4348685516479</v>
      </c>
      <c r="AA267" s="33" cm="1">
        <f t="array" ref="AA267">((AA$102=$R267)*((13-$S267)/12)+(AA$102&gt;$R267))*$Q267*INDEX($J$13:$O$39,$N267-1999,AA$102-2020)</f>
        <v>5479.9137438245934</v>
      </c>
      <c r="AB267" s="33" cm="1">
        <f t="array" ref="AB267">((AB$102=$R267)*((13-$S267)/12)+(AB$102&gt;$R267))*$Q267*INDEX($J$13:$O$39,$N267-1999,AB$102-2020)</f>
        <v>5677.1906386022793</v>
      </c>
      <c r="AC267" s="33" cm="1">
        <f t="array" ref="AC267">((AC$102=$R267)*((13-$S267)/12)+(AC$102&gt;$R267))*$Q267*INDEX($J$13:$O$39,$N267-1999,AC$102-2020)</f>
        <v>5836.1519764831428</v>
      </c>
    </row>
    <row r="268" spans="2:29" x14ac:dyDescent="0.2">
      <c r="B268" s="32">
        <f>'13. Input desinvesteringen'!B181</f>
        <v>165</v>
      </c>
      <c r="J268" s="32" t="str">
        <f>'13. Input desinvesteringen'!C181</f>
        <v>Transport</v>
      </c>
      <c r="K268" s="32" t="str">
        <f>'13. Input desinvesteringen'!D181</f>
        <v>HS</v>
      </c>
      <c r="L268" s="32" t="str">
        <f>'13. Input desinvesteringen'!E181</f>
        <v>Nee</v>
      </c>
      <c r="M268" s="32" t="str">
        <f>'13. Input desinvesteringen'!F181</f>
        <v>GAW ultimo 2000 Liander (overname: 2008)</v>
      </c>
      <c r="N268" s="82">
        <f>'13. Input desinvesteringen'!G181</f>
        <v>2008</v>
      </c>
      <c r="O268" s="82"/>
      <c r="P268" s="82"/>
      <c r="Q268" s="32">
        <f>'13. Input desinvesteringen'!H181</f>
        <v>2917617</v>
      </c>
      <c r="R268" s="82">
        <f>'13. Input desinvesteringen'!I181</f>
        <v>2023</v>
      </c>
      <c r="S268" s="32">
        <f>'13. Input desinvesteringen'!J181</f>
        <v>10</v>
      </c>
      <c r="U268" s="76">
        <f t="shared" si="9"/>
        <v>0.9501178320392909</v>
      </c>
      <c r="V268" s="76">
        <f t="shared" si="10"/>
        <v>4.9882167960709101E-2</v>
      </c>
      <c r="X268" s="33" cm="1">
        <f t="array" ref="X268">((X$102=$R268)*((13-$S268)/12)+(X$102&gt;$R268))*$Q268*INDEX($J$13:$O$39,$N268-1999,X$102-2020)</f>
        <v>0</v>
      </c>
      <c r="Y268" s="33" cm="1">
        <f t="array" ref="Y268">((Y$102=$R268)*((13-$S268)/12)+(Y$102&gt;$R268))*$Q268*INDEX($J$13:$O$39,$N268-1999,Y$102-2020)</f>
        <v>0</v>
      </c>
      <c r="Z268" s="33" cm="1">
        <f t="array" ref="Z268">((Z$102=$R268)*((13-$S268)/12)+(Z$102&gt;$R268))*$Q268*INDEX($J$13:$O$39,$N268-1999,Z$102-2020)</f>
        <v>1036776.0594868528</v>
      </c>
      <c r="AA268" s="33" cm="1">
        <f t="array" ref="AA268">((AA$102=$R268)*((13-$S268)/12)+(AA$102&gt;$R268))*$Q268*INDEX($J$13:$O$39,$N268-1999,AA$102-2020)</f>
        <v>4271517.3650858346</v>
      </c>
      <c r="AB268" s="33" cm="1">
        <f t="array" ref="AB268">((AB$102=$R268)*((13-$S268)/12)+(AB$102&gt;$R268))*$Q268*INDEX($J$13:$O$39,$N268-1999,AB$102-2020)</f>
        <v>4425291.9902289249</v>
      </c>
      <c r="AC268" s="33" cm="1">
        <f t="array" ref="AC268">((AC$102=$R268)*((13-$S268)/12)+(AC$102&gt;$R268))*$Q268*INDEX($J$13:$O$39,$N268-1999,AC$102-2020)</f>
        <v>4549200.1659553349</v>
      </c>
    </row>
    <row r="269" spans="2:29" x14ac:dyDescent="0.2">
      <c r="B269" s="32">
        <f>'13. Input desinvesteringen'!B182</f>
        <v>166</v>
      </c>
      <c r="J269" s="32" t="str">
        <f>'13. Input desinvesteringen'!C182</f>
        <v>Transport</v>
      </c>
      <c r="K269" s="32" t="str">
        <f>'13. Input desinvesteringen'!D182</f>
        <v>HS</v>
      </c>
      <c r="L269" s="32" t="str">
        <f>'13. Input desinvesteringen'!E182</f>
        <v>Nee</v>
      </c>
      <c r="M269" s="32" t="str">
        <f>'13. Input desinvesteringen'!F182</f>
        <v>GAW ultimo 2000 Stedin - HS Eneco Classic (Zuid-Holland)</v>
      </c>
      <c r="N269" s="82">
        <f>'13. Input desinvesteringen'!G182</f>
        <v>2015</v>
      </c>
      <c r="O269" s="82"/>
      <c r="P269" s="82"/>
      <c r="Q269" s="32">
        <f>'13. Input desinvesteringen'!H182</f>
        <v>121968</v>
      </c>
      <c r="R269" s="82">
        <f>'13. Input desinvesteringen'!I182</f>
        <v>2023</v>
      </c>
      <c r="S269" s="32">
        <f>'13. Input desinvesteringen'!J182</f>
        <v>1</v>
      </c>
      <c r="U269" s="76">
        <f t="shared" si="9"/>
        <v>0.8732220164530794</v>
      </c>
      <c r="V269" s="76">
        <f t="shared" si="10"/>
        <v>0.1267779835469206</v>
      </c>
      <c r="X269" s="33" cm="1">
        <f t="array" ref="X269">((X$102=$R269)*((13-$S269)/12)+(X$102&gt;$R269))*$Q269*INDEX($J$13:$O$39,$N269-1999,X$102-2020)</f>
        <v>0</v>
      </c>
      <c r="Y269" s="33" cm="1">
        <f t="array" ref="Y269">((Y$102=$R269)*((13-$S269)/12)+(Y$102&gt;$R269))*$Q269*INDEX($J$13:$O$39,$N269-1999,Y$102-2020)</f>
        <v>0</v>
      </c>
      <c r="Z269" s="33" cm="1">
        <f t="array" ref="Z269">((Z$102=$R269)*((13-$S269)/12)+(Z$102&gt;$R269))*$Q269*INDEX($J$13:$O$39,$N269-1999,Z$102-2020)</f>
        <v>151418.31802505607</v>
      </c>
      <c r="AA269" s="33" cm="1">
        <f t="array" ref="AA269">((AA$102=$R269)*((13-$S269)/12)+(AA$102&gt;$R269))*$Q269*INDEX($J$13:$O$39,$N269-1999,AA$102-2020)</f>
        <v>155960.86756580774</v>
      </c>
      <c r="AB269" s="33" cm="1">
        <f t="array" ref="AB269">((AB$102=$R269)*((13-$S269)/12)+(AB$102&gt;$R269))*$Q269*INDEX($J$13:$O$39,$N269-1999,AB$102-2020)</f>
        <v>161575.45879817681</v>
      </c>
      <c r="AC269" s="33" cm="1">
        <f t="array" ref="AC269">((AC$102=$R269)*((13-$S269)/12)+(AC$102&gt;$R269))*$Q269*INDEX($J$13:$O$39,$N269-1999,AC$102-2020)</f>
        <v>166099.57164452577</v>
      </c>
    </row>
    <row r="270" spans="2:29" x14ac:dyDescent="0.2">
      <c r="B270" s="32">
        <f>'13. Input desinvesteringen'!B183</f>
        <v>167</v>
      </c>
      <c r="J270" s="32" t="str">
        <f>'13. Input desinvesteringen'!C183</f>
        <v>Transport</v>
      </c>
      <c r="K270" s="32" t="str">
        <f>'13. Input desinvesteringen'!D183</f>
        <v>HS</v>
      </c>
      <c r="L270" s="32" t="str">
        <f>'13. Input desinvesteringen'!E183</f>
        <v>Nee</v>
      </c>
      <c r="M270" s="32" t="str">
        <f>'13. Input desinvesteringen'!F183</f>
        <v>GAW ultimo 2000 Stedin - HS Utrecht (ENBU)</v>
      </c>
      <c r="N270" s="82">
        <f>'13. Input desinvesteringen'!G183</f>
        <v>2015</v>
      </c>
      <c r="O270" s="82"/>
      <c r="P270" s="82"/>
      <c r="Q270" s="32">
        <f>'13. Input desinvesteringen'!H183</f>
        <v>16927</v>
      </c>
      <c r="R270" s="82">
        <f>'13. Input desinvesteringen'!I183</f>
        <v>2023</v>
      </c>
      <c r="S270" s="32">
        <f>'13. Input desinvesteringen'!J183</f>
        <v>1</v>
      </c>
      <c r="U270" s="76">
        <f t="shared" si="9"/>
        <v>0.8732220164530794</v>
      </c>
      <c r="V270" s="76">
        <f t="shared" si="10"/>
        <v>0.1267779835469206</v>
      </c>
      <c r="X270" s="33" cm="1">
        <f t="array" ref="X270">((X$102=$R270)*((13-$S270)/12)+(X$102&gt;$R270))*$Q270*INDEX($J$13:$O$39,$N270-1999,X$102-2020)</f>
        <v>0</v>
      </c>
      <c r="Y270" s="33" cm="1">
        <f t="array" ref="Y270">((Y$102=$R270)*((13-$S270)/12)+(Y$102&gt;$R270))*$Q270*INDEX($J$13:$O$39,$N270-1999,Y$102-2020)</f>
        <v>0</v>
      </c>
      <c r="Z270" s="33" cm="1">
        <f t="array" ref="Z270">((Z$102=$R270)*((13-$S270)/12)+(Z$102&gt;$R270))*$Q270*INDEX($J$13:$O$39,$N270-1999,Z$102-2020)</f>
        <v>21014.182975945525</v>
      </c>
      <c r="AA270" s="33" cm="1">
        <f t="array" ref="AA270">((AA$102=$R270)*((13-$S270)/12)+(AA$102&gt;$R270))*$Q270*INDEX($J$13:$O$39,$N270-1999,AA$102-2020)</f>
        <v>21644.60846522389</v>
      </c>
      <c r="AB270" s="33" cm="1">
        <f t="array" ref="AB270">((AB$102=$R270)*((13-$S270)/12)+(AB$102&gt;$R270))*$Q270*INDEX($J$13:$O$39,$N270-1999,AB$102-2020)</f>
        <v>22423.814369971951</v>
      </c>
      <c r="AC270" s="33" cm="1">
        <f t="array" ref="AC270">((AC$102=$R270)*((13-$S270)/12)+(AC$102&gt;$R270))*$Q270*INDEX($J$13:$O$39,$N270-1999,AC$102-2020)</f>
        <v>23051.681172331169</v>
      </c>
    </row>
    <row r="271" spans="2:29" x14ac:dyDescent="0.2">
      <c r="B271" s="32">
        <f>'13. Input desinvesteringen'!B184</f>
        <v>168</v>
      </c>
      <c r="J271" s="32" t="str">
        <f>'13. Input desinvesteringen'!C184</f>
        <v>Transport</v>
      </c>
      <c r="K271" s="32" t="str">
        <f>'13. Input desinvesteringen'!D184</f>
        <v>HS</v>
      </c>
      <c r="L271" s="32" t="str">
        <f>'13. Input desinvesteringen'!E184</f>
        <v>Nee</v>
      </c>
      <c r="M271" s="32" t="str">
        <f>'13. Input desinvesteringen'!F184</f>
        <v>GAW ultimo 2000 Stedin - HS Utrecht (ENBU)</v>
      </c>
      <c r="N271" s="82">
        <f>'13. Input desinvesteringen'!G184</f>
        <v>2015</v>
      </c>
      <c r="O271" s="82"/>
      <c r="P271" s="82"/>
      <c r="Q271" s="32">
        <f>'13. Input desinvesteringen'!H184</f>
        <v>246216</v>
      </c>
      <c r="R271" s="82">
        <f>'13. Input desinvesteringen'!I184</f>
        <v>2023</v>
      </c>
      <c r="S271" s="32">
        <f>'13. Input desinvesteringen'!J184</f>
        <v>10</v>
      </c>
      <c r="U271" s="76">
        <f t="shared" si="9"/>
        <v>0.8732220164530794</v>
      </c>
      <c r="V271" s="76">
        <f t="shared" si="10"/>
        <v>0.1267779835469206</v>
      </c>
      <c r="X271" s="33" cm="1">
        <f t="array" ref="X271">((X$102=$R271)*((13-$S271)/12)+(X$102&gt;$R271))*$Q271*INDEX($J$13:$O$39,$N271-1999,X$102-2020)</f>
        <v>0</v>
      </c>
      <c r="Y271" s="33" cm="1">
        <f t="array" ref="Y271">((Y$102=$R271)*((13-$S271)/12)+(Y$102&gt;$R271))*$Q271*INDEX($J$13:$O$39,$N271-1999,Y$102-2020)</f>
        <v>0</v>
      </c>
      <c r="Z271" s="33" cm="1">
        <f t="array" ref="Z271">((Z$102=$R271)*((13-$S271)/12)+(Z$102&gt;$R271))*$Q271*INDEX($J$13:$O$39,$N271-1999,Z$102-2020)</f>
        <v>76416.790860834808</v>
      </c>
      <c r="AA271" s="33" cm="1">
        <f t="array" ref="AA271">((AA$102=$R271)*((13-$S271)/12)+(AA$102&gt;$R271))*$Q271*INDEX($J$13:$O$39,$N271-1999,AA$102-2020)</f>
        <v>314837.17834663944</v>
      </c>
      <c r="AB271" s="33" cm="1">
        <f t="array" ref="AB271">((AB$102=$R271)*((13-$S271)/12)+(AB$102&gt;$R271))*$Q271*INDEX($J$13:$O$39,$N271-1999,AB$102-2020)</f>
        <v>326171.31676711846</v>
      </c>
      <c r="AC271" s="33" cm="1">
        <f t="array" ref="AC271">((AC$102=$R271)*((13-$S271)/12)+(AC$102&gt;$R271))*$Q271*INDEX($J$13:$O$39,$N271-1999,AC$102-2020)</f>
        <v>335304.11363659782</v>
      </c>
    </row>
    <row r="272" spans="2:29" x14ac:dyDescent="0.2">
      <c r="B272" s="32">
        <f>'13. Input desinvesteringen'!B185</f>
        <v>169</v>
      </c>
      <c r="J272" s="32" t="str">
        <f>'13. Input desinvesteringen'!C185</f>
        <v>Transport</v>
      </c>
      <c r="K272" s="32" t="str">
        <f>'13. Input desinvesteringen'!D185</f>
        <v>HS</v>
      </c>
      <c r="L272" s="32" t="str">
        <f>'13. Input desinvesteringen'!E185</f>
        <v>Nee</v>
      </c>
      <c r="M272" s="32" t="str">
        <f>'13. Input desinvesteringen'!F185</f>
        <v>GAW ultimo 2000 TZH</v>
      </c>
      <c r="N272" s="82">
        <f>'13. Input desinvesteringen'!G185</f>
        <v>2008</v>
      </c>
      <c r="O272" s="82"/>
      <c r="P272" s="82"/>
      <c r="Q272" s="32">
        <f>'13. Input desinvesteringen'!H185</f>
        <v>362282</v>
      </c>
      <c r="R272" s="82">
        <f>'13. Input desinvesteringen'!I185</f>
        <v>2023</v>
      </c>
      <c r="S272" s="32">
        <f>'13. Input desinvesteringen'!J185</f>
        <v>6</v>
      </c>
      <c r="U272" s="76">
        <f t="shared" si="9"/>
        <v>0.9501178320392909</v>
      </c>
      <c r="V272" s="76">
        <f t="shared" si="10"/>
        <v>4.9882167960709101E-2</v>
      </c>
      <c r="X272" s="33" cm="1">
        <f t="array" ref="X272">((X$102=$R272)*((13-$S272)/12)+(X$102&gt;$R272))*$Q272*INDEX($J$13:$O$39,$N272-1999,X$102-2020)</f>
        <v>0</v>
      </c>
      <c r="Y272" s="33" cm="1">
        <f t="array" ref="Y272">((Y$102=$R272)*((13-$S272)/12)+(Y$102&gt;$R272))*$Q272*INDEX($J$13:$O$39,$N272-1999,Y$102-2020)</f>
        <v>0</v>
      </c>
      <c r="Z272" s="33" cm="1">
        <f t="array" ref="Z272">((Z$102=$R272)*((13-$S272)/12)+(Z$102&gt;$R272))*$Q272*INDEX($J$13:$O$39,$N272-1999,Z$102-2020)</f>
        <v>300386.36904491036</v>
      </c>
      <c r="AA272" s="33" cm="1">
        <f t="array" ref="AA272">((AA$102=$R272)*((13-$S272)/12)+(AA$102&gt;$R272))*$Q272*INDEX($J$13:$O$39,$N272-1999,AA$102-2020)</f>
        <v>530396.50305644167</v>
      </c>
      <c r="AB272" s="33" cm="1">
        <f t="array" ref="AB272">((AB$102=$R272)*((13-$S272)/12)+(AB$102&gt;$R272))*$Q272*INDEX($J$13:$O$39,$N272-1999,AB$102-2020)</f>
        <v>549490.77716647368</v>
      </c>
      <c r="AC272" s="33" cm="1">
        <f t="array" ref="AC272">((AC$102=$R272)*((13-$S272)/12)+(AC$102&gt;$R272))*$Q272*INDEX($J$13:$O$39,$N272-1999,AC$102-2020)</f>
        <v>564876.51892713492</v>
      </c>
    </row>
    <row r="273" spans="2:29" x14ac:dyDescent="0.2">
      <c r="B273" s="32">
        <f>'13. Input desinvesteringen'!B186</f>
        <v>170</v>
      </c>
      <c r="J273" s="32" t="str">
        <f>'13. Input desinvesteringen'!C186</f>
        <v>Transport</v>
      </c>
      <c r="K273" s="32" t="str">
        <f>'13. Input desinvesteringen'!D186</f>
        <v>HS</v>
      </c>
      <c r="L273" s="32" t="str">
        <f>'13. Input desinvesteringen'!E186</f>
        <v>Nee</v>
      </c>
      <c r="M273" s="32" t="str">
        <f>'13. Input desinvesteringen'!F186</f>
        <v>GAW ultimo 2000 TZH</v>
      </c>
      <c r="N273" s="82">
        <f>'13. Input desinvesteringen'!G186</f>
        <v>2008</v>
      </c>
      <c r="O273" s="82"/>
      <c r="P273" s="82"/>
      <c r="Q273" s="32">
        <f>'13. Input desinvesteringen'!H186</f>
        <v>9293015</v>
      </c>
      <c r="R273" s="82">
        <f>'13. Input desinvesteringen'!I186</f>
        <v>2023</v>
      </c>
      <c r="S273" s="32">
        <f>'13. Input desinvesteringen'!J186</f>
        <v>10</v>
      </c>
      <c r="U273" s="76">
        <f t="shared" si="9"/>
        <v>0.9501178320392909</v>
      </c>
      <c r="V273" s="76">
        <f t="shared" si="10"/>
        <v>4.9882167960709101E-2</v>
      </c>
      <c r="X273" s="33" cm="1">
        <f t="array" ref="X273">((X$102=$R273)*((13-$S273)/12)+(X$102&gt;$R273))*$Q273*INDEX($J$13:$O$39,$N273-1999,X$102-2020)</f>
        <v>0</v>
      </c>
      <c r="Y273" s="33" cm="1">
        <f t="array" ref="Y273">((Y$102=$R273)*((13-$S273)/12)+(Y$102&gt;$R273))*$Q273*INDEX($J$13:$O$39,$N273-1999,Y$102-2020)</f>
        <v>0</v>
      </c>
      <c r="Z273" s="33" cm="1">
        <f t="array" ref="Z273">((Z$102=$R273)*((13-$S273)/12)+(Z$102&gt;$R273))*$Q273*INDEX($J$13:$O$39,$N273-1999,Z$102-2020)</f>
        <v>3302275.6148090088</v>
      </c>
      <c r="AA273" s="33" cm="1">
        <f t="array" ref="AA273">((AA$102=$R273)*((13-$S273)/12)+(AA$102&gt;$R273))*$Q273*INDEX($J$13:$O$39,$N273-1999,AA$102-2020)</f>
        <v>13605375.533013118</v>
      </c>
      <c r="AB273" s="33" cm="1">
        <f t="array" ref="AB273">((AB$102=$R273)*((13-$S273)/12)+(AB$102&gt;$R273))*$Q273*INDEX($J$13:$O$39,$N273-1999,AB$102-2020)</f>
        <v>14095169.052201591</v>
      </c>
      <c r="AC273" s="33" cm="1">
        <f t="array" ref="AC273">((AC$102=$R273)*((13-$S273)/12)+(AC$102&gt;$R273))*$Q273*INDEX($J$13:$O$39,$N273-1999,AC$102-2020)</f>
        <v>14489833.785663236</v>
      </c>
    </row>
    <row r="274" spans="2:29" x14ac:dyDescent="0.2">
      <c r="B274" s="32">
        <f>'13. Input desinvesteringen'!B187</f>
        <v>171</v>
      </c>
      <c r="J274" s="32" t="str">
        <f>'13. Input desinvesteringen'!C187</f>
        <v>Transport</v>
      </c>
      <c r="K274" s="32" t="str">
        <f>'13. Input desinvesteringen'!D187</f>
        <v>EHS</v>
      </c>
      <c r="L274" s="32" t="str">
        <f>'13. Input desinvesteringen'!E187</f>
        <v>Nee</v>
      </c>
      <c r="M274" s="32" t="str">
        <f>'13. Input desinvesteringen'!F187</f>
        <v>GAW ultimo 2000 EHS OUD</v>
      </c>
      <c r="N274" s="82">
        <f>'13. Input desinvesteringen'!G187</f>
        <v>2000</v>
      </c>
      <c r="O274" s="82"/>
      <c r="P274" s="82"/>
      <c r="Q274" s="32">
        <f>'13. Input desinvesteringen'!H187</f>
        <v>469656</v>
      </c>
      <c r="R274" s="82">
        <f>'13. Input desinvesteringen'!I187</f>
        <v>2023</v>
      </c>
      <c r="S274" s="32">
        <f>'13. Input desinvesteringen'!J187</f>
        <v>8</v>
      </c>
      <c r="U274" s="76">
        <f t="shared" si="9"/>
        <v>0.97443793491415276</v>
      </c>
      <c r="V274" s="76">
        <f t="shared" si="10"/>
        <v>2.5562065085847241E-2</v>
      </c>
      <c r="X274" s="33" cm="1">
        <f t="array" ref="X274">((X$102=$R274)*((13-$S274)/12)+(X$102&gt;$R274))*$Q274*INDEX($J$13:$O$39,$N274-1999,X$102-2020)</f>
        <v>0</v>
      </c>
      <c r="Y274" s="33" cm="1">
        <f t="array" ref="Y274">((Y$102=$R274)*((13-$S274)/12)+(Y$102&gt;$R274))*$Q274*INDEX($J$13:$O$39,$N274-1999,Y$102-2020)</f>
        <v>0</v>
      </c>
      <c r="Z274" s="33" cm="1">
        <f t="array" ref="Z274">((Z$102=$R274)*((13-$S274)/12)+(Z$102&gt;$R274))*$Q274*INDEX($J$13:$O$39,$N274-1999,Z$102-2020)</f>
        <v>332177.30618800124</v>
      </c>
      <c r="AA274" s="33" cm="1">
        <f t="array" ref="AA274">((AA$102=$R274)*((13-$S274)/12)+(AA$102&gt;$R274))*$Q274*INDEX($J$13:$O$39,$N274-1999,AA$102-2020)</f>
        <v>821142.30089673912</v>
      </c>
      <c r="AB274" s="33" cm="1">
        <f t="array" ref="AB274">((AB$102=$R274)*((13-$S274)/12)+(AB$102&gt;$R274))*$Q274*INDEX($J$13:$O$39,$N274-1999,AB$102-2020)</f>
        <v>850703.4237290218</v>
      </c>
      <c r="AC274" s="33" cm="1">
        <f t="array" ref="AC274">((AC$102=$R274)*((13-$S274)/12)+(AC$102&gt;$R274))*$Q274*INDEX($J$13:$O$39,$N274-1999,AC$102-2020)</f>
        <v>874523.11959343439</v>
      </c>
    </row>
    <row r="275" spans="2:29" x14ac:dyDescent="0.2">
      <c r="B275" s="32">
        <f>'13. Input desinvesteringen'!B188</f>
        <v>172</v>
      </c>
      <c r="J275" s="32" t="str">
        <f>'13. Input desinvesteringen'!C188</f>
        <v>Transport</v>
      </c>
      <c r="K275" s="32" t="str">
        <f>'13. Input desinvesteringen'!D188</f>
        <v>EHS</v>
      </c>
      <c r="L275" s="32" t="str">
        <f>'13. Input desinvesteringen'!E188</f>
        <v>Nee</v>
      </c>
      <c r="M275" s="32" t="str">
        <f>'13. Input desinvesteringen'!F188</f>
        <v>GAW ultimo 2000 EHS OUD</v>
      </c>
      <c r="N275" s="82">
        <f>'13. Input desinvesteringen'!G188</f>
        <v>2000</v>
      </c>
      <c r="O275" s="82"/>
      <c r="P275" s="82"/>
      <c r="Q275" s="32">
        <f>'13. Input desinvesteringen'!H188</f>
        <v>6526</v>
      </c>
      <c r="R275" s="82">
        <f>'13. Input desinvesteringen'!I188</f>
        <v>2023</v>
      </c>
      <c r="S275" s="32">
        <f>'13. Input desinvesteringen'!J188</f>
        <v>12</v>
      </c>
      <c r="U275" s="76">
        <f t="shared" si="9"/>
        <v>0.97443793491415276</v>
      </c>
      <c r="V275" s="76">
        <f t="shared" si="10"/>
        <v>2.5562065085847241E-2</v>
      </c>
      <c r="X275" s="33" cm="1">
        <f t="array" ref="X275">((X$102=$R275)*((13-$S275)/12)+(X$102&gt;$R275))*$Q275*INDEX($J$13:$O$39,$N275-1999,X$102-2020)</f>
        <v>0</v>
      </c>
      <c r="Y275" s="33" cm="1">
        <f t="array" ref="Y275">((Y$102=$R275)*((13-$S275)/12)+(Y$102&gt;$R275))*$Q275*INDEX($J$13:$O$39,$N275-1999,Y$102-2020)</f>
        <v>0</v>
      </c>
      <c r="Z275" s="33" cm="1">
        <f t="array" ref="Z275">((Z$102=$R275)*((13-$S275)/12)+(Z$102&gt;$R275))*$Q275*INDEX($J$13:$O$39,$N275-1999,Z$102-2020)</f>
        <v>923.13910614700796</v>
      </c>
      <c r="AA275" s="33" cm="1">
        <f t="array" ref="AA275">((AA$102=$R275)*((13-$S275)/12)+(AA$102&gt;$R275))*$Q275*INDEX($J$13:$O$39,$N275-1999,AA$102-2020)</f>
        <v>11409.999351977021</v>
      </c>
      <c r="AB275" s="33" cm="1">
        <f t="array" ref="AB275">((AB$102=$R275)*((13-$S275)/12)+(AB$102&gt;$R275))*$Q275*INDEX($J$13:$O$39,$N275-1999,AB$102-2020)</f>
        <v>11820.759328648193</v>
      </c>
      <c r="AC275" s="33" cm="1">
        <f t="array" ref="AC275">((AC$102=$R275)*((13-$S275)/12)+(AC$102&gt;$R275))*$Q275*INDEX($J$13:$O$39,$N275-1999,AC$102-2020)</f>
        <v>12151.740589850344</v>
      </c>
    </row>
    <row r="276" spans="2:29" x14ac:dyDescent="0.2">
      <c r="B276" s="32">
        <f>'13. Input desinvesteringen'!B189</f>
        <v>173</v>
      </c>
      <c r="J276" s="32" t="str">
        <f>'13. Input desinvesteringen'!C189</f>
        <v>Transport</v>
      </c>
      <c r="K276" s="32" t="str">
        <f>'13. Input desinvesteringen'!D189</f>
        <v>HS</v>
      </c>
      <c r="L276" s="32" t="str">
        <f>'13. Input desinvesteringen'!E189</f>
        <v>Nee</v>
      </c>
      <c r="M276" s="32" t="str">
        <f>'13. Input desinvesteringen'!F189</f>
        <v>GAW ultimo 2000 Enexis</v>
      </c>
      <c r="N276" s="82">
        <f>'13. Input desinvesteringen'!G189</f>
        <v>2008</v>
      </c>
      <c r="O276" s="82"/>
      <c r="P276" s="82"/>
      <c r="Q276" s="32">
        <f>'13. Input desinvesteringen'!H189</f>
        <v>318594</v>
      </c>
      <c r="R276" s="82">
        <f>'13. Input desinvesteringen'!I189</f>
        <v>2023</v>
      </c>
      <c r="S276" s="32">
        <f>'13. Input desinvesteringen'!J189</f>
        <v>7</v>
      </c>
      <c r="U276" s="76">
        <f t="shared" si="9"/>
        <v>0.9501178320392909</v>
      </c>
      <c r="V276" s="76">
        <f t="shared" si="10"/>
        <v>4.9882167960709101E-2</v>
      </c>
      <c r="X276" s="33" cm="1">
        <f t="array" ref="X276">((X$102=$R276)*((13-$S276)/12)+(X$102&gt;$R276))*$Q276*INDEX($J$13:$O$39,$N276-1999,X$102-2020)</f>
        <v>0</v>
      </c>
      <c r="Y276" s="33" cm="1">
        <f t="array" ref="Y276">((Y$102=$R276)*((13-$S276)/12)+(Y$102&gt;$R276))*$Q276*INDEX($J$13:$O$39,$N276-1999,Y$102-2020)</f>
        <v>0</v>
      </c>
      <c r="Z276" s="33" cm="1">
        <f t="array" ref="Z276">((Z$102=$R276)*((13-$S276)/12)+(Z$102&gt;$R276))*$Q276*INDEX($J$13:$O$39,$N276-1999,Z$102-2020)</f>
        <v>226424.94329869509</v>
      </c>
      <c r="AA276" s="33" cm="1">
        <f t="array" ref="AA276">((AA$102=$R276)*((13-$S276)/12)+(AA$102&gt;$R276))*$Q276*INDEX($J$13:$O$39,$N276-1999,AA$102-2020)</f>
        <v>466435.38319531188</v>
      </c>
      <c r="AB276" s="33" cm="1">
        <f t="array" ref="AB276">((AB$102=$R276)*((13-$S276)/12)+(AB$102&gt;$R276))*$Q276*INDEX($J$13:$O$39,$N276-1999,AB$102-2020)</f>
        <v>483227.05699034315</v>
      </c>
      <c r="AC276" s="33" cm="1">
        <f t="array" ref="AC276">((AC$102=$R276)*((13-$S276)/12)+(AC$102&gt;$R276))*$Q276*INDEX($J$13:$O$39,$N276-1999,AC$102-2020)</f>
        <v>496757.41458607279</v>
      </c>
    </row>
    <row r="277" spans="2:29" x14ac:dyDescent="0.2">
      <c r="B277" s="32">
        <f>'13. Input desinvesteringen'!B190</f>
        <v>174</v>
      </c>
      <c r="J277" s="32" t="str">
        <f>'13. Input desinvesteringen'!C190</f>
        <v>Systeem</v>
      </c>
      <c r="K277" s="32" t="str">
        <f>'13. Input desinvesteringen'!D190</f>
        <v>EHS</v>
      </c>
      <c r="L277" s="32" t="str">
        <f>'13. Input desinvesteringen'!E190</f>
        <v>Nee</v>
      </c>
      <c r="M277" s="32" t="str">
        <f>'13. Input desinvesteringen'!F190</f>
        <v>Overige bedrijfsmiddelen</v>
      </c>
      <c r="N277" s="82">
        <f>'13. Input desinvesteringen'!G190</f>
        <v>2005</v>
      </c>
      <c r="O277" s="82"/>
      <c r="P277" s="82"/>
      <c r="Q277" s="32">
        <f>'13. Input desinvesteringen'!H190</f>
        <v>2396</v>
      </c>
      <c r="R277" s="82">
        <f>'13. Input desinvesteringen'!I190</f>
        <v>2023</v>
      </c>
      <c r="S277" s="32">
        <f>'13. Input desinvesteringen'!J190</f>
        <v>12</v>
      </c>
      <c r="U277" s="76">
        <f t="shared" si="9"/>
        <v>0</v>
      </c>
      <c r="V277" s="76">
        <f t="shared" si="10"/>
        <v>1</v>
      </c>
      <c r="X277" s="33" cm="1">
        <f t="array" ref="X277">((X$102=$R277)*((13-$S277)/12)+(X$102&gt;$R277))*$Q277*INDEX($J$13:$O$39,$N277-1999,X$102-2020)</f>
        <v>0</v>
      </c>
      <c r="Y277" s="33" cm="1">
        <f t="array" ref="Y277">((Y$102=$R277)*((13-$S277)/12)+(Y$102&gt;$R277))*$Q277*INDEX($J$13:$O$39,$N277-1999,Y$102-2020)</f>
        <v>0</v>
      </c>
      <c r="Z277" s="33" cm="1">
        <f t="array" ref="Z277">((Z$102=$R277)*((13-$S277)/12)+(Z$102&gt;$R277))*$Q277*INDEX($J$13:$O$39,$N277-1999,Z$102-2020)</f>
        <v>296.18231751919222</v>
      </c>
      <c r="AA277" s="33" cm="1">
        <f t="array" ref="AA277">((AA$102=$R277)*((13-$S277)/12)+(AA$102&gt;$R277))*$Q277*INDEX($J$13:$O$39,$N277-1999,AA$102-2020)</f>
        <v>3660.8134445372157</v>
      </c>
      <c r="AB277" s="33" cm="1">
        <f t="array" ref="AB277">((AB$102=$R277)*((13-$S277)/12)+(AB$102&gt;$R277))*$Q277*INDEX($J$13:$O$39,$N277-1999,AB$102-2020)</f>
        <v>3792.6027285405557</v>
      </c>
      <c r="AC277" s="33" cm="1">
        <f t="array" ref="AC277">((AC$102=$R277)*((13-$S277)/12)+(AC$102&gt;$R277))*$Q277*INDEX($J$13:$O$39,$N277-1999,AC$102-2020)</f>
        <v>3898.7956049396912</v>
      </c>
    </row>
    <row r="278" spans="2:29" x14ac:dyDescent="0.2">
      <c r="B278" s="32">
        <f>'13. Input desinvesteringen'!B191</f>
        <v>175</v>
      </c>
      <c r="J278" s="32" t="str">
        <f>'13. Input desinvesteringen'!C191</f>
        <v>Systeem</v>
      </c>
      <c r="K278" s="32" t="str">
        <f>'13. Input desinvesteringen'!D191</f>
        <v>EHS</v>
      </c>
      <c r="L278" s="32" t="str">
        <f>'13. Input desinvesteringen'!E191</f>
        <v>Nee</v>
      </c>
      <c r="M278" s="32" t="str">
        <f>'13. Input desinvesteringen'!F191</f>
        <v>Overige bedrijfsmiddelen</v>
      </c>
      <c r="N278" s="82">
        <f>'13. Input desinvesteringen'!G191</f>
        <v>2006</v>
      </c>
      <c r="O278" s="82"/>
      <c r="P278" s="82"/>
      <c r="Q278" s="32">
        <f>'13. Input desinvesteringen'!H191</f>
        <v>5257</v>
      </c>
      <c r="R278" s="82">
        <f>'13. Input desinvesteringen'!I191</f>
        <v>2023</v>
      </c>
      <c r="S278" s="32">
        <f>'13. Input desinvesteringen'!J191</f>
        <v>12</v>
      </c>
      <c r="U278" s="76">
        <f t="shared" si="9"/>
        <v>0</v>
      </c>
      <c r="V278" s="76">
        <f t="shared" si="10"/>
        <v>1</v>
      </c>
      <c r="X278" s="33" cm="1">
        <f t="array" ref="X278">((X$102=$R278)*((13-$S278)/12)+(X$102&gt;$R278))*$Q278*INDEX($J$13:$O$39,$N278-1999,X$102-2020)</f>
        <v>0</v>
      </c>
      <c r="Y278" s="33" cm="1">
        <f t="array" ref="Y278">((Y$102=$R278)*((13-$S278)/12)+(Y$102&gt;$R278))*$Q278*INDEX($J$13:$O$39,$N278-1999,Y$102-2020)</f>
        <v>0</v>
      </c>
      <c r="Z278" s="33" cm="1">
        <f t="array" ref="Z278">((Z$102=$R278)*((13-$S278)/12)+(Z$102&gt;$R278))*$Q278*INDEX($J$13:$O$39,$N278-1999,Z$102-2020)</f>
        <v>638.35536437546273</v>
      </c>
      <c r="AA278" s="33" cm="1">
        <f t="array" ref="AA278">((AA$102=$R278)*((13-$S278)/12)+(AA$102&gt;$R278))*$Q278*INDEX($J$13:$O$39,$N278-1999,AA$102-2020)</f>
        <v>7890.0723036807194</v>
      </c>
      <c r="AB278" s="33" cm="1">
        <f t="array" ref="AB278">((AB$102=$R278)*((13-$S278)/12)+(AB$102&gt;$R278))*$Q278*INDEX($J$13:$O$39,$N278-1999,AB$102-2020)</f>
        <v>8174.1149066132266</v>
      </c>
      <c r="AC278" s="33" cm="1">
        <f t="array" ref="AC278">((AC$102=$R278)*((13-$S278)/12)+(AC$102&gt;$R278))*$Q278*INDEX($J$13:$O$39,$N278-1999,AC$102-2020)</f>
        <v>8402.9901239983974</v>
      </c>
    </row>
    <row r="279" spans="2:29" x14ac:dyDescent="0.2">
      <c r="B279" s="32">
        <f>'13. Input desinvesteringen'!B192</f>
        <v>176</v>
      </c>
      <c r="J279" s="32" t="str">
        <f>'13. Input desinvesteringen'!C192</f>
        <v>Systeem</v>
      </c>
      <c r="K279" s="32" t="str">
        <f>'13. Input desinvesteringen'!D192</f>
        <v>EHS</v>
      </c>
      <c r="L279" s="32" t="str">
        <f>'13. Input desinvesteringen'!E192</f>
        <v>Nee</v>
      </c>
      <c r="M279" s="32" t="str">
        <f>'13. Input desinvesteringen'!F192</f>
        <v>Overige bedrijfsmiddelen</v>
      </c>
      <c r="N279" s="82">
        <f>'13. Input desinvesteringen'!G192</f>
        <v>2006</v>
      </c>
      <c r="O279" s="82"/>
      <c r="P279" s="82"/>
      <c r="Q279" s="32">
        <f>'13. Input desinvesteringen'!H192</f>
        <v>1084</v>
      </c>
      <c r="R279" s="82">
        <f>'13. Input desinvesteringen'!I192</f>
        <v>2023</v>
      </c>
      <c r="S279" s="32">
        <f>'13. Input desinvesteringen'!J192</f>
        <v>12</v>
      </c>
      <c r="U279" s="76">
        <f t="shared" si="9"/>
        <v>0</v>
      </c>
      <c r="V279" s="76">
        <f t="shared" si="10"/>
        <v>1</v>
      </c>
      <c r="X279" s="33" cm="1">
        <f t="array" ref="X279">((X$102=$R279)*((13-$S279)/12)+(X$102&gt;$R279))*$Q279*INDEX($J$13:$O$39,$N279-1999,X$102-2020)</f>
        <v>0</v>
      </c>
      <c r="Y279" s="33" cm="1">
        <f t="array" ref="Y279">((Y$102=$R279)*((13-$S279)/12)+(Y$102&gt;$R279))*$Q279*INDEX($J$13:$O$39,$N279-1999,Y$102-2020)</f>
        <v>0</v>
      </c>
      <c r="Z279" s="33" cm="1">
        <f t="array" ref="Z279">((Z$102=$R279)*((13-$S279)/12)+(Z$102&gt;$R279))*$Q279*INDEX($J$13:$O$39,$N279-1999,Z$102-2020)</f>
        <v>131.62967756952665</v>
      </c>
      <c r="AA279" s="33" cm="1">
        <f t="array" ref="AA279">((AA$102=$R279)*((13-$S279)/12)+(AA$102&gt;$R279))*$Q279*INDEX($J$13:$O$39,$N279-1999,AA$102-2020)</f>
        <v>1626.9428147593494</v>
      </c>
      <c r="AB279" s="33" cm="1">
        <f t="array" ref="AB279">((AB$102=$R279)*((13-$S279)/12)+(AB$102&gt;$R279))*$Q279*INDEX($J$13:$O$39,$N279-1999,AB$102-2020)</f>
        <v>1685.5127560906863</v>
      </c>
      <c r="AC279" s="33" cm="1">
        <f t="array" ref="AC279">((AC$102=$R279)*((13-$S279)/12)+(AC$102&gt;$R279))*$Q279*INDEX($J$13:$O$39,$N279-1999,AC$102-2020)</f>
        <v>1732.7071132612255</v>
      </c>
    </row>
    <row r="280" spans="2:29" x14ac:dyDescent="0.2">
      <c r="B280" s="32">
        <f>'13. Input desinvesteringen'!B193</f>
        <v>177</v>
      </c>
      <c r="J280" s="32" t="str">
        <f>'13. Input desinvesteringen'!C193</f>
        <v>Systeem</v>
      </c>
      <c r="K280" s="32" t="str">
        <f>'13. Input desinvesteringen'!D193</f>
        <v>EHS</v>
      </c>
      <c r="L280" s="32" t="str">
        <f>'13. Input desinvesteringen'!E193</f>
        <v>Nee</v>
      </c>
      <c r="M280" s="32" t="str">
        <f>'13. Input desinvesteringen'!F193</f>
        <v>Overige bedrijfsmiddelen</v>
      </c>
      <c r="N280" s="82">
        <f>'13. Input desinvesteringen'!G193</f>
        <v>2007</v>
      </c>
      <c r="O280" s="82"/>
      <c r="P280" s="82"/>
      <c r="Q280" s="32">
        <f>'13. Input desinvesteringen'!H193</f>
        <v>3183</v>
      </c>
      <c r="R280" s="82">
        <f>'13. Input desinvesteringen'!I193</f>
        <v>2023</v>
      </c>
      <c r="S280" s="32">
        <f>'13. Input desinvesteringen'!J193</f>
        <v>12</v>
      </c>
      <c r="U280" s="76">
        <f t="shared" si="9"/>
        <v>0</v>
      </c>
      <c r="V280" s="76">
        <f t="shared" si="10"/>
        <v>1</v>
      </c>
      <c r="X280" s="33" cm="1">
        <f t="array" ref="X280">((X$102=$R280)*((13-$S280)/12)+(X$102&gt;$R280))*$Q280*INDEX($J$13:$O$39,$N280-1999,X$102-2020)</f>
        <v>0</v>
      </c>
      <c r="Y280" s="33" cm="1">
        <f t="array" ref="Y280">((Y$102=$R280)*((13-$S280)/12)+(Y$102&gt;$R280))*$Q280*INDEX($J$13:$O$39,$N280-1999,Y$102-2020)</f>
        <v>0</v>
      </c>
      <c r="Z280" s="33" cm="1">
        <f t="array" ref="Z280">((Z$102=$R280)*((13-$S280)/12)+(Z$102&gt;$R280))*$Q280*INDEX($J$13:$O$39,$N280-1999,Z$102-2020)</f>
        <v>381.17395549375453</v>
      </c>
      <c r="AA280" s="33" cm="1">
        <f t="array" ref="AA280">((AA$102=$R280)*((13-$S280)/12)+(AA$102&gt;$R280))*$Q280*INDEX($J$13:$O$39,$N280-1999,AA$102-2020)</f>
        <v>4711.3100899028059</v>
      </c>
      <c r="AB280" s="33" cm="1">
        <f t="array" ref="AB280">((AB$102=$R280)*((13-$S280)/12)+(AB$102&gt;$R280))*$Q280*INDEX($J$13:$O$39,$N280-1999,AB$102-2020)</f>
        <v>4880.9172531393069</v>
      </c>
      <c r="AC280" s="33" cm="1">
        <f t="array" ref="AC280">((AC$102=$R280)*((13-$S280)/12)+(AC$102&gt;$R280))*$Q280*INDEX($J$13:$O$39,$N280-1999,AC$102-2020)</f>
        <v>5017.5829362272079</v>
      </c>
    </row>
    <row r="281" spans="2:29" x14ac:dyDescent="0.2">
      <c r="B281" s="32">
        <f>'13. Input desinvesteringen'!B194</f>
        <v>178</v>
      </c>
      <c r="J281" s="32" t="str">
        <f>'13. Input desinvesteringen'!C194</f>
        <v>Systeem</v>
      </c>
      <c r="K281" s="32" t="str">
        <f>'13. Input desinvesteringen'!D194</f>
        <v>EHS</v>
      </c>
      <c r="L281" s="32" t="str">
        <f>'13. Input desinvesteringen'!E194</f>
        <v>Nee</v>
      </c>
      <c r="M281" s="32" t="str">
        <f>'13. Input desinvesteringen'!F194</f>
        <v>Overige bedrijfsmiddelen</v>
      </c>
      <c r="N281" s="82">
        <f>'13. Input desinvesteringen'!G194</f>
        <v>2005</v>
      </c>
      <c r="O281" s="82"/>
      <c r="P281" s="82"/>
      <c r="Q281" s="32">
        <f>'13. Input desinvesteringen'!H194</f>
        <v>26455</v>
      </c>
      <c r="R281" s="82">
        <f>'13. Input desinvesteringen'!I194</f>
        <v>2023</v>
      </c>
      <c r="S281" s="32">
        <f>'13. Input desinvesteringen'!J194</f>
        <v>12</v>
      </c>
      <c r="U281" s="76">
        <f t="shared" si="9"/>
        <v>0</v>
      </c>
      <c r="V281" s="76">
        <f t="shared" si="10"/>
        <v>1</v>
      </c>
      <c r="X281" s="33" cm="1">
        <f t="array" ref="X281">((X$102=$R281)*((13-$S281)/12)+(X$102&gt;$R281))*$Q281*INDEX($J$13:$O$39,$N281-1999,X$102-2020)</f>
        <v>0</v>
      </c>
      <c r="Y281" s="33" cm="1">
        <f t="array" ref="Y281">((Y$102=$R281)*((13-$S281)/12)+(Y$102&gt;$R281))*$Q281*INDEX($J$13:$O$39,$N281-1999,Y$102-2020)</f>
        <v>0</v>
      </c>
      <c r="Z281" s="33" cm="1">
        <f t="array" ref="Z281">((Z$102=$R281)*((13-$S281)/12)+(Z$102&gt;$R281))*$Q281*INDEX($J$13:$O$39,$N281-1999,Z$102-2020)</f>
        <v>3270.2434098373242</v>
      </c>
      <c r="AA281" s="33" cm="1">
        <f t="array" ref="AA281">((AA$102=$R281)*((13-$S281)/12)+(AA$102&gt;$R281))*$Q281*INDEX($J$13:$O$39,$N281-1999,AA$102-2020)</f>
        <v>40420.208545589332</v>
      </c>
      <c r="AB281" s="33" cm="1">
        <f t="array" ref="AB281">((AB$102=$R281)*((13-$S281)/12)+(AB$102&gt;$R281))*$Q281*INDEX($J$13:$O$39,$N281-1999,AB$102-2020)</f>
        <v>41875.336053230552</v>
      </c>
      <c r="AC281" s="33" cm="1">
        <f t="array" ref="AC281">((AC$102=$R281)*((13-$S281)/12)+(AC$102&gt;$R281))*$Q281*INDEX($J$13:$O$39,$N281-1999,AC$102-2020)</f>
        <v>43047.845462721009</v>
      </c>
    </row>
    <row r="282" spans="2:29" x14ac:dyDescent="0.2">
      <c r="B282" s="32">
        <f>'13. Input desinvesteringen'!B195</f>
        <v>179</v>
      </c>
      <c r="J282" s="32" t="str">
        <f>'13. Input desinvesteringen'!C195</f>
        <v>Systeem</v>
      </c>
      <c r="K282" s="32" t="str">
        <f>'13. Input desinvesteringen'!D195</f>
        <v>EHS</v>
      </c>
      <c r="L282" s="32" t="str">
        <f>'13. Input desinvesteringen'!E195</f>
        <v>Nee</v>
      </c>
      <c r="M282" s="32" t="str">
        <f>'13. Input desinvesteringen'!F195</f>
        <v>Overige bedrijfsmiddelen</v>
      </c>
      <c r="N282" s="82">
        <f>'13. Input desinvesteringen'!G195</f>
        <v>2006</v>
      </c>
      <c r="O282" s="82"/>
      <c r="P282" s="82"/>
      <c r="Q282" s="32">
        <f>'13. Input desinvesteringen'!H195</f>
        <v>23576</v>
      </c>
      <c r="R282" s="82">
        <f>'13. Input desinvesteringen'!I195</f>
        <v>2023</v>
      </c>
      <c r="S282" s="32">
        <f>'13. Input desinvesteringen'!J195</f>
        <v>12</v>
      </c>
      <c r="U282" s="76">
        <f t="shared" si="9"/>
        <v>0</v>
      </c>
      <c r="V282" s="76">
        <f t="shared" si="10"/>
        <v>1</v>
      </c>
      <c r="X282" s="33" cm="1">
        <f t="array" ref="X282">((X$102=$R282)*((13-$S282)/12)+(X$102&gt;$R282))*$Q282*INDEX($J$13:$O$39,$N282-1999,X$102-2020)</f>
        <v>0</v>
      </c>
      <c r="Y282" s="33" cm="1">
        <f t="array" ref="Y282">((Y$102=$R282)*((13-$S282)/12)+(Y$102&gt;$R282))*$Q282*INDEX($J$13:$O$39,$N282-1999,Y$102-2020)</f>
        <v>0</v>
      </c>
      <c r="Z282" s="33" cm="1">
        <f t="array" ref="Z282">((Z$102=$R282)*((13-$S282)/12)+(Z$102&gt;$R282))*$Q282*INDEX($J$13:$O$39,$N282-1999,Z$102-2020)</f>
        <v>2862.8240575453506</v>
      </c>
      <c r="AA282" s="33" cm="1">
        <f t="array" ref="AA282">((AA$102=$R282)*((13-$S282)/12)+(AA$102&gt;$R282))*$Q282*INDEX($J$13:$O$39,$N282-1999,AA$102-2020)</f>
        <v>35384.505351260537</v>
      </c>
      <c r="AB282" s="33" cm="1">
        <f t="array" ref="AB282">((AB$102=$R282)*((13-$S282)/12)+(AB$102&gt;$R282))*$Q282*INDEX($J$13:$O$39,$N282-1999,AB$102-2020)</f>
        <v>36658.347543905918</v>
      </c>
      <c r="AC282" s="33" cm="1">
        <f t="array" ref="AC282">((AC$102=$R282)*((13-$S282)/12)+(AC$102&gt;$R282))*$Q282*INDEX($J$13:$O$39,$N282-1999,AC$102-2020)</f>
        <v>37684.781275135283</v>
      </c>
    </row>
    <row r="283" spans="2:29" x14ac:dyDescent="0.2">
      <c r="B283" s="32">
        <f>'13. Input desinvesteringen'!B196</f>
        <v>180</v>
      </c>
      <c r="J283" s="32" t="str">
        <f>'13. Input desinvesteringen'!C196</f>
        <v>Systeem</v>
      </c>
      <c r="K283" s="32" t="str">
        <f>'13. Input desinvesteringen'!D196</f>
        <v>EHS</v>
      </c>
      <c r="L283" s="32" t="str">
        <f>'13. Input desinvesteringen'!E196</f>
        <v>Nee</v>
      </c>
      <c r="M283" s="32" t="str">
        <f>'13. Input desinvesteringen'!F196</f>
        <v>Overige bedrijfsmiddelen</v>
      </c>
      <c r="N283" s="82">
        <f>'13. Input desinvesteringen'!G196</f>
        <v>2006</v>
      </c>
      <c r="O283" s="82"/>
      <c r="P283" s="82"/>
      <c r="Q283" s="32">
        <f>'13. Input desinvesteringen'!H196</f>
        <v>2656</v>
      </c>
      <c r="R283" s="82">
        <f>'13. Input desinvesteringen'!I196</f>
        <v>2023</v>
      </c>
      <c r="S283" s="32">
        <f>'13. Input desinvesteringen'!J196</f>
        <v>12</v>
      </c>
      <c r="U283" s="76">
        <f t="shared" si="9"/>
        <v>0</v>
      </c>
      <c r="V283" s="76">
        <f t="shared" si="10"/>
        <v>1</v>
      </c>
      <c r="X283" s="33" cm="1">
        <f t="array" ref="X283">((X$102=$R283)*((13-$S283)/12)+(X$102&gt;$R283))*$Q283*INDEX($J$13:$O$39,$N283-1999,X$102-2020)</f>
        <v>0</v>
      </c>
      <c r="Y283" s="33" cm="1">
        <f t="array" ref="Y283">((Y$102=$R283)*((13-$S283)/12)+(Y$102&gt;$R283))*$Q283*INDEX($J$13:$O$39,$N283-1999,Y$102-2020)</f>
        <v>0</v>
      </c>
      <c r="Z283" s="33" cm="1">
        <f t="array" ref="Z283">((Z$102=$R283)*((13-$S283)/12)+(Z$102&gt;$R283))*$Q283*INDEX($J$13:$O$39,$N283-1999,Z$102-2020)</f>
        <v>322.51699596371105</v>
      </c>
      <c r="AA283" s="33" cm="1">
        <f t="array" ref="AA283">((AA$102=$R283)*((13-$S283)/12)+(AA$102&gt;$R283))*$Q283*INDEX($J$13:$O$39,$N283-1999,AA$102-2020)</f>
        <v>3986.3100701114686</v>
      </c>
      <c r="AB283" s="33" cm="1">
        <f t="array" ref="AB283">((AB$102=$R283)*((13-$S283)/12)+(AB$102&gt;$R283))*$Q283*INDEX($J$13:$O$39,$N283-1999,AB$102-2020)</f>
        <v>4129.8172326354816</v>
      </c>
      <c r="AC283" s="33" cm="1">
        <f t="array" ref="AC283">((AC$102=$R283)*((13-$S283)/12)+(AC$102&gt;$R283))*$Q283*INDEX($J$13:$O$39,$N283-1999,AC$102-2020)</f>
        <v>4245.4521151492754</v>
      </c>
    </row>
    <row r="284" spans="2:29" x14ac:dyDescent="0.2">
      <c r="B284" s="32">
        <f>'13. Input desinvesteringen'!B197</f>
        <v>181</v>
      </c>
      <c r="J284" s="32" t="str">
        <f>'13. Input desinvesteringen'!C197</f>
        <v>Systeem</v>
      </c>
      <c r="K284" s="32" t="str">
        <f>'13. Input desinvesteringen'!D197</f>
        <v>EHS</v>
      </c>
      <c r="L284" s="32" t="str">
        <f>'13. Input desinvesteringen'!E197</f>
        <v>Nee</v>
      </c>
      <c r="M284" s="32" t="str">
        <f>'13. Input desinvesteringen'!F197</f>
        <v>Overige bedrijfsmiddelen</v>
      </c>
      <c r="N284" s="82">
        <f>'13. Input desinvesteringen'!G197</f>
        <v>2007</v>
      </c>
      <c r="O284" s="82"/>
      <c r="P284" s="82"/>
      <c r="Q284" s="32">
        <f>'13. Input desinvesteringen'!H197</f>
        <v>50123</v>
      </c>
      <c r="R284" s="82">
        <f>'13. Input desinvesteringen'!I197</f>
        <v>2023</v>
      </c>
      <c r="S284" s="32">
        <f>'13. Input desinvesteringen'!J197</f>
        <v>12</v>
      </c>
      <c r="U284" s="76">
        <f t="shared" si="9"/>
        <v>0</v>
      </c>
      <c r="V284" s="76">
        <f t="shared" si="10"/>
        <v>1</v>
      </c>
      <c r="X284" s="33" cm="1">
        <f t="array" ref="X284">((X$102=$R284)*((13-$S284)/12)+(X$102&gt;$R284))*$Q284*INDEX($J$13:$O$39,$N284-1999,X$102-2020)</f>
        <v>0</v>
      </c>
      <c r="Y284" s="33" cm="1">
        <f t="array" ref="Y284">((Y$102=$R284)*((13-$S284)/12)+(Y$102&gt;$R284))*$Q284*INDEX($J$13:$O$39,$N284-1999,Y$102-2020)</f>
        <v>0</v>
      </c>
      <c r="Z284" s="33" cm="1">
        <f t="array" ref="Z284">((Z$102=$R284)*((13-$S284)/12)+(Z$102&gt;$R284))*$Q284*INDEX($J$13:$O$39,$N284-1999,Z$102-2020)</f>
        <v>6002.3820833218524</v>
      </c>
      <c r="AA284" s="33" cm="1">
        <f t="array" ref="AA284">((AA$102=$R284)*((13-$S284)/12)+(AA$102&gt;$R284))*$Q284*INDEX($J$13:$O$39,$N284-1999,AA$102-2020)</f>
        <v>74189.442549858097</v>
      </c>
      <c r="AB284" s="33" cm="1">
        <f t="array" ref="AB284">((AB$102=$R284)*((13-$S284)/12)+(AB$102&gt;$R284))*$Q284*INDEX($J$13:$O$39,$N284-1999,AB$102-2020)</f>
        <v>76860.262481653001</v>
      </c>
      <c r="AC284" s="33" cm="1">
        <f t="array" ref="AC284">((AC$102=$R284)*((13-$S284)/12)+(AC$102&gt;$R284))*$Q284*INDEX($J$13:$O$39,$N284-1999,AC$102-2020)</f>
        <v>79012.349831139276</v>
      </c>
    </row>
    <row r="285" spans="2:29" x14ac:dyDescent="0.2">
      <c r="B285" s="32">
        <f>'13. Input desinvesteringen'!B198</f>
        <v>182</v>
      </c>
      <c r="J285" s="32" t="str">
        <f>'13. Input desinvesteringen'!C198</f>
        <v>Systeem</v>
      </c>
      <c r="K285" s="32" t="str">
        <f>'13. Input desinvesteringen'!D198</f>
        <v>EHS</v>
      </c>
      <c r="L285" s="32" t="str">
        <f>'13. Input desinvesteringen'!E198</f>
        <v>Nee</v>
      </c>
      <c r="M285" s="32" t="str">
        <f>'13. Input desinvesteringen'!F198</f>
        <v>Computerapparatuur</v>
      </c>
      <c r="N285" s="82">
        <f>'13. Input desinvesteringen'!G198</f>
        <v>2014</v>
      </c>
      <c r="O285" s="82"/>
      <c r="P285" s="82"/>
      <c r="Q285" s="32">
        <f>'13. Input desinvesteringen'!H198</f>
        <v>491420</v>
      </c>
      <c r="R285" s="82">
        <f>'13. Input desinvesteringen'!I198</f>
        <v>2023</v>
      </c>
      <c r="S285" s="32">
        <f>'13. Input desinvesteringen'!J198</f>
        <v>2</v>
      </c>
      <c r="U285" s="76">
        <f t="shared" si="9"/>
        <v>0</v>
      </c>
      <c r="V285" s="76">
        <f t="shared" si="10"/>
        <v>1</v>
      </c>
      <c r="X285" s="33" cm="1">
        <f t="array" ref="X285">((X$102=$R285)*((13-$S285)/12)+(X$102&gt;$R285))*$Q285*INDEX($J$13:$O$39,$N285-1999,X$102-2020)</f>
        <v>0</v>
      </c>
      <c r="Y285" s="33" cm="1">
        <f t="array" ref="Y285">((Y$102=$R285)*((13-$S285)/12)+(Y$102&gt;$R285))*$Q285*INDEX($J$13:$O$39,$N285-1999,Y$102-2020)</f>
        <v>0</v>
      </c>
      <c r="Z285" s="33" cm="1">
        <f t="array" ref="Z285">((Z$102=$R285)*((13-$S285)/12)+(Z$102&gt;$R285))*$Q285*INDEX($J$13:$O$39,$N285-1999,Z$102-2020)</f>
        <v>564830.52055008255</v>
      </c>
      <c r="AA285" s="33" cm="1">
        <f t="array" ref="AA285">((AA$102=$R285)*((13-$S285)/12)+(AA$102&gt;$R285))*$Q285*INDEX($J$13:$O$39,$N285-1999,AA$102-2020)</f>
        <v>634664.11218172917</v>
      </c>
      <c r="AB285" s="33" cm="1">
        <f t="array" ref="AB285">((AB$102=$R285)*((13-$S285)/12)+(AB$102&gt;$R285))*$Q285*INDEX($J$13:$O$39,$N285-1999,AB$102-2020)</f>
        <v>657512.02022027143</v>
      </c>
      <c r="AC285" s="33" cm="1">
        <f t="array" ref="AC285">((AC$102=$R285)*((13-$S285)/12)+(AC$102&gt;$R285))*$Q285*INDEX($J$13:$O$39,$N285-1999,AC$102-2020)</f>
        <v>675922.35678643908</v>
      </c>
    </row>
    <row r="286" spans="2:29" x14ac:dyDescent="0.2">
      <c r="B286" s="32">
        <f>'13. Input desinvesteringen'!B199</f>
        <v>183</v>
      </c>
      <c r="J286" s="32" t="str">
        <f>'13. Input desinvesteringen'!C199</f>
        <v>Systeem</v>
      </c>
      <c r="K286" s="32" t="str">
        <f>'13. Input desinvesteringen'!D199</f>
        <v>EHS</v>
      </c>
      <c r="L286" s="32" t="str">
        <f>'13. Input desinvesteringen'!E199</f>
        <v>Nee</v>
      </c>
      <c r="M286" s="32" t="str">
        <f>'13. Input desinvesteringen'!F199</f>
        <v>Computerapparatuur</v>
      </c>
      <c r="N286" s="82">
        <f>'13. Input desinvesteringen'!G199</f>
        <v>2014</v>
      </c>
      <c r="O286" s="82"/>
      <c r="P286" s="82"/>
      <c r="Q286" s="32">
        <f>'13. Input desinvesteringen'!H199</f>
        <v>18532</v>
      </c>
      <c r="R286" s="82">
        <f>'13. Input desinvesteringen'!I199</f>
        <v>2023</v>
      </c>
      <c r="S286" s="32">
        <f>'13. Input desinvesteringen'!J199</f>
        <v>2</v>
      </c>
      <c r="U286" s="76">
        <f t="shared" si="9"/>
        <v>0</v>
      </c>
      <c r="V286" s="76">
        <f t="shared" si="10"/>
        <v>1</v>
      </c>
      <c r="X286" s="33" cm="1">
        <f t="array" ref="X286">((X$102=$R286)*((13-$S286)/12)+(X$102&gt;$R286))*$Q286*INDEX($J$13:$O$39,$N286-1999,X$102-2020)</f>
        <v>0</v>
      </c>
      <c r="Y286" s="33" cm="1">
        <f t="array" ref="Y286">((Y$102=$R286)*((13-$S286)/12)+(Y$102&gt;$R286))*$Q286*INDEX($J$13:$O$39,$N286-1999,Y$102-2020)</f>
        <v>0</v>
      </c>
      <c r="Z286" s="33" cm="1">
        <f t="array" ref="Z286">((Z$102=$R286)*((13-$S286)/12)+(Z$102&gt;$R286))*$Q286*INDEX($J$13:$O$39,$N286-1999,Z$102-2020)</f>
        <v>21300.393160298991</v>
      </c>
      <c r="AA286" s="33" cm="1">
        <f t="array" ref="AA286">((AA$102=$R286)*((13-$S286)/12)+(AA$102&gt;$R286))*$Q286*INDEX($J$13:$O$39,$N286-1999,AA$102-2020)</f>
        <v>23933.89631466323</v>
      </c>
      <c r="AB286" s="33" cm="1">
        <f t="array" ref="AB286">((AB$102=$R286)*((13-$S286)/12)+(AB$102&gt;$R286))*$Q286*INDEX($J$13:$O$39,$N286-1999,AB$102-2020)</f>
        <v>24795.516581991109</v>
      </c>
      <c r="AC286" s="33" cm="1">
        <f t="array" ref="AC286">((AC$102=$R286)*((13-$S286)/12)+(AC$102&gt;$R286))*$Q286*INDEX($J$13:$O$39,$N286-1999,AC$102-2020)</f>
        <v>25489.79104628686</v>
      </c>
    </row>
    <row r="287" spans="2:29" x14ac:dyDescent="0.2">
      <c r="B287" s="32">
        <f>'13. Input desinvesteringen'!B200</f>
        <v>184</v>
      </c>
      <c r="J287" s="32" t="str">
        <f>'13. Input desinvesteringen'!C200</f>
        <v>Systeem</v>
      </c>
      <c r="K287" s="32" t="str">
        <f>'13. Input desinvesteringen'!D200</f>
        <v>EHS</v>
      </c>
      <c r="L287" s="32" t="str">
        <f>'13. Input desinvesteringen'!E200</f>
        <v>Nee</v>
      </c>
      <c r="M287" s="32" t="str">
        <f>'13. Input desinvesteringen'!F200</f>
        <v>Computerapparatuur</v>
      </c>
      <c r="N287" s="82">
        <f>'13. Input desinvesteringen'!G200</f>
        <v>2018</v>
      </c>
      <c r="O287" s="82"/>
      <c r="P287" s="82"/>
      <c r="Q287" s="32">
        <f>'13. Input desinvesteringen'!H200</f>
        <v>127353</v>
      </c>
      <c r="R287" s="82">
        <f>'13. Input desinvesteringen'!I200</f>
        <v>2023</v>
      </c>
      <c r="S287" s="32">
        <f>'13. Input desinvesteringen'!J200</f>
        <v>12</v>
      </c>
      <c r="U287" s="76">
        <f t="shared" si="9"/>
        <v>0</v>
      </c>
      <c r="V287" s="76">
        <f t="shared" si="10"/>
        <v>1</v>
      </c>
      <c r="X287" s="33" cm="1">
        <f t="array" ref="X287">((X$102=$R287)*((13-$S287)/12)+(X$102&gt;$R287))*$Q287*INDEX($J$13:$O$39,$N287-1999,X$102-2020)</f>
        <v>0</v>
      </c>
      <c r="Y287" s="33" cm="1">
        <f t="array" ref="Y287">((Y$102=$R287)*((13-$S287)/12)+(Y$102&gt;$R287))*$Q287*INDEX($J$13:$O$39,$N287-1999,Y$102-2020)</f>
        <v>0</v>
      </c>
      <c r="Z287" s="33" cm="1">
        <f t="array" ref="Z287">((Z$102=$R287)*((13-$S287)/12)+(Z$102&gt;$R287))*$Q287*INDEX($J$13:$O$39,$N287-1999,Z$102-2020)</f>
        <v>12864.539372143081</v>
      </c>
      <c r="AA287" s="33" cm="1">
        <f t="array" ref="AA287">((AA$102=$R287)*((13-$S287)/12)+(AA$102&gt;$R287))*$Q287*INDEX($J$13:$O$39,$N287-1999,AA$102-2020)</f>
        <v>159005.70663968849</v>
      </c>
      <c r="AB287" s="33" cm="1">
        <f t="array" ref="AB287">((AB$102=$R287)*((13-$S287)/12)+(AB$102&gt;$R287))*$Q287*INDEX($J$13:$O$39,$N287-1999,AB$102-2020)</f>
        <v>164729.91207871729</v>
      </c>
      <c r="AC287" s="33" cm="1">
        <f t="array" ref="AC287">((AC$102=$R287)*((13-$S287)/12)+(AC$102&gt;$R287))*$Q287*INDEX($J$13:$O$39,$N287-1999,AC$102-2020)</f>
        <v>169342.34961692139</v>
      </c>
    </row>
    <row r="288" spans="2:29" x14ac:dyDescent="0.2">
      <c r="B288" s="32">
        <f>'13. Input desinvesteringen'!B201</f>
        <v>185</v>
      </c>
      <c r="J288" s="32" t="str">
        <f>'13. Input desinvesteringen'!C201</f>
        <v>Transport</v>
      </c>
      <c r="K288" s="32" t="str">
        <f>'13. Input desinvesteringen'!D201</f>
        <v>EHS</v>
      </c>
      <c r="L288" s="32" t="str">
        <f>'13. Input desinvesteringen'!E201</f>
        <v>Nee</v>
      </c>
      <c r="M288" s="32" t="str">
        <f>'13. Input desinvesteringen'!F201</f>
        <v>Overige bedrijfsmiddelen</v>
      </c>
      <c r="N288" s="82">
        <f>'13. Input desinvesteringen'!G201</f>
        <v>2005</v>
      </c>
      <c r="O288" s="82"/>
      <c r="P288" s="82"/>
      <c r="Q288" s="32">
        <f>'13. Input desinvesteringen'!H201</f>
        <v>4556</v>
      </c>
      <c r="R288" s="82">
        <f>'13. Input desinvesteringen'!I201</f>
        <v>2023</v>
      </c>
      <c r="S288" s="32">
        <f>'13. Input desinvesteringen'!J201</f>
        <v>12</v>
      </c>
      <c r="U288" s="76">
        <f t="shared" si="9"/>
        <v>1</v>
      </c>
      <c r="V288" s="76">
        <f t="shared" si="10"/>
        <v>0</v>
      </c>
      <c r="X288" s="33" cm="1">
        <f t="array" ref="X288">((X$102=$R288)*((13-$S288)/12)+(X$102&gt;$R288))*$Q288*INDEX($J$13:$O$39,$N288-1999,X$102-2020)</f>
        <v>0</v>
      </c>
      <c r="Y288" s="33" cm="1">
        <f t="array" ref="Y288">((Y$102=$R288)*((13-$S288)/12)+(Y$102&gt;$R288))*$Q288*INDEX($J$13:$O$39,$N288-1999,Y$102-2020)</f>
        <v>0</v>
      </c>
      <c r="Z288" s="33" cm="1">
        <f t="array" ref="Z288">((Z$102=$R288)*((13-$S288)/12)+(Z$102&gt;$R288))*$Q288*INDEX($J$13:$O$39,$N288-1999,Z$102-2020)</f>
        <v>563.19141845469096</v>
      </c>
      <c r="AA288" s="33" cm="1">
        <f t="array" ref="AA288">((AA$102=$R288)*((13-$S288)/12)+(AA$102&gt;$R288))*$Q288*INDEX($J$13:$O$39,$N288-1999,AA$102-2020)</f>
        <v>6961.0459320999807</v>
      </c>
      <c r="AB288" s="33" cm="1">
        <f t="array" ref="AB288">((AB$102=$R288)*((13-$S288)/12)+(AB$102&gt;$R288))*$Q288*INDEX($J$13:$O$39,$N288-1999,AB$102-2020)</f>
        <v>7211.6435856555809</v>
      </c>
      <c r="AC288" s="33" cm="1">
        <f t="array" ref="AC288">((AC$102=$R288)*((13-$S288)/12)+(AC$102&gt;$R288))*$Q288*INDEX($J$13:$O$39,$N288-1999,AC$102-2020)</f>
        <v>7413.5696060539367</v>
      </c>
    </row>
    <row r="289" spans="2:29" x14ac:dyDescent="0.2">
      <c r="B289" s="32">
        <f>'13. Input desinvesteringen'!B202</f>
        <v>186</v>
      </c>
      <c r="J289" s="32" t="str">
        <f>'13. Input desinvesteringen'!C202</f>
        <v>Transport</v>
      </c>
      <c r="K289" s="32" t="str">
        <f>'13. Input desinvesteringen'!D202</f>
        <v>EHS</v>
      </c>
      <c r="L289" s="32" t="str">
        <f>'13. Input desinvesteringen'!E202</f>
        <v>Nee</v>
      </c>
      <c r="M289" s="32" t="str">
        <f>'13. Input desinvesteringen'!F202</f>
        <v>Overige bedrijfsmiddelen</v>
      </c>
      <c r="N289" s="82">
        <f>'13. Input desinvesteringen'!G202</f>
        <v>2006</v>
      </c>
      <c r="O289" s="82"/>
      <c r="P289" s="82"/>
      <c r="Q289" s="32">
        <f>'13. Input desinvesteringen'!H202</f>
        <v>10514</v>
      </c>
      <c r="R289" s="82">
        <f>'13. Input desinvesteringen'!I202</f>
        <v>2023</v>
      </c>
      <c r="S289" s="32">
        <f>'13. Input desinvesteringen'!J202</f>
        <v>12</v>
      </c>
      <c r="U289" s="76">
        <f t="shared" si="9"/>
        <v>1</v>
      </c>
      <c r="V289" s="76">
        <f t="shared" si="10"/>
        <v>0</v>
      </c>
      <c r="X289" s="33" cm="1">
        <f t="array" ref="X289">((X$102=$R289)*((13-$S289)/12)+(X$102&gt;$R289))*$Q289*INDEX($J$13:$O$39,$N289-1999,X$102-2020)</f>
        <v>0</v>
      </c>
      <c r="Y289" s="33" cm="1">
        <f t="array" ref="Y289">((Y$102=$R289)*((13-$S289)/12)+(Y$102&gt;$R289))*$Q289*INDEX($J$13:$O$39,$N289-1999,Y$102-2020)</f>
        <v>0</v>
      </c>
      <c r="Z289" s="33" cm="1">
        <f t="array" ref="Z289">((Z$102=$R289)*((13-$S289)/12)+(Z$102&gt;$R289))*$Q289*INDEX($J$13:$O$39,$N289-1999,Z$102-2020)</f>
        <v>1276.7107287509255</v>
      </c>
      <c r="AA289" s="33" cm="1">
        <f t="array" ref="AA289">((AA$102=$R289)*((13-$S289)/12)+(AA$102&gt;$R289))*$Q289*INDEX($J$13:$O$39,$N289-1999,AA$102-2020)</f>
        <v>15780.144607361439</v>
      </c>
      <c r="AB289" s="33" cm="1">
        <f t="array" ref="AB289">((AB$102=$R289)*((13-$S289)/12)+(AB$102&gt;$R289))*$Q289*INDEX($J$13:$O$39,$N289-1999,AB$102-2020)</f>
        <v>16348.229813226453</v>
      </c>
      <c r="AC289" s="33" cm="1">
        <f t="array" ref="AC289">((AC$102=$R289)*((13-$S289)/12)+(AC$102&gt;$R289))*$Q289*INDEX($J$13:$O$39,$N289-1999,AC$102-2020)</f>
        <v>16805.980247996795</v>
      </c>
    </row>
    <row r="290" spans="2:29" x14ac:dyDescent="0.2">
      <c r="B290" s="32">
        <f>'13. Input desinvesteringen'!B203</f>
        <v>187</v>
      </c>
      <c r="J290" s="32" t="str">
        <f>'13. Input desinvesteringen'!C203</f>
        <v>Transport</v>
      </c>
      <c r="K290" s="32" t="str">
        <f>'13. Input desinvesteringen'!D203</f>
        <v>EHS</v>
      </c>
      <c r="L290" s="32" t="str">
        <f>'13. Input desinvesteringen'!E203</f>
        <v>Nee</v>
      </c>
      <c r="M290" s="32" t="str">
        <f>'13. Input desinvesteringen'!F203</f>
        <v>Overige bedrijfsmiddelen</v>
      </c>
      <c r="N290" s="82">
        <f>'13. Input desinvesteringen'!G203</f>
        <v>2006</v>
      </c>
      <c r="O290" s="82"/>
      <c r="P290" s="82"/>
      <c r="Q290" s="32">
        <f>'13. Input desinvesteringen'!H203</f>
        <v>2168</v>
      </c>
      <c r="R290" s="82">
        <f>'13. Input desinvesteringen'!I203</f>
        <v>2023</v>
      </c>
      <c r="S290" s="32">
        <f>'13. Input desinvesteringen'!J203</f>
        <v>12</v>
      </c>
      <c r="U290" s="76">
        <f t="shared" si="9"/>
        <v>1</v>
      </c>
      <c r="V290" s="76">
        <f t="shared" si="10"/>
        <v>0</v>
      </c>
      <c r="X290" s="33" cm="1">
        <f t="array" ref="X290">((X$102=$R290)*((13-$S290)/12)+(X$102&gt;$R290))*$Q290*INDEX($J$13:$O$39,$N290-1999,X$102-2020)</f>
        <v>0</v>
      </c>
      <c r="Y290" s="33" cm="1">
        <f t="array" ref="Y290">((Y$102=$R290)*((13-$S290)/12)+(Y$102&gt;$R290))*$Q290*INDEX($J$13:$O$39,$N290-1999,Y$102-2020)</f>
        <v>0</v>
      </c>
      <c r="Z290" s="33" cm="1">
        <f t="array" ref="Z290">((Z$102=$R290)*((13-$S290)/12)+(Z$102&gt;$R290))*$Q290*INDEX($J$13:$O$39,$N290-1999,Z$102-2020)</f>
        <v>263.2593551390533</v>
      </c>
      <c r="AA290" s="33" cm="1">
        <f t="array" ref="AA290">((AA$102=$R290)*((13-$S290)/12)+(AA$102&gt;$R290))*$Q290*INDEX($J$13:$O$39,$N290-1999,AA$102-2020)</f>
        <v>3253.8856295186988</v>
      </c>
      <c r="AB290" s="33" cm="1">
        <f t="array" ref="AB290">((AB$102=$R290)*((13-$S290)/12)+(AB$102&gt;$R290))*$Q290*INDEX($J$13:$O$39,$N290-1999,AB$102-2020)</f>
        <v>3371.0255121813725</v>
      </c>
      <c r="AC290" s="33" cm="1">
        <f t="array" ref="AC290">((AC$102=$R290)*((13-$S290)/12)+(AC$102&gt;$R290))*$Q290*INDEX($J$13:$O$39,$N290-1999,AC$102-2020)</f>
        <v>3465.4142265224509</v>
      </c>
    </row>
    <row r="291" spans="2:29" x14ac:dyDescent="0.2">
      <c r="B291" s="32">
        <f>'13. Input desinvesteringen'!B204</f>
        <v>188</v>
      </c>
      <c r="J291" s="32" t="str">
        <f>'13. Input desinvesteringen'!C204</f>
        <v>Transport</v>
      </c>
      <c r="K291" s="32" t="str">
        <f>'13. Input desinvesteringen'!D204</f>
        <v>EHS</v>
      </c>
      <c r="L291" s="32" t="str">
        <f>'13. Input desinvesteringen'!E204</f>
        <v>Nee</v>
      </c>
      <c r="M291" s="32" t="str">
        <f>'13. Input desinvesteringen'!F204</f>
        <v>Overige bedrijfsmiddelen</v>
      </c>
      <c r="N291" s="82">
        <f>'13. Input desinvesteringen'!G204</f>
        <v>2007</v>
      </c>
      <c r="O291" s="82"/>
      <c r="P291" s="82"/>
      <c r="Q291" s="32">
        <f>'13. Input desinvesteringen'!H204</f>
        <v>6365</v>
      </c>
      <c r="R291" s="82">
        <f>'13. Input desinvesteringen'!I204</f>
        <v>2023</v>
      </c>
      <c r="S291" s="32">
        <f>'13. Input desinvesteringen'!J204</f>
        <v>12</v>
      </c>
      <c r="U291" s="76">
        <f t="shared" si="9"/>
        <v>1</v>
      </c>
      <c r="V291" s="76">
        <f t="shared" si="10"/>
        <v>0</v>
      </c>
      <c r="X291" s="33" cm="1">
        <f t="array" ref="X291">((X$102=$R291)*((13-$S291)/12)+(X$102&gt;$R291))*$Q291*INDEX($J$13:$O$39,$N291-1999,X$102-2020)</f>
        <v>0</v>
      </c>
      <c r="Y291" s="33" cm="1">
        <f t="array" ref="Y291">((Y$102=$R291)*((13-$S291)/12)+(Y$102&gt;$R291))*$Q291*INDEX($J$13:$O$39,$N291-1999,Y$102-2020)</f>
        <v>0</v>
      </c>
      <c r="Z291" s="33" cm="1">
        <f t="array" ref="Z291">((Z$102=$R291)*((13-$S291)/12)+(Z$102&gt;$R291))*$Q291*INDEX($J$13:$O$39,$N291-1999,Z$102-2020)</f>
        <v>762.22815793834354</v>
      </c>
      <c r="AA291" s="33" cm="1">
        <f t="array" ref="AA291">((AA$102=$R291)*((13-$S291)/12)+(AA$102&gt;$R291))*$Q291*INDEX($J$13:$O$39,$N291-1999,AA$102-2020)</f>
        <v>9421.1400321179262</v>
      </c>
      <c r="AB291" s="33" cm="1">
        <f t="array" ref="AB291">((AB$102=$R291)*((13-$S291)/12)+(AB$102&gt;$R291))*$Q291*INDEX($J$13:$O$39,$N291-1999,AB$102-2020)</f>
        <v>9760.3010732741714</v>
      </c>
      <c r="AC291" s="33" cm="1">
        <f t="array" ref="AC291">((AC$102=$R291)*((13-$S291)/12)+(AC$102&gt;$R291))*$Q291*INDEX($J$13:$O$39,$N291-1999,AC$102-2020)</f>
        <v>10033.589503325849</v>
      </c>
    </row>
    <row r="292" spans="2:29" x14ac:dyDescent="0.2">
      <c r="B292" s="32">
        <f>'13. Input desinvesteringen'!B205</f>
        <v>189</v>
      </c>
      <c r="J292" s="32" t="str">
        <f>'13. Input desinvesteringen'!C205</f>
        <v>Transport</v>
      </c>
      <c r="K292" s="32" t="str">
        <f>'13. Input desinvesteringen'!D205</f>
        <v>EHS</v>
      </c>
      <c r="L292" s="32" t="str">
        <f>'13. Input desinvesteringen'!E205</f>
        <v>Nee</v>
      </c>
      <c r="M292" s="32" t="str">
        <f>'13. Input desinvesteringen'!F205</f>
        <v>Overige bedrijfsmiddelen</v>
      </c>
      <c r="N292" s="82">
        <f>'13. Input desinvesteringen'!G205</f>
        <v>2005</v>
      </c>
      <c r="O292" s="82"/>
      <c r="P292" s="82"/>
      <c r="Q292" s="32">
        <f>'13. Input desinvesteringen'!H205</f>
        <v>50303</v>
      </c>
      <c r="R292" s="82">
        <f>'13. Input desinvesteringen'!I205</f>
        <v>2023</v>
      </c>
      <c r="S292" s="32">
        <f>'13. Input desinvesteringen'!J205</f>
        <v>12</v>
      </c>
      <c r="U292" s="76">
        <f t="shared" si="9"/>
        <v>1</v>
      </c>
      <c r="V292" s="76">
        <f t="shared" si="10"/>
        <v>0</v>
      </c>
      <c r="X292" s="33" cm="1">
        <f t="array" ref="X292">((X$102=$R292)*((13-$S292)/12)+(X$102&gt;$R292))*$Q292*INDEX($J$13:$O$39,$N292-1999,X$102-2020)</f>
        <v>0</v>
      </c>
      <c r="Y292" s="33" cm="1">
        <f t="array" ref="Y292">((Y$102=$R292)*((13-$S292)/12)+(Y$102&gt;$R292))*$Q292*INDEX($J$13:$O$39,$N292-1999,Y$102-2020)</f>
        <v>0</v>
      </c>
      <c r="Z292" s="33" cm="1">
        <f t="array" ref="Z292">((Z$102=$R292)*((13-$S292)/12)+(Z$102&gt;$R292))*$Q292*INDEX($J$13:$O$39,$N292-1999,Z$102-2020)</f>
        <v>6218.2216686844422</v>
      </c>
      <c r="AA292" s="33" cm="1">
        <f t="array" ref="AA292">((AA$102=$R292)*((13-$S292)/12)+(AA$102&gt;$R292))*$Q292*INDEX($J$13:$O$39,$N292-1999,AA$102-2020)</f>
        <v>76857.219824939719</v>
      </c>
      <c r="AB292" s="33" cm="1">
        <f t="array" ref="AB292">((AB$102=$R292)*((13-$S292)/12)+(AB$102&gt;$R292))*$Q292*INDEX($J$13:$O$39,$N292-1999,AB$102-2020)</f>
        <v>79624.079738637549</v>
      </c>
      <c r="AC292" s="33" cm="1">
        <f t="array" ref="AC292">((AC$102=$R292)*((13-$S292)/12)+(AC$102&gt;$R292))*$Q292*INDEX($J$13:$O$39,$N292-1999,AC$102-2020)</f>
        <v>81853.553971319401</v>
      </c>
    </row>
    <row r="293" spans="2:29" x14ac:dyDescent="0.2">
      <c r="B293" s="32">
        <f>'13. Input desinvesteringen'!B206</f>
        <v>190</v>
      </c>
      <c r="J293" s="32" t="str">
        <f>'13. Input desinvesteringen'!C206</f>
        <v>Transport</v>
      </c>
      <c r="K293" s="32" t="str">
        <f>'13. Input desinvesteringen'!D206</f>
        <v>EHS</v>
      </c>
      <c r="L293" s="32" t="str">
        <f>'13. Input desinvesteringen'!E206</f>
        <v>Nee</v>
      </c>
      <c r="M293" s="32" t="str">
        <f>'13. Input desinvesteringen'!F206</f>
        <v>Overige bedrijfsmiddelen</v>
      </c>
      <c r="N293" s="82">
        <f>'13. Input desinvesteringen'!G206</f>
        <v>2006</v>
      </c>
      <c r="O293" s="82"/>
      <c r="P293" s="82"/>
      <c r="Q293" s="32">
        <f>'13. Input desinvesteringen'!H206</f>
        <v>47152</v>
      </c>
      <c r="R293" s="82">
        <f>'13. Input desinvesteringen'!I206</f>
        <v>2023</v>
      </c>
      <c r="S293" s="32">
        <f>'13. Input desinvesteringen'!J206</f>
        <v>12</v>
      </c>
      <c r="U293" s="76">
        <f t="shared" si="9"/>
        <v>1</v>
      </c>
      <c r="V293" s="76">
        <f t="shared" si="10"/>
        <v>0</v>
      </c>
      <c r="X293" s="33" cm="1">
        <f t="array" ref="X293">((X$102=$R293)*((13-$S293)/12)+(X$102&gt;$R293))*$Q293*INDEX($J$13:$O$39,$N293-1999,X$102-2020)</f>
        <v>0</v>
      </c>
      <c r="Y293" s="33" cm="1">
        <f t="array" ref="Y293">((Y$102=$R293)*((13-$S293)/12)+(Y$102&gt;$R293))*$Q293*INDEX($J$13:$O$39,$N293-1999,Y$102-2020)</f>
        <v>0</v>
      </c>
      <c r="Z293" s="33" cm="1">
        <f t="array" ref="Z293">((Z$102=$R293)*((13-$S293)/12)+(Z$102&gt;$R293))*$Q293*INDEX($J$13:$O$39,$N293-1999,Z$102-2020)</f>
        <v>5725.6481150907011</v>
      </c>
      <c r="AA293" s="33" cm="1">
        <f t="array" ref="AA293">((AA$102=$R293)*((13-$S293)/12)+(AA$102&gt;$R293))*$Q293*INDEX($J$13:$O$39,$N293-1999,AA$102-2020)</f>
        <v>70769.010702521075</v>
      </c>
      <c r="AB293" s="33" cm="1">
        <f t="array" ref="AB293">((AB$102=$R293)*((13-$S293)/12)+(AB$102&gt;$R293))*$Q293*INDEX($J$13:$O$39,$N293-1999,AB$102-2020)</f>
        <v>73316.695087811837</v>
      </c>
      <c r="AC293" s="33" cm="1">
        <f t="array" ref="AC293">((AC$102=$R293)*((13-$S293)/12)+(AC$102&gt;$R293))*$Q293*INDEX($J$13:$O$39,$N293-1999,AC$102-2020)</f>
        <v>75369.562550270566</v>
      </c>
    </row>
    <row r="294" spans="2:29" x14ac:dyDescent="0.2">
      <c r="B294" s="32">
        <f>'13. Input desinvesteringen'!B207</f>
        <v>191</v>
      </c>
      <c r="J294" s="32" t="str">
        <f>'13. Input desinvesteringen'!C207</f>
        <v>Transport</v>
      </c>
      <c r="K294" s="32" t="str">
        <f>'13. Input desinvesteringen'!D207</f>
        <v>EHS</v>
      </c>
      <c r="L294" s="32" t="str">
        <f>'13. Input desinvesteringen'!E207</f>
        <v>Nee</v>
      </c>
      <c r="M294" s="32" t="str">
        <f>'13. Input desinvesteringen'!F207</f>
        <v>Overige bedrijfsmiddelen</v>
      </c>
      <c r="N294" s="82">
        <f>'13. Input desinvesteringen'!G207</f>
        <v>2006</v>
      </c>
      <c r="O294" s="82"/>
      <c r="P294" s="82"/>
      <c r="Q294" s="32">
        <f>'13. Input desinvesteringen'!H207</f>
        <v>5311</v>
      </c>
      <c r="R294" s="82">
        <f>'13. Input desinvesteringen'!I207</f>
        <v>2023</v>
      </c>
      <c r="S294" s="32">
        <f>'13. Input desinvesteringen'!J207</f>
        <v>12</v>
      </c>
      <c r="U294" s="76">
        <f t="shared" si="9"/>
        <v>1</v>
      </c>
      <c r="V294" s="76">
        <f t="shared" si="10"/>
        <v>0</v>
      </c>
      <c r="X294" s="33" cm="1">
        <f t="array" ref="X294">((X$102=$R294)*((13-$S294)/12)+(X$102&gt;$R294))*$Q294*INDEX($J$13:$O$39,$N294-1999,X$102-2020)</f>
        <v>0</v>
      </c>
      <c r="Y294" s="33" cm="1">
        <f t="array" ref="Y294">((Y$102=$R294)*((13-$S294)/12)+(Y$102&gt;$R294))*$Q294*INDEX($J$13:$O$39,$N294-1999,Y$102-2020)</f>
        <v>0</v>
      </c>
      <c r="Z294" s="33" cm="1">
        <f t="array" ref="Z294">((Z$102=$R294)*((13-$S294)/12)+(Z$102&gt;$R294))*$Q294*INDEX($J$13:$O$39,$N294-1999,Z$102-2020)</f>
        <v>644.91256233556828</v>
      </c>
      <c r="AA294" s="33" cm="1">
        <f t="array" ref="AA294">((AA$102=$R294)*((13-$S294)/12)+(AA$102&gt;$R294))*$Q294*INDEX($J$13:$O$39,$N294-1999,AA$102-2020)</f>
        <v>7971.1192704676241</v>
      </c>
      <c r="AB294" s="33" cm="1">
        <f t="array" ref="AB294">((AB$102=$R294)*((13-$S294)/12)+(AB$102&gt;$R294))*$Q294*INDEX($J$13:$O$39,$N294-1999,AB$102-2020)</f>
        <v>8258.0795642044595</v>
      </c>
      <c r="AC294" s="33" cm="1">
        <f t="array" ref="AC294">((AC$102=$R294)*((13-$S294)/12)+(AC$102&gt;$R294))*$Q294*INDEX($J$13:$O$39,$N294-1999,AC$102-2020)</f>
        <v>8489.3057920021838</v>
      </c>
    </row>
    <row r="295" spans="2:29" x14ac:dyDescent="0.2">
      <c r="B295" s="32">
        <f>'13. Input desinvesteringen'!B208</f>
        <v>192</v>
      </c>
      <c r="J295" s="32" t="str">
        <f>'13. Input desinvesteringen'!C208</f>
        <v>Transport</v>
      </c>
      <c r="K295" s="32" t="str">
        <f>'13. Input desinvesteringen'!D208</f>
        <v>EHS</v>
      </c>
      <c r="L295" s="32" t="str">
        <f>'13. Input desinvesteringen'!E208</f>
        <v>Nee</v>
      </c>
      <c r="M295" s="32" t="str">
        <f>'13. Input desinvesteringen'!F208</f>
        <v>Overige bedrijfsmiddelen</v>
      </c>
      <c r="N295" s="82">
        <f>'13. Input desinvesteringen'!G208</f>
        <v>2007</v>
      </c>
      <c r="O295" s="82"/>
      <c r="P295" s="82"/>
      <c r="Q295" s="32">
        <f>'13. Input desinvesteringen'!H208</f>
        <v>98889</v>
      </c>
      <c r="R295" s="82">
        <f>'13. Input desinvesteringen'!I208</f>
        <v>2023</v>
      </c>
      <c r="S295" s="32">
        <f>'13. Input desinvesteringen'!J208</f>
        <v>12</v>
      </c>
      <c r="U295" s="76">
        <f t="shared" si="9"/>
        <v>1</v>
      </c>
      <c r="V295" s="76">
        <f t="shared" si="10"/>
        <v>0</v>
      </c>
      <c r="X295" s="33" cm="1">
        <f t="array" ref="X295">((X$102=$R295)*((13-$S295)/12)+(X$102&gt;$R295))*$Q295*INDEX($J$13:$O$39,$N295-1999,X$102-2020)</f>
        <v>0</v>
      </c>
      <c r="Y295" s="33" cm="1">
        <f t="array" ref="Y295">((Y$102=$R295)*((13-$S295)/12)+(Y$102&gt;$R295))*$Q295*INDEX($J$13:$O$39,$N295-1999,Y$102-2020)</f>
        <v>0</v>
      </c>
      <c r="Z295" s="33" cm="1">
        <f t="array" ref="Z295">((Z$102=$R295)*((13-$S295)/12)+(Z$102&gt;$R295))*$Q295*INDEX($J$13:$O$39,$N295-1999,Z$102-2020)</f>
        <v>11842.259278926136</v>
      </c>
      <c r="AA295" s="33" cm="1">
        <f t="array" ref="AA295">((AA$102=$R295)*((13-$S295)/12)+(AA$102&gt;$R295))*$Q295*INDEX($J$13:$O$39,$N295-1999,AA$102-2020)</f>
        <v>146370.32468752703</v>
      </c>
      <c r="AB295" s="33" cm="1">
        <f t="array" ref="AB295">((AB$102=$R295)*((13-$S295)/12)+(AB$102&gt;$R295))*$Q295*INDEX($J$13:$O$39,$N295-1999,AB$102-2020)</f>
        <v>151639.65637627803</v>
      </c>
      <c r="AC295" s="33" cm="1">
        <f t="array" ref="AC295">((AC$102=$R295)*((13-$S295)/12)+(AC$102&gt;$R295))*$Q295*INDEX($J$13:$O$39,$N295-1999,AC$102-2020)</f>
        <v>155885.5667548138</v>
      </c>
    </row>
    <row r="296" spans="2:29" x14ac:dyDescent="0.2">
      <c r="B296" s="32">
        <f>'13. Input desinvesteringen'!B209</f>
        <v>193</v>
      </c>
      <c r="J296" s="32" t="str">
        <f>'13. Input desinvesteringen'!C209</f>
        <v>Transport</v>
      </c>
      <c r="K296" s="32" t="str">
        <f>'13. Input desinvesteringen'!D209</f>
        <v>EHS</v>
      </c>
      <c r="L296" s="32" t="str">
        <f>'13. Input desinvesteringen'!E209</f>
        <v>Nee</v>
      </c>
      <c r="M296" s="32" t="str">
        <f>'13. Input desinvesteringen'!F209</f>
        <v>Computerapparatuur</v>
      </c>
      <c r="N296" s="82">
        <f>'13. Input desinvesteringen'!G209</f>
        <v>2014</v>
      </c>
      <c r="O296" s="82"/>
      <c r="P296" s="82"/>
      <c r="Q296" s="32">
        <f>'13. Input desinvesteringen'!H209</f>
        <v>383440</v>
      </c>
      <c r="R296" s="82">
        <f>'13. Input desinvesteringen'!I209</f>
        <v>2023</v>
      </c>
      <c r="S296" s="32">
        <f>'13. Input desinvesteringen'!J209</f>
        <v>2</v>
      </c>
      <c r="U296" s="76">
        <f t="shared" si="9"/>
        <v>1</v>
      </c>
      <c r="V296" s="76">
        <f t="shared" si="10"/>
        <v>0</v>
      </c>
      <c r="X296" s="33" cm="1">
        <f t="array" ref="X296">((X$102=$R296)*((13-$S296)/12)+(X$102&gt;$R296))*$Q296*INDEX($J$13:$O$39,$N296-1999,X$102-2020)</f>
        <v>0</v>
      </c>
      <c r="Y296" s="33" cm="1">
        <f t="array" ref="Y296">((Y$102=$R296)*((13-$S296)/12)+(Y$102&gt;$R296))*$Q296*INDEX($J$13:$O$39,$N296-1999,Y$102-2020)</f>
        <v>0</v>
      </c>
      <c r="Z296" s="33" cm="1">
        <f t="array" ref="Z296">((Z$102=$R296)*((13-$S296)/12)+(Z$102&gt;$R296))*$Q296*INDEX($J$13:$O$39,$N296-1999,Z$102-2020)</f>
        <v>440719.98453405162</v>
      </c>
      <c r="AA296" s="33" cm="1">
        <f t="array" ref="AA296">((AA$102=$R296)*((13-$S296)/12)+(AA$102&gt;$R296))*$Q296*INDEX($J$13:$O$39,$N296-1999,AA$102-2020)</f>
        <v>495209.00080371625</v>
      </c>
      <c r="AB296" s="33" cm="1">
        <f t="array" ref="AB296">((AB$102=$R296)*((13-$S296)/12)+(AB$102&gt;$R296))*$Q296*INDEX($J$13:$O$39,$N296-1999,AB$102-2020)</f>
        <v>513036.52483265003</v>
      </c>
      <c r="AC296" s="33" cm="1">
        <f t="array" ref="AC296">((AC$102=$R296)*((13-$S296)/12)+(AC$102&gt;$R296))*$Q296*INDEX($J$13:$O$39,$N296-1999,AC$102-2020)</f>
        <v>527401.54752796423</v>
      </c>
    </row>
    <row r="297" spans="2:29" x14ac:dyDescent="0.2">
      <c r="B297" s="32">
        <f>'13. Input desinvesteringen'!B210</f>
        <v>194</v>
      </c>
      <c r="J297" s="32" t="str">
        <f>'13. Input desinvesteringen'!C210</f>
        <v>Transport</v>
      </c>
      <c r="K297" s="32" t="str">
        <f>'13. Input desinvesteringen'!D210</f>
        <v>EHS</v>
      </c>
      <c r="L297" s="32" t="str">
        <f>'13. Input desinvesteringen'!E210</f>
        <v>Nee</v>
      </c>
      <c r="M297" s="32" t="str">
        <f>'13. Input desinvesteringen'!F210</f>
        <v>Computerapparatuur</v>
      </c>
      <c r="N297" s="82">
        <f>'13. Input desinvesteringen'!G210</f>
        <v>2014</v>
      </c>
      <c r="O297" s="82"/>
      <c r="P297" s="82"/>
      <c r="Q297" s="32">
        <f>'13. Input desinvesteringen'!H210</f>
        <v>14460</v>
      </c>
      <c r="R297" s="82">
        <f>'13. Input desinvesteringen'!I210</f>
        <v>2023</v>
      </c>
      <c r="S297" s="32">
        <f>'13. Input desinvesteringen'!J210</f>
        <v>2</v>
      </c>
      <c r="U297" s="76">
        <f t="shared" si="9"/>
        <v>1</v>
      </c>
      <c r="V297" s="76">
        <f t="shared" si="10"/>
        <v>0</v>
      </c>
      <c r="X297" s="33" cm="1">
        <f t="array" ref="X297">((X$102=$R297)*((13-$S297)/12)+(X$102&gt;$R297))*$Q297*INDEX($J$13:$O$39,$N297-1999,X$102-2020)</f>
        <v>0</v>
      </c>
      <c r="Y297" s="33" cm="1">
        <f t="array" ref="Y297">((Y$102=$R297)*((13-$S297)/12)+(Y$102&gt;$R297))*$Q297*INDEX($J$13:$O$39,$N297-1999,Y$102-2020)</f>
        <v>0</v>
      </c>
      <c r="Z297" s="33" cm="1">
        <f t="array" ref="Z297">((Z$102=$R297)*((13-$S297)/12)+(Z$102&gt;$R297))*$Q297*INDEX($J$13:$O$39,$N297-1999,Z$102-2020)</f>
        <v>16620.099562806143</v>
      </c>
      <c r="AA297" s="33" cm="1">
        <f t="array" ref="AA297">((AA$102=$R297)*((13-$S297)/12)+(AA$102&gt;$R297))*$Q297*INDEX($J$13:$O$39,$N297-1999,AA$102-2020)</f>
        <v>18674.948236025812</v>
      </c>
      <c r="AB297" s="33" cm="1">
        <f t="array" ref="AB297">((AB$102=$R297)*((13-$S297)/12)+(AB$102&gt;$R297))*$Q297*INDEX($J$13:$O$39,$N297-1999,AB$102-2020)</f>
        <v>19347.246372522739</v>
      </c>
      <c r="AC297" s="33" cm="1">
        <f t="array" ref="AC297">((AC$102=$R297)*((13-$S297)/12)+(AC$102&gt;$R297))*$Q297*INDEX($J$13:$O$39,$N297-1999,AC$102-2020)</f>
        <v>19888.969270953377</v>
      </c>
    </row>
    <row r="298" spans="2:29" x14ac:dyDescent="0.2">
      <c r="B298" s="32">
        <f>'13. Input desinvesteringen'!B211</f>
        <v>195</v>
      </c>
      <c r="J298" s="32" t="str">
        <f>'13. Input desinvesteringen'!C211</f>
        <v>Transport</v>
      </c>
      <c r="K298" s="32" t="str">
        <f>'13. Input desinvesteringen'!D211</f>
        <v>EHS</v>
      </c>
      <c r="L298" s="32" t="str">
        <f>'13. Input desinvesteringen'!E211</f>
        <v>Nee</v>
      </c>
      <c r="M298" s="32" t="str">
        <f>'13. Input desinvesteringen'!F211</f>
        <v>Elektrotechnisch gedeelte</v>
      </c>
      <c r="N298" s="82">
        <f>'13. Input desinvesteringen'!G211</f>
        <v>2017</v>
      </c>
      <c r="O298" s="82"/>
      <c r="P298" s="82"/>
      <c r="Q298" s="32">
        <f>'13. Input desinvesteringen'!H211</f>
        <v>3334508</v>
      </c>
      <c r="R298" s="82">
        <f>'13. Input desinvesteringen'!I211</f>
        <v>2023</v>
      </c>
      <c r="S298" s="32">
        <f>'13. Input desinvesteringen'!J211</f>
        <v>1</v>
      </c>
      <c r="U298" s="76">
        <f t="shared" si="9"/>
        <v>1</v>
      </c>
      <c r="V298" s="76">
        <f t="shared" si="10"/>
        <v>0</v>
      </c>
      <c r="X298" s="33" cm="1">
        <f t="array" ref="X298">((X$102=$R298)*((13-$S298)/12)+(X$102&gt;$R298))*$Q298*INDEX($J$13:$O$39,$N298-1999,X$102-2020)</f>
        <v>0</v>
      </c>
      <c r="Y298" s="33" cm="1">
        <f t="array" ref="Y298">((Y$102=$R298)*((13-$S298)/12)+(Y$102&gt;$R298))*$Q298*INDEX($J$13:$O$39,$N298-1999,Y$102-2020)</f>
        <v>0</v>
      </c>
      <c r="Z298" s="33" cm="1">
        <f t="array" ref="Z298">((Z$102=$R298)*((13-$S298)/12)+(Z$102&gt;$R298))*$Q298*INDEX($J$13:$O$39,$N298-1999,Z$102-2020)</f>
        <v>4098604.6203919114</v>
      </c>
      <c r="AA298" s="33" cm="1">
        <f t="array" ref="AA298">((AA$102=$R298)*((13-$S298)/12)+(AA$102&gt;$R298))*$Q298*INDEX($J$13:$O$39,$N298-1999,AA$102-2020)</f>
        <v>4221562.759003669</v>
      </c>
      <c r="AB298" s="33" cm="1">
        <f t="array" ref="AB298">((AB$102=$R298)*((13-$S298)/12)+(AB$102&gt;$R298))*$Q298*INDEX($J$13:$O$39,$N298-1999,AB$102-2020)</f>
        <v>4373539.0183278015</v>
      </c>
      <c r="AC298" s="33" cm="1">
        <f t="array" ref="AC298">((AC$102=$R298)*((13-$S298)/12)+(AC$102&gt;$R298))*$Q298*INDEX($J$13:$O$39,$N298-1999,AC$102-2020)</f>
        <v>4495998.110840979</v>
      </c>
    </row>
    <row r="299" spans="2:29" x14ac:dyDescent="0.2">
      <c r="B299" s="32">
        <f>'13. Input desinvesteringen'!B212</f>
        <v>196</v>
      </c>
      <c r="J299" s="32" t="str">
        <f>'13. Input desinvesteringen'!C212</f>
        <v>Transport</v>
      </c>
      <c r="K299" s="32" t="str">
        <f>'13. Input desinvesteringen'!D212</f>
        <v>EHS</v>
      </c>
      <c r="L299" s="32" t="str">
        <f>'13. Input desinvesteringen'!E212</f>
        <v>Nee</v>
      </c>
      <c r="M299" s="32" t="str">
        <f>'13. Input desinvesteringen'!F212</f>
        <v>Elektrotechnisch gedeelte</v>
      </c>
      <c r="N299" s="82">
        <f>'13. Input desinvesteringen'!G212</f>
        <v>2020</v>
      </c>
      <c r="O299" s="82"/>
      <c r="P299" s="82"/>
      <c r="Q299" s="32">
        <f>'13. Input desinvesteringen'!H212</f>
        <v>794850</v>
      </c>
      <c r="R299" s="82">
        <f>'13. Input desinvesteringen'!I212</f>
        <v>2023</v>
      </c>
      <c r="S299" s="32">
        <f>'13. Input desinvesteringen'!J212</f>
        <v>1</v>
      </c>
      <c r="U299" s="76">
        <f t="shared" si="9"/>
        <v>1</v>
      </c>
      <c r="V299" s="76">
        <f t="shared" si="10"/>
        <v>0</v>
      </c>
      <c r="X299" s="33" cm="1">
        <f t="array" ref="X299">((X$102=$R299)*((13-$S299)/12)+(X$102&gt;$R299))*$Q299*INDEX($J$13:$O$39,$N299-1999,X$102-2020)</f>
        <v>0</v>
      </c>
      <c r="Y299" s="33" cm="1">
        <f t="array" ref="Y299">((Y$102=$R299)*((13-$S299)/12)+(Y$102&gt;$R299))*$Q299*INDEX($J$13:$O$39,$N299-1999,Y$102-2020)</f>
        <v>0</v>
      </c>
      <c r="Z299" s="33" cm="1">
        <f t="array" ref="Z299">((Z$102=$R299)*((13-$S299)/12)+(Z$102&gt;$R299))*$Q299*INDEX($J$13:$O$39,$N299-1999,Z$102-2020)</f>
        <v>917978.75097599998</v>
      </c>
      <c r="AA299" s="33" cm="1">
        <f t="array" ref="AA299">((AA$102=$R299)*((13-$S299)/12)+(AA$102&gt;$R299))*$Q299*INDEX($J$13:$O$39,$N299-1999,AA$102-2020)</f>
        <v>945518.11350527988</v>
      </c>
      <c r="AB299" s="33" cm="1">
        <f t="array" ref="AB299">((AB$102=$R299)*((13-$S299)/12)+(AB$102&gt;$R299))*$Q299*INDEX($J$13:$O$39,$N299-1999,AB$102-2020)</f>
        <v>979556.76559146994</v>
      </c>
      <c r="AC299" s="33" cm="1">
        <f t="array" ref="AC299">((AC$102=$R299)*((13-$S299)/12)+(AC$102&gt;$R299))*$Q299*INDEX($J$13:$O$39,$N299-1999,AC$102-2020)</f>
        <v>1006984.3550280312</v>
      </c>
    </row>
    <row r="300" spans="2:29" x14ac:dyDescent="0.2">
      <c r="B300" s="32">
        <f>'13. Input desinvesteringen'!B213</f>
        <v>197</v>
      </c>
      <c r="J300" s="32" t="str">
        <f>'13. Input desinvesteringen'!C213</f>
        <v>Transport</v>
      </c>
      <c r="K300" s="32" t="str">
        <f>'13. Input desinvesteringen'!D213</f>
        <v>EHS</v>
      </c>
      <c r="L300" s="32" t="str">
        <f>'13. Input desinvesteringen'!E213</f>
        <v>Nee</v>
      </c>
      <c r="M300" s="32" t="str">
        <f>'13. Input desinvesteringen'!F213</f>
        <v>Elektrotechnisch gedeelte</v>
      </c>
      <c r="N300" s="82">
        <f>'13. Input desinvesteringen'!G213</f>
        <v>2023</v>
      </c>
      <c r="O300" s="82"/>
      <c r="P300" s="82"/>
      <c r="Q300" s="32">
        <f>'13. Input desinvesteringen'!H213</f>
        <v>-16342</v>
      </c>
      <c r="R300" s="82">
        <f>'13. Input desinvesteringen'!I213</f>
        <v>2023</v>
      </c>
      <c r="S300" s="32">
        <f>'13. Input desinvesteringen'!J213</f>
        <v>1</v>
      </c>
      <c r="U300" s="76">
        <f t="shared" ref="U300:U301" si="11">(J300="Transport")*(L300="Nee")*(VLOOKUP($M300,$B$64:$H$97,7,FALSE))</f>
        <v>1</v>
      </c>
      <c r="V300" s="76">
        <f t="shared" ref="V300:V301" si="12">1-U300</f>
        <v>0</v>
      </c>
      <c r="X300" s="33" cm="1">
        <f t="array" ref="X300">((X$102=$R300)*((13-$S300)/12)+(X$102&gt;$R300))*$Q300*INDEX($J$13:$O$39,$N300-1999,X$102-2020)</f>
        <v>0</v>
      </c>
      <c r="Y300" s="33" cm="1">
        <f t="array" ref="Y300">((Y$102=$R300)*((13-$S300)/12)+(Y$102&gt;$R300))*$Q300*INDEX($J$13:$O$39,$N300-1999,Y$102-2020)</f>
        <v>0</v>
      </c>
      <c r="Z300" s="33" cm="1">
        <f t="array" ref="Z300">((Z$102=$R300)*((13-$S300)/12)+(Z$102&gt;$R300))*$Q300*INDEX($J$13:$O$39,$N300-1999,Z$102-2020)</f>
        <v>-16342</v>
      </c>
      <c r="AA300" s="33" cm="1">
        <f t="array" ref="AA300">((AA$102=$R300)*((13-$S300)/12)+(AA$102&gt;$R300))*$Q300*INDEX($J$13:$O$39,$N300-1999,AA$102-2020)</f>
        <v>-16832.260000000002</v>
      </c>
      <c r="AB300" s="33" cm="1">
        <f t="array" ref="AB300">((AB$102=$R300)*((13-$S300)/12)+(AB$102&gt;$R300))*$Q300*INDEX($J$13:$O$39,$N300-1999,AB$102-2020)</f>
        <v>-17438.22136</v>
      </c>
      <c r="AC300" s="33" cm="1">
        <f t="array" ref="AC300">((AC$102=$R300)*((13-$S300)/12)+(AC$102&gt;$R300))*$Q300*INDEX($J$13:$O$39,$N300-1999,AC$102-2020)</f>
        <v>-17926.491558080001</v>
      </c>
    </row>
    <row r="301" spans="2:29" x14ac:dyDescent="0.2">
      <c r="B301" s="32">
        <f>'13. Input desinvesteringen'!B214</f>
        <v>198</v>
      </c>
      <c r="J301" s="32" t="str">
        <f>'13. Input desinvesteringen'!C214</f>
        <v>Transport</v>
      </c>
      <c r="K301" s="32" t="str">
        <f>'13. Input desinvesteringen'!D214</f>
        <v>EHS</v>
      </c>
      <c r="L301" s="32" t="str">
        <f>'13. Input desinvesteringen'!E214</f>
        <v>Nee</v>
      </c>
      <c r="M301" s="32" t="str">
        <f>'13. Input desinvesteringen'!F214</f>
        <v>Elektrotechnisch gedeelte</v>
      </c>
      <c r="N301" s="82">
        <f>'13. Input desinvesteringen'!G214</f>
        <v>2021</v>
      </c>
      <c r="O301" s="82"/>
      <c r="P301" s="82"/>
      <c r="Q301" s="32">
        <f>'13. Input desinvesteringen'!H214</f>
        <v>-59055</v>
      </c>
      <c r="R301" s="82">
        <f>'13. Input desinvesteringen'!I214</f>
        <v>2023</v>
      </c>
      <c r="S301" s="32">
        <f>'13. Input desinvesteringen'!J214</f>
        <v>1</v>
      </c>
      <c r="U301" s="76">
        <f t="shared" si="11"/>
        <v>1</v>
      </c>
      <c r="V301" s="76">
        <f t="shared" si="12"/>
        <v>0</v>
      </c>
      <c r="X301" s="33" cm="1">
        <f t="array" ref="X301">((X$102=$R301)*((13-$S301)/12)+(X$102&gt;$R301))*$Q301*INDEX($J$13:$O$39,$N301-1999,X$102-2020)</f>
        <v>0</v>
      </c>
      <c r="Y301" s="33" cm="1">
        <f t="array" ref="Y301">((Y$102=$R301)*((13-$S301)/12)+(Y$102&gt;$R301))*$Q301*INDEX($J$13:$O$39,$N301-1999,Y$102-2020)</f>
        <v>0</v>
      </c>
      <c r="Z301" s="33" cm="1">
        <f t="array" ref="Z301">((Z$102=$R301)*((13-$S301)/12)+(Z$102&gt;$R301))*$Q301*INDEX($J$13:$O$39,$N301-1999,Z$102-2020)</f>
        <v>-67728.998400000011</v>
      </c>
      <c r="AA301" s="33" cm="1">
        <f t="array" ref="AA301">((AA$102=$R301)*((13-$S301)/12)+(AA$102&gt;$R301))*$Q301*INDEX($J$13:$O$39,$N301-1999,AA$102-2020)</f>
        <v>-69760.868352000005</v>
      </c>
      <c r="AB301" s="33" cm="1">
        <f t="array" ref="AB301">((AB$102=$R301)*((13-$S301)/12)+(AB$102&gt;$R301))*$Q301*INDEX($J$13:$O$39,$N301-1999,AB$102-2020)</f>
        <v>-72272.259612672002</v>
      </c>
      <c r="AC301" s="33" cm="1">
        <f t="array" ref="AC301">((AC$102=$R301)*((13-$S301)/12)+(AC$102&gt;$R301))*$Q301*INDEX($J$13:$O$39,$N301-1999,AC$102-2020)</f>
        <v>-74295.882881826823</v>
      </c>
    </row>
    <row r="302" spans="2:29" x14ac:dyDescent="0.2">
      <c r="B302" s="32">
        <f>'13. Input desinvesteringen'!B215</f>
        <v>199</v>
      </c>
      <c r="J302" s="32" t="str">
        <f>'13. Input desinvesteringen'!C215</f>
        <v>Transport</v>
      </c>
      <c r="K302" s="32" t="str">
        <f>'13. Input desinvesteringen'!D215</f>
        <v>EHS</v>
      </c>
      <c r="L302" s="32" t="str">
        <f>'13. Input desinvesteringen'!E215</f>
        <v>Nee</v>
      </c>
      <c r="M302" s="32" t="str">
        <f>'13. Input desinvesteringen'!F215</f>
        <v>Gebouwen bij de stations</v>
      </c>
      <c r="N302" s="82">
        <f>'13. Input desinvesteringen'!G215</f>
        <v>2017</v>
      </c>
      <c r="O302" s="82"/>
      <c r="P302" s="82"/>
      <c r="Q302" s="32">
        <f>'13. Input desinvesteringen'!H215</f>
        <v>1599713</v>
      </c>
      <c r="R302" s="82">
        <f>'13. Input desinvesteringen'!I215</f>
        <v>2023</v>
      </c>
      <c r="S302" s="32">
        <f>'13. Input desinvesteringen'!J215</f>
        <v>1</v>
      </c>
      <c r="U302" s="76">
        <f t="shared" ref="U302:U340" si="13">(J302="Transport")*(L302="Nee")*(VLOOKUP($M302,$B$64:$H$97,7,FALSE))</f>
        <v>0</v>
      </c>
      <c r="V302" s="76">
        <f t="shared" ref="V302:V340" si="14">1-U302</f>
        <v>1</v>
      </c>
      <c r="X302" s="33" cm="1">
        <f t="array" ref="X302">((X$102=$R302)*((13-$S302)/12)+(X$102&gt;$R302))*$Q302*INDEX($J$13:$O$39,$N302-1999,X$102-2020)</f>
        <v>0</v>
      </c>
      <c r="Y302" s="33" cm="1">
        <f t="array" ref="Y302">((Y$102=$R302)*((13-$S302)/12)+(Y$102&gt;$R302))*$Q302*INDEX($J$13:$O$39,$N302-1999,Y$102-2020)</f>
        <v>0</v>
      </c>
      <c r="Z302" s="33" cm="1">
        <f t="array" ref="Z302">((Z$102=$R302)*((13-$S302)/12)+(Z$102&gt;$R302))*$Q302*INDEX($J$13:$O$39,$N302-1999,Z$102-2020)</f>
        <v>1966284.4093044628</v>
      </c>
      <c r="AA302" s="33" cm="1">
        <f t="array" ref="AA302">((AA$102=$R302)*((13-$S302)/12)+(AA$102&gt;$R302))*$Q302*INDEX($J$13:$O$39,$N302-1999,AA$102-2020)</f>
        <v>2025272.9415835966</v>
      </c>
      <c r="AB302" s="33" cm="1">
        <f t="array" ref="AB302">((AB$102=$R302)*((13-$S302)/12)+(AB$102&gt;$R302))*$Q302*INDEX($J$13:$O$39,$N302-1999,AB$102-2020)</f>
        <v>2098182.7674806062</v>
      </c>
      <c r="AC302" s="33" cm="1">
        <f t="array" ref="AC302">((AC$102=$R302)*((13-$S302)/12)+(AC$102&gt;$R302))*$Q302*INDEX($J$13:$O$39,$N302-1999,AC$102-2020)</f>
        <v>2156931.8849700633</v>
      </c>
    </row>
    <row r="303" spans="2:29" x14ac:dyDescent="0.2">
      <c r="B303" s="32">
        <f>'13. Input desinvesteringen'!B216</f>
        <v>200</v>
      </c>
      <c r="J303" s="32" t="str">
        <f>'13. Input desinvesteringen'!C216</f>
        <v>Transport</v>
      </c>
      <c r="K303" s="32" t="str">
        <f>'13. Input desinvesteringen'!D216</f>
        <v>EHS</v>
      </c>
      <c r="L303" s="32" t="str">
        <f>'13. Input desinvesteringen'!E216</f>
        <v>Nee</v>
      </c>
      <c r="M303" s="32" t="str">
        <f>'13. Input desinvesteringen'!F216</f>
        <v>Gebouwen bij de stations</v>
      </c>
      <c r="N303" s="82">
        <f>'13. Input desinvesteringen'!G216</f>
        <v>2020</v>
      </c>
      <c r="O303" s="82"/>
      <c r="P303" s="82"/>
      <c r="Q303" s="32">
        <f>'13. Input desinvesteringen'!H216</f>
        <v>3768189</v>
      </c>
      <c r="R303" s="82">
        <f>'13. Input desinvesteringen'!I216</f>
        <v>2023</v>
      </c>
      <c r="S303" s="32">
        <f>'13. Input desinvesteringen'!J216</f>
        <v>1</v>
      </c>
      <c r="U303" s="76">
        <f t="shared" si="13"/>
        <v>0</v>
      </c>
      <c r="V303" s="76">
        <f t="shared" si="14"/>
        <v>1</v>
      </c>
      <c r="X303" s="33" cm="1">
        <f t="array" ref="X303">((X$102=$R303)*((13-$S303)/12)+(X$102&gt;$R303))*$Q303*INDEX($J$13:$O$39,$N303-1999,X$102-2020)</f>
        <v>0</v>
      </c>
      <c r="Y303" s="33" cm="1">
        <f t="array" ref="Y303">((Y$102=$R303)*((13-$S303)/12)+(Y$102&gt;$R303))*$Q303*INDEX($J$13:$O$39,$N303-1999,Y$102-2020)</f>
        <v>0</v>
      </c>
      <c r="Z303" s="33" cm="1">
        <f t="array" ref="Z303">((Z$102=$R303)*((13-$S303)/12)+(Z$102&gt;$R303))*$Q303*INDEX($J$13:$O$39,$N303-1999,Z$102-2020)</f>
        <v>4351912.2245222395</v>
      </c>
      <c r="AA303" s="33" cm="1">
        <f t="array" ref="AA303">((AA$102=$R303)*((13-$S303)/12)+(AA$102&gt;$R303))*$Q303*INDEX($J$13:$O$39,$N303-1999,AA$102-2020)</f>
        <v>4482469.5912579065</v>
      </c>
      <c r="AB303" s="33" cm="1">
        <f t="array" ref="AB303">((AB$102=$R303)*((13-$S303)/12)+(AB$102&gt;$R303))*$Q303*INDEX($J$13:$O$39,$N303-1999,AB$102-2020)</f>
        <v>4643838.4965431914</v>
      </c>
      <c r="AC303" s="33" cm="1">
        <f t="array" ref="AC303">((AC$102=$R303)*((13-$S303)/12)+(AC$102&gt;$R303))*$Q303*INDEX($J$13:$O$39,$N303-1999,AC$102-2020)</f>
        <v>4773865.974446401</v>
      </c>
    </row>
    <row r="304" spans="2:29" x14ac:dyDescent="0.2">
      <c r="B304" s="32">
        <f>'13. Input desinvesteringen'!B217</f>
        <v>201</v>
      </c>
      <c r="J304" s="32" t="str">
        <f>'13. Input desinvesteringen'!C217</f>
        <v>Transport</v>
      </c>
      <c r="K304" s="32" t="str">
        <f>'13. Input desinvesteringen'!D217</f>
        <v>EHS</v>
      </c>
      <c r="L304" s="32" t="str">
        <f>'13. Input desinvesteringen'!E217</f>
        <v>Nee</v>
      </c>
      <c r="M304" s="32" t="str">
        <f>'13. Input desinvesteringen'!F217</f>
        <v>Gebouwen bij de stations</v>
      </c>
      <c r="N304" s="82">
        <f>'13. Input desinvesteringen'!G217</f>
        <v>2023</v>
      </c>
      <c r="O304" s="82"/>
      <c r="P304" s="82"/>
      <c r="Q304" s="32">
        <f>'13. Input desinvesteringen'!H217</f>
        <v>-1160</v>
      </c>
      <c r="R304" s="82">
        <f>'13. Input desinvesteringen'!I217</f>
        <v>2023</v>
      </c>
      <c r="S304" s="32">
        <f>'13. Input desinvesteringen'!J217</f>
        <v>1</v>
      </c>
      <c r="U304" s="76">
        <f t="shared" si="13"/>
        <v>0</v>
      </c>
      <c r="V304" s="76">
        <f t="shared" si="14"/>
        <v>1</v>
      </c>
      <c r="X304" s="33" cm="1">
        <f t="array" ref="X304">((X$102=$R304)*((13-$S304)/12)+(X$102&gt;$R304))*$Q304*INDEX($J$13:$O$39,$N304-1999,X$102-2020)</f>
        <v>0</v>
      </c>
      <c r="Y304" s="33" cm="1">
        <f t="array" ref="Y304">((Y$102=$R304)*((13-$S304)/12)+(Y$102&gt;$R304))*$Q304*INDEX($J$13:$O$39,$N304-1999,Y$102-2020)</f>
        <v>0</v>
      </c>
      <c r="Z304" s="33" cm="1">
        <f t="array" ref="Z304">((Z$102=$R304)*((13-$S304)/12)+(Z$102&gt;$R304))*$Q304*INDEX($J$13:$O$39,$N304-1999,Z$102-2020)</f>
        <v>-1160</v>
      </c>
      <c r="AA304" s="33" cm="1">
        <f t="array" ref="AA304">((AA$102=$R304)*((13-$S304)/12)+(AA$102&gt;$R304))*$Q304*INDEX($J$13:$O$39,$N304-1999,AA$102-2020)</f>
        <v>-1194.8</v>
      </c>
      <c r="AB304" s="33" cm="1">
        <f t="array" ref="AB304">((AB$102=$R304)*((13-$S304)/12)+(AB$102&gt;$R304))*$Q304*INDEX($J$13:$O$39,$N304-1999,AB$102-2020)</f>
        <v>-1237.8127999999999</v>
      </c>
      <c r="AC304" s="33" cm="1">
        <f t="array" ref="AC304">((AC$102=$R304)*((13-$S304)/12)+(AC$102&gt;$R304))*$Q304*INDEX($J$13:$O$39,$N304-1999,AC$102-2020)</f>
        <v>-1272.4715584</v>
      </c>
    </row>
    <row r="305" spans="2:29" x14ac:dyDescent="0.2">
      <c r="B305" s="32">
        <f>'13. Input desinvesteringen'!B218</f>
        <v>202</v>
      </c>
      <c r="J305" s="32" t="str">
        <f>'13. Input desinvesteringen'!C218</f>
        <v>Transport</v>
      </c>
      <c r="K305" s="32" t="str">
        <f>'13. Input desinvesteringen'!D218</f>
        <v>EHS</v>
      </c>
      <c r="L305" s="32" t="str">
        <f>'13. Input desinvesteringen'!E218</f>
        <v>Nee</v>
      </c>
      <c r="M305" s="32" t="str">
        <f>'13. Input desinvesteringen'!F218</f>
        <v>Gebouwen bij de stations</v>
      </c>
      <c r="N305" s="82">
        <f>'13. Input desinvesteringen'!G218</f>
        <v>2021</v>
      </c>
      <c r="O305" s="82"/>
      <c r="P305" s="82"/>
      <c r="Q305" s="32">
        <f>'13. Input desinvesteringen'!H218</f>
        <v>119150</v>
      </c>
      <c r="R305" s="82">
        <f>'13. Input desinvesteringen'!I218</f>
        <v>2023</v>
      </c>
      <c r="S305" s="32">
        <f>'13. Input desinvesteringen'!J218</f>
        <v>1</v>
      </c>
      <c r="U305" s="76">
        <f t="shared" si="13"/>
        <v>0</v>
      </c>
      <c r="V305" s="76">
        <f t="shared" si="14"/>
        <v>1</v>
      </c>
      <c r="X305" s="33" cm="1">
        <f t="array" ref="X305">((X$102=$R305)*((13-$S305)/12)+(X$102&gt;$R305))*$Q305*INDEX($J$13:$O$39,$N305-1999,X$102-2020)</f>
        <v>0</v>
      </c>
      <c r="Y305" s="33" cm="1">
        <f t="array" ref="Y305">((Y$102=$R305)*((13-$S305)/12)+(Y$102&gt;$R305))*$Q305*INDEX($J$13:$O$39,$N305-1999,Y$102-2020)</f>
        <v>0</v>
      </c>
      <c r="Z305" s="33" cm="1">
        <f t="array" ref="Z305">((Z$102=$R305)*((13-$S305)/12)+(Z$102&gt;$R305))*$Q305*INDEX($J$13:$O$39,$N305-1999,Z$102-2020)</f>
        <v>136650.75200000001</v>
      </c>
      <c r="AA305" s="33" cm="1">
        <f t="array" ref="AA305">((AA$102=$R305)*((13-$S305)/12)+(AA$102&gt;$R305))*$Q305*INDEX($J$13:$O$39,$N305-1999,AA$102-2020)</f>
        <v>140750.27456000002</v>
      </c>
      <c r="AB305" s="33" cm="1">
        <f t="array" ref="AB305">((AB$102=$R305)*((13-$S305)/12)+(AB$102&gt;$R305))*$Q305*INDEX($J$13:$O$39,$N305-1999,AB$102-2020)</f>
        <v>145817.28444416</v>
      </c>
      <c r="AC305" s="33" cm="1">
        <f t="array" ref="AC305">((AC$102=$R305)*((13-$S305)/12)+(AC$102&gt;$R305))*$Q305*INDEX($J$13:$O$39,$N305-1999,AC$102-2020)</f>
        <v>149900.16840859648</v>
      </c>
    </row>
    <row r="306" spans="2:29" x14ac:dyDescent="0.2">
      <c r="B306" s="32">
        <f>'13. Input desinvesteringen'!B219</f>
        <v>203</v>
      </c>
      <c r="J306" s="32" t="str">
        <f>'13. Input desinvesteringen'!C219</f>
        <v>Transport</v>
      </c>
      <c r="K306" s="32" t="str">
        <f>'13. Input desinvesteringen'!D219</f>
        <v>EHS</v>
      </c>
      <c r="L306" s="32" t="str">
        <f>'13. Input desinvesteringen'!E219</f>
        <v>Nee</v>
      </c>
      <c r="M306" s="32" t="str">
        <f>'13. Input desinvesteringen'!F219</f>
        <v>Hoogspanningsstations primair</v>
      </c>
      <c r="N306" s="82">
        <f>'13. Input desinvesteringen'!G219</f>
        <v>2021</v>
      </c>
      <c r="O306" s="82"/>
      <c r="P306" s="82"/>
      <c r="Q306" s="32">
        <f>'13. Input desinvesteringen'!H219</f>
        <v>37412</v>
      </c>
      <c r="R306" s="82">
        <f>'13. Input desinvesteringen'!I219</f>
        <v>2023</v>
      </c>
      <c r="S306" s="32">
        <f>'13. Input desinvesteringen'!J219</f>
        <v>1</v>
      </c>
      <c r="U306" s="76">
        <f t="shared" si="13"/>
        <v>1</v>
      </c>
      <c r="V306" s="76">
        <f t="shared" si="14"/>
        <v>0</v>
      </c>
      <c r="X306" s="33" cm="1">
        <f t="array" ref="X306">((X$102=$R306)*((13-$S306)/12)+(X$102&gt;$R306))*$Q306*INDEX($J$13:$O$39,$N306-1999,X$102-2020)</f>
        <v>0</v>
      </c>
      <c r="Y306" s="33" cm="1">
        <f t="array" ref="Y306">((Y$102=$R306)*((13-$S306)/12)+(Y$102&gt;$R306))*$Q306*INDEX($J$13:$O$39,$N306-1999,Y$102-2020)</f>
        <v>0</v>
      </c>
      <c r="Z306" s="33" cm="1">
        <f t="array" ref="Z306">((Z$102=$R306)*((13-$S306)/12)+(Z$102&gt;$R306))*$Q306*INDEX($J$13:$O$39,$N306-1999,Z$102-2020)</f>
        <v>42907.074560000001</v>
      </c>
      <c r="AA306" s="33" cm="1">
        <f t="array" ref="AA306">((AA$102=$R306)*((13-$S306)/12)+(AA$102&gt;$R306))*$Q306*INDEX($J$13:$O$39,$N306-1999,AA$102-2020)</f>
        <v>44194.286796799999</v>
      </c>
      <c r="AB306" s="33" cm="1">
        <f t="array" ref="AB306">((AB$102=$R306)*((13-$S306)/12)+(AB$102&gt;$R306))*$Q306*INDEX($J$13:$O$39,$N306-1999,AB$102-2020)</f>
        <v>45785.281121484804</v>
      </c>
      <c r="AC306" s="33" cm="1">
        <f t="array" ref="AC306">((AC$102=$R306)*((13-$S306)/12)+(AC$102&gt;$R306))*$Q306*INDEX($J$13:$O$39,$N306-1999,AC$102-2020)</f>
        <v>47067.268992886377</v>
      </c>
    </row>
    <row r="307" spans="2:29" x14ac:dyDescent="0.2">
      <c r="B307" s="32">
        <f>'13. Input desinvesteringen'!B220</f>
        <v>204</v>
      </c>
      <c r="J307" s="32" t="str">
        <f>'13. Input desinvesteringen'!C220</f>
        <v>Transport</v>
      </c>
      <c r="K307" s="32" t="str">
        <f>'13. Input desinvesteringen'!D220</f>
        <v>EHS</v>
      </c>
      <c r="L307" s="32" t="str">
        <f>'13. Input desinvesteringen'!E220</f>
        <v>Nee</v>
      </c>
      <c r="M307" s="32" t="str">
        <f>'13. Input desinvesteringen'!F220</f>
        <v>Hoogspanningsstations primair</v>
      </c>
      <c r="N307" s="82">
        <f>'13. Input desinvesteringen'!G220</f>
        <v>2017</v>
      </c>
      <c r="O307" s="82"/>
      <c r="P307" s="82"/>
      <c r="Q307" s="32">
        <f>'13. Input desinvesteringen'!H220</f>
        <v>1157671</v>
      </c>
      <c r="R307" s="82">
        <f>'13. Input desinvesteringen'!I220</f>
        <v>2023</v>
      </c>
      <c r="S307" s="32">
        <f>'13. Input desinvesteringen'!J220</f>
        <v>1</v>
      </c>
      <c r="U307" s="76">
        <f t="shared" si="13"/>
        <v>1</v>
      </c>
      <c r="V307" s="76">
        <f t="shared" si="14"/>
        <v>0</v>
      </c>
      <c r="X307" s="33" cm="1">
        <f t="array" ref="X307">((X$102=$R307)*((13-$S307)/12)+(X$102&gt;$R307))*$Q307*INDEX($J$13:$O$39,$N307-1999,X$102-2020)</f>
        <v>0</v>
      </c>
      <c r="Y307" s="33" cm="1">
        <f t="array" ref="Y307">((Y$102=$R307)*((13-$S307)/12)+(Y$102&gt;$R307))*$Q307*INDEX($J$13:$O$39,$N307-1999,Y$102-2020)</f>
        <v>0</v>
      </c>
      <c r="Z307" s="33" cm="1">
        <f t="array" ref="Z307">((Z$102=$R307)*((13-$S307)/12)+(Z$102&gt;$R307))*$Q307*INDEX($J$13:$O$39,$N307-1999,Z$102-2020)</f>
        <v>1422949.2655269457</v>
      </c>
      <c r="AA307" s="33" cm="1">
        <f t="array" ref="AA307">((AA$102=$R307)*((13-$S307)/12)+(AA$102&gt;$R307))*$Q307*INDEX($J$13:$O$39,$N307-1999,AA$102-2020)</f>
        <v>1465637.7434927539</v>
      </c>
      <c r="AB307" s="33" cm="1">
        <f t="array" ref="AB307">((AB$102=$R307)*((13-$S307)/12)+(AB$102&gt;$R307))*$Q307*INDEX($J$13:$O$39,$N307-1999,AB$102-2020)</f>
        <v>1518400.7022584933</v>
      </c>
      <c r="AC307" s="33" cm="1">
        <f t="array" ref="AC307">((AC$102=$R307)*((13-$S307)/12)+(AC$102&gt;$R307))*$Q307*INDEX($J$13:$O$39,$N307-1999,AC$102-2020)</f>
        <v>1560915.921921731</v>
      </c>
    </row>
    <row r="308" spans="2:29" x14ac:dyDescent="0.2">
      <c r="B308" s="32">
        <f>'13. Input desinvesteringen'!B221</f>
        <v>205</v>
      </c>
      <c r="J308" s="32" t="str">
        <f>'13. Input desinvesteringen'!C221</f>
        <v>Transport</v>
      </c>
      <c r="K308" s="32" t="str">
        <f>'13. Input desinvesteringen'!D221</f>
        <v>EHS</v>
      </c>
      <c r="L308" s="32" t="str">
        <f>'13. Input desinvesteringen'!E221</f>
        <v>Nee</v>
      </c>
      <c r="M308" s="32" t="str">
        <f>'13. Input desinvesteringen'!F221</f>
        <v>Hoogspanningsstations primair</v>
      </c>
      <c r="N308" s="82">
        <f>'13. Input desinvesteringen'!G221</f>
        <v>2020</v>
      </c>
      <c r="O308" s="82"/>
      <c r="P308" s="82"/>
      <c r="Q308" s="32">
        <f>'13. Input desinvesteringen'!H221</f>
        <v>1906135</v>
      </c>
      <c r="R308" s="82">
        <f>'13. Input desinvesteringen'!I221</f>
        <v>2023</v>
      </c>
      <c r="S308" s="32">
        <f>'13. Input desinvesteringen'!J221</f>
        <v>1</v>
      </c>
      <c r="U308" s="76">
        <f t="shared" si="13"/>
        <v>1</v>
      </c>
      <c r="V308" s="76">
        <f t="shared" si="14"/>
        <v>0</v>
      </c>
      <c r="X308" s="33" cm="1">
        <f t="array" ref="X308">((X$102=$R308)*((13-$S308)/12)+(X$102&gt;$R308))*$Q308*INDEX($J$13:$O$39,$N308-1999,X$102-2020)</f>
        <v>0</v>
      </c>
      <c r="Y308" s="33" cm="1">
        <f t="array" ref="Y308">((Y$102=$R308)*((13-$S308)/12)+(Y$102&gt;$R308))*$Q308*INDEX($J$13:$O$39,$N308-1999,Y$102-2020)</f>
        <v>0</v>
      </c>
      <c r="Z308" s="33" cm="1">
        <f t="array" ref="Z308">((Z$102=$R308)*((13-$S308)/12)+(Z$102&gt;$R308))*$Q308*INDEX($J$13:$O$39,$N308-1999,Z$102-2020)</f>
        <v>2201410.8655615998</v>
      </c>
      <c r="AA308" s="33" cm="1">
        <f t="array" ref="AA308">((AA$102=$R308)*((13-$S308)/12)+(AA$102&gt;$R308))*$Q308*INDEX($J$13:$O$39,$N308-1999,AA$102-2020)</f>
        <v>2267453.1915284479</v>
      </c>
      <c r="AB308" s="33" cm="1">
        <f t="array" ref="AB308">((AB$102=$R308)*((13-$S308)/12)+(AB$102&gt;$R308))*$Q308*INDEX($J$13:$O$39,$N308-1999,AB$102-2020)</f>
        <v>2349081.506423472</v>
      </c>
      <c r="AC308" s="33" cm="1">
        <f t="array" ref="AC308">((AC$102=$R308)*((13-$S308)/12)+(AC$102&gt;$R308))*$Q308*INDEX($J$13:$O$39,$N308-1999,AC$102-2020)</f>
        <v>2414855.7886033291</v>
      </c>
    </row>
    <row r="309" spans="2:29" x14ac:dyDescent="0.2">
      <c r="B309" s="32">
        <f>'13. Input desinvesteringen'!B222</f>
        <v>206</v>
      </c>
      <c r="J309" s="32" t="str">
        <f>'13. Input desinvesteringen'!C222</f>
        <v>Transport</v>
      </c>
      <c r="K309" s="32" t="str">
        <f>'13. Input desinvesteringen'!D222</f>
        <v>EHS</v>
      </c>
      <c r="L309" s="32" t="str">
        <f>'13. Input desinvesteringen'!E222</f>
        <v>Nee</v>
      </c>
      <c r="M309" s="32" t="str">
        <f>'13. Input desinvesteringen'!F222</f>
        <v>Hoogspanningsstations primair</v>
      </c>
      <c r="N309" s="82">
        <f>'13. Input desinvesteringen'!G222</f>
        <v>2023</v>
      </c>
      <c r="O309" s="82"/>
      <c r="P309" s="82"/>
      <c r="Q309" s="32">
        <f>'13. Input desinvesteringen'!H222</f>
        <v>-31006</v>
      </c>
      <c r="R309" s="82">
        <f>'13. Input desinvesteringen'!I222</f>
        <v>2023</v>
      </c>
      <c r="S309" s="32">
        <f>'13. Input desinvesteringen'!J222</f>
        <v>1</v>
      </c>
      <c r="U309" s="76">
        <f t="shared" si="13"/>
        <v>1</v>
      </c>
      <c r="V309" s="76">
        <f t="shared" si="14"/>
        <v>0</v>
      </c>
      <c r="X309" s="33" cm="1">
        <f t="array" ref="X309">((X$102=$R309)*((13-$S309)/12)+(X$102&gt;$R309))*$Q309*INDEX($J$13:$O$39,$N309-1999,X$102-2020)</f>
        <v>0</v>
      </c>
      <c r="Y309" s="33" cm="1">
        <f t="array" ref="Y309">((Y$102=$R309)*((13-$S309)/12)+(Y$102&gt;$R309))*$Q309*INDEX($J$13:$O$39,$N309-1999,Y$102-2020)</f>
        <v>0</v>
      </c>
      <c r="Z309" s="33" cm="1">
        <f t="array" ref="Z309">((Z$102=$R309)*((13-$S309)/12)+(Z$102&gt;$R309))*$Q309*INDEX($J$13:$O$39,$N309-1999,Z$102-2020)</f>
        <v>-31006</v>
      </c>
      <c r="AA309" s="33" cm="1">
        <f t="array" ref="AA309">((AA$102=$R309)*((13-$S309)/12)+(AA$102&gt;$R309))*$Q309*INDEX($J$13:$O$39,$N309-1999,AA$102-2020)</f>
        <v>-31936.18</v>
      </c>
      <c r="AB309" s="33" cm="1">
        <f t="array" ref="AB309">((AB$102=$R309)*((13-$S309)/12)+(AB$102&gt;$R309))*$Q309*INDEX($J$13:$O$39,$N309-1999,AB$102-2020)</f>
        <v>-33085.88248</v>
      </c>
      <c r="AC309" s="33" cm="1">
        <f t="array" ref="AC309">((AC$102=$R309)*((13-$S309)/12)+(AC$102&gt;$R309))*$Q309*INDEX($J$13:$O$39,$N309-1999,AC$102-2020)</f>
        <v>-34012.287189440001</v>
      </c>
    </row>
    <row r="310" spans="2:29" x14ac:dyDescent="0.2">
      <c r="B310" s="32">
        <f>'13. Input desinvesteringen'!B223</f>
        <v>207</v>
      </c>
      <c r="J310" s="32" t="str">
        <f>'13. Input desinvesteringen'!C223</f>
        <v>Transport</v>
      </c>
      <c r="K310" s="32" t="str">
        <f>'13. Input desinvesteringen'!D223</f>
        <v>EHS</v>
      </c>
      <c r="L310" s="32" t="str">
        <f>'13. Input desinvesteringen'!E223</f>
        <v>Nee</v>
      </c>
      <c r="M310" s="32" t="str">
        <f>'13. Input desinvesteringen'!F223</f>
        <v>Hoogspanningsstations secundair</v>
      </c>
      <c r="N310" s="82">
        <f>'13. Input desinvesteringen'!G223</f>
        <v>2016</v>
      </c>
      <c r="O310" s="82"/>
      <c r="P310" s="82"/>
      <c r="Q310" s="32">
        <f>'13. Input desinvesteringen'!H223</f>
        <v>375421</v>
      </c>
      <c r="R310" s="82">
        <f>'13. Input desinvesteringen'!I223</f>
        <v>2023</v>
      </c>
      <c r="S310" s="32">
        <f>'13. Input desinvesteringen'!J223</f>
        <v>1</v>
      </c>
      <c r="U310" s="76">
        <f t="shared" si="13"/>
        <v>1</v>
      </c>
      <c r="V310" s="76">
        <f t="shared" si="14"/>
        <v>0</v>
      </c>
      <c r="X310" s="33" cm="1">
        <f t="array" ref="X310">((X$102=$R310)*((13-$S310)/12)+(X$102&gt;$R310))*$Q310*INDEX($J$13:$O$39,$N310-1999,X$102-2020)</f>
        <v>0</v>
      </c>
      <c r="Y310" s="33" cm="1">
        <f t="array" ref="Y310">((Y$102=$R310)*((13-$S310)/12)+(Y$102&gt;$R310))*$Q310*INDEX($J$13:$O$39,$N310-1999,Y$102-2020)</f>
        <v>0</v>
      </c>
      <c r="Z310" s="33" cm="1">
        <f t="array" ref="Z310">((Z$102=$R310)*((13-$S310)/12)+(Z$102&gt;$R310))*$Q310*INDEX($J$13:$O$39,$N310-1999,Z$102-2020)</f>
        <v>462370.95538008469</v>
      </c>
      <c r="AA310" s="33" cm="1">
        <f t="array" ref="AA310">((AA$102=$R310)*((13-$S310)/12)+(AA$102&gt;$R310))*$Q310*INDEX($J$13:$O$39,$N310-1999,AA$102-2020)</f>
        <v>476242.08404148719</v>
      </c>
      <c r="AB310" s="33" cm="1">
        <f t="array" ref="AB310">((AB$102=$R310)*((13-$S310)/12)+(AB$102&gt;$R310))*$Q310*INDEX($J$13:$O$39,$N310-1999,AB$102-2020)</f>
        <v>493386.79906698078</v>
      </c>
      <c r="AC310" s="33" cm="1">
        <f t="array" ref="AC310">((AC$102=$R310)*((13-$S310)/12)+(AC$102&gt;$R310))*$Q310*INDEX($J$13:$O$39,$N310-1999,AC$102-2020)</f>
        <v>507201.62944085622</v>
      </c>
    </row>
    <row r="311" spans="2:29" x14ac:dyDescent="0.2">
      <c r="B311" s="32">
        <f>'13. Input desinvesteringen'!B224</f>
        <v>208</v>
      </c>
      <c r="J311" s="32" t="str">
        <f>'13. Input desinvesteringen'!C224</f>
        <v>Transport</v>
      </c>
      <c r="K311" s="32" t="str">
        <f>'13. Input desinvesteringen'!D224</f>
        <v>EHS</v>
      </c>
      <c r="L311" s="32" t="str">
        <f>'13. Input desinvesteringen'!E224</f>
        <v>Nee</v>
      </c>
      <c r="M311" s="32" t="str">
        <f>'13. Input desinvesteringen'!F224</f>
        <v>Hoogspanningsstations secundair</v>
      </c>
      <c r="N311" s="82">
        <f>'13. Input desinvesteringen'!G224</f>
        <v>2017</v>
      </c>
      <c r="O311" s="82"/>
      <c r="P311" s="82"/>
      <c r="Q311" s="32">
        <f>'13. Input desinvesteringen'!H224</f>
        <v>2396064</v>
      </c>
      <c r="R311" s="82">
        <f>'13. Input desinvesteringen'!I224</f>
        <v>2023</v>
      </c>
      <c r="S311" s="32">
        <f>'13. Input desinvesteringen'!J224</f>
        <v>1</v>
      </c>
      <c r="U311" s="76">
        <f t="shared" si="13"/>
        <v>1</v>
      </c>
      <c r="V311" s="76">
        <f t="shared" si="14"/>
        <v>0</v>
      </c>
      <c r="X311" s="33" cm="1">
        <f t="array" ref="X311">((X$102=$R311)*((13-$S311)/12)+(X$102&gt;$R311))*$Q311*INDEX($J$13:$O$39,$N311-1999,X$102-2020)</f>
        <v>0</v>
      </c>
      <c r="Y311" s="33" cm="1">
        <f t="array" ref="Y311">((Y$102=$R311)*((13-$S311)/12)+(Y$102&gt;$R311))*$Q311*INDEX($J$13:$O$39,$N311-1999,Y$102-2020)</f>
        <v>0</v>
      </c>
      <c r="Z311" s="33" cm="1">
        <f t="array" ref="Z311">((Z$102=$R311)*((13-$S311)/12)+(Z$102&gt;$R311))*$Q311*INDEX($J$13:$O$39,$N311-1999,Z$102-2020)</f>
        <v>2945117.8348214263</v>
      </c>
      <c r="AA311" s="33" cm="1">
        <f t="array" ref="AA311">((AA$102=$R311)*((13-$S311)/12)+(AA$102&gt;$R311))*$Q311*INDEX($J$13:$O$39,$N311-1999,AA$102-2020)</f>
        <v>3033471.3698660689</v>
      </c>
      <c r="AB311" s="33" cm="1">
        <f t="array" ref="AB311">((AB$102=$R311)*((13-$S311)/12)+(AB$102&gt;$R311))*$Q311*INDEX($J$13:$O$39,$N311-1999,AB$102-2020)</f>
        <v>3142676.3391812476</v>
      </c>
      <c r="AC311" s="33" cm="1">
        <f t="array" ref="AC311">((AC$102=$R311)*((13-$S311)/12)+(AC$102&gt;$R311))*$Q311*INDEX($J$13:$O$39,$N311-1999,AC$102-2020)</f>
        <v>3230671.2766783228</v>
      </c>
    </row>
    <row r="312" spans="2:29" x14ac:dyDescent="0.2">
      <c r="B312" s="32">
        <f>'13. Input desinvesteringen'!B225</f>
        <v>209</v>
      </c>
      <c r="J312" s="32" t="str">
        <f>'13. Input desinvesteringen'!C225</f>
        <v>Transport</v>
      </c>
      <c r="K312" s="32" t="str">
        <f>'13. Input desinvesteringen'!D225</f>
        <v>EHS</v>
      </c>
      <c r="L312" s="32" t="str">
        <f>'13. Input desinvesteringen'!E225</f>
        <v>Nee</v>
      </c>
      <c r="M312" s="32" t="str">
        <f>'13. Input desinvesteringen'!F225</f>
        <v>Hoogspanningsstations secundair</v>
      </c>
      <c r="N312" s="82">
        <f>'13. Input desinvesteringen'!G225</f>
        <v>2020</v>
      </c>
      <c r="O312" s="82"/>
      <c r="P312" s="82"/>
      <c r="Q312" s="32">
        <f>'13. Input desinvesteringen'!H225</f>
        <v>2731837</v>
      </c>
      <c r="R312" s="82">
        <f>'13. Input desinvesteringen'!I225</f>
        <v>2023</v>
      </c>
      <c r="S312" s="32">
        <f>'13. Input desinvesteringen'!J225</f>
        <v>1</v>
      </c>
      <c r="U312" s="76">
        <f t="shared" si="13"/>
        <v>1</v>
      </c>
      <c r="V312" s="76">
        <f t="shared" si="14"/>
        <v>0</v>
      </c>
      <c r="X312" s="33" cm="1">
        <f t="array" ref="X312">((X$102=$R312)*((13-$S312)/12)+(X$102&gt;$R312))*$Q312*INDEX($J$13:$O$39,$N312-1999,X$102-2020)</f>
        <v>0</v>
      </c>
      <c r="Y312" s="33" cm="1">
        <f t="array" ref="Y312">((Y$102=$R312)*((13-$S312)/12)+(Y$102&gt;$R312))*$Q312*INDEX($J$13:$O$39,$N312-1999,Y$102-2020)</f>
        <v>0</v>
      </c>
      <c r="Z312" s="33" cm="1">
        <f t="array" ref="Z312">((Z$102=$R312)*((13-$S312)/12)+(Z$102&gt;$R312))*$Q312*INDEX($J$13:$O$39,$N312-1999,Z$102-2020)</f>
        <v>3155020.84308992</v>
      </c>
      <c r="AA312" s="33" cm="1">
        <f t="array" ref="AA312">((AA$102=$R312)*((13-$S312)/12)+(AA$102&gt;$R312))*$Q312*INDEX($J$13:$O$39,$N312-1999,AA$102-2020)</f>
        <v>3249671.4683826175</v>
      </c>
      <c r="AB312" s="33" cm="1">
        <f t="array" ref="AB312">((AB$102=$R312)*((13-$S312)/12)+(AB$102&gt;$R312))*$Q312*INDEX($J$13:$O$39,$N312-1999,AB$102-2020)</f>
        <v>3366659.6412443914</v>
      </c>
      <c r="AC312" s="33" cm="1">
        <f t="array" ref="AC312">((AC$102=$R312)*((13-$S312)/12)+(AC$102&gt;$R312))*$Q312*INDEX($J$13:$O$39,$N312-1999,AC$102-2020)</f>
        <v>3460926.1111992346</v>
      </c>
    </row>
    <row r="313" spans="2:29" x14ac:dyDescent="0.2">
      <c r="B313" s="32">
        <f>'13. Input desinvesteringen'!B226</f>
        <v>210</v>
      </c>
      <c r="J313" s="32" t="str">
        <f>'13. Input desinvesteringen'!C226</f>
        <v>Transport</v>
      </c>
      <c r="K313" s="32" t="str">
        <f>'13. Input desinvesteringen'!D226</f>
        <v>EHS</v>
      </c>
      <c r="L313" s="32" t="str">
        <f>'13. Input desinvesteringen'!E226</f>
        <v>Nee</v>
      </c>
      <c r="M313" s="32" t="str">
        <f>'13. Input desinvesteringen'!F226</f>
        <v>Hoogspanningsstations secundair</v>
      </c>
      <c r="N313" s="82">
        <f>'13. Input desinvesteringen'!G226</f>
        <v>2023</v>
      </c>
      <c r="O313" s="82"/>
      <c r="P313" s="82"/>
      <c r="Q313" s="32">
        <f>'13. Input desinvesteringen'!H226</f>
        <v>-5945</v>
      </c>
      <c r="R313" s="82">
        <f>'13. Input desinvesteringen'!I226</f>
        <v>2023</v>
      </c>
      <c r="S313" s="32">
        <f>'13. Input desinvesteringen'!J226</f>
        <v>1</v>
      </c>
      <c r="U313" s="76">
        <f t="shared" si="13"/>
        <v>1</v>
      </c>
      <c r="V313" s="76">
        <f t="shared" si="14"/>
        <v>0</v>
      </c>
      <c r="X313" s="33" cm="1">
        <f t="array" ref="X313">((X$102=$R313)*((13-$S313)/12)+(X$102&gt;$R313))*$Q313*INDEX($J$13:$O$39,$N313-1999,X$102-2020)</f>
        <v>0</v>
      </c>
      <c r="Y313" s="33" cm="1">
        <f t="array" ref="Y313">((Y$102=$R313)*((13-$S313)/12)+(Y$102&gt;$R313))*$Q313*INDEX($J$13:$O$39,$N313-1999,Y$102-2020)</f>
        <v>0</v>
      </c>
      <c r="Z313" s="33" cm="1">
        <f t="array" ref="Z313">((Z$102=$R313)*((13-$S313)/12)+(Z$102&gt;$R313))*$Q313*INDEX($J$13:$O$39,$N313-1999,Z$102-2020)</f>
        <v>-5945</v>
      </c>
      <c r="AA313" s="33" cm="1">
        <f t="array" ref="AA313">((AA$102=$R313)*((13-$S313)/12)+(AA$102&gt;$R313))*$Q313*INDEX($J$13:$O$39,$N313-1999,AA$102-2020)</f>
        <v>-6123.35</v>
      </c>
      <c r="AB313" s="33" cm="1">
        <f t="array" ref="AB313">((AB$102=$R313)*((13-$S313)/12)+(AB$102&gt;$R313))*$Q313*INDEX($J$13:$O$39,$N313-1999,AB$102-2020)</f>
        <v>-6343.7906000000003</v>
      </c>
      <c r="AC313" s="33" cm="1">
        <f t="array" ref="AC313">((AC$102=$R313)*((13-$S313)/12)+(AC$102&gt;$R313))*$Q313*INDEX($J$13:$O$39,$N313-1999,AC$102-2020)</f>
        <v>-6521.4167367999999</v>
      </c>
    </row>
    <row r="314" spans="2:29" x14ac:dyDescent="0.2">
      <c r="B314" s="32">
        <f>'13. Input desinvesteringen'!B227</f>
        <v>211</v>
      </c>
      <c r="J314" s="32" t="str">
        <f>'13. Input desinvesteringen'!C227</f>
        <v>Transport</v>
      </c>
      <c r="K314" s="32" t="str">
        <f>'13. Input desinvesteringen'!D227</f>
        <v>EHS</v>
      </c>
      <c r="L314" s="32" t="str">
        <f>'13. Input desinvesteringen'!E227</f>
        <v>Nee</v>
      </c>
      <c r="M314" s="32" t="str">
        <f>'13. Input desinvesteringen'!F227</f>
        <v>Hoogspanningsstations secundair</v>
      </c>
      <c r="N314" s="82">
        <f>'13. Input desinvesteringen'!G227</f>
        <v>2021</v>
      </c>
      <c r="O314" s="82"/>
      <c r="P314" s="82"/>
      <c r="Q314" s="32">
        <f>'13. Input desinvesteringen'!H227</f>
        <v>50889</v>
      </c>
      <c r="R314" s="82">
        <f>'13. Input desinvesteringen'!I227</f>
        <v>2023</v>
      </c>
      <c r="S314" s="32">
        <f>'13. Input desinvesteringen'!J227</f>
        <v>1</v>
      </c>
      <c r="U314" s="76">
        <f t="shared" si="13"/>
        <v>1</v>
      </c>
      <c r="V314" s="76">
        <f t="shared" si="14"/>
        <v>0</v>
      </c>
      <c r="X314" s="33" cm="1">
        <f t="array" ref="X314">((X$102=$R314)*((13-$S314)/12)+(X$102&gt;$R314))*$Q314*INDEX($J$13:$O$39,$N314-1999,X$102-2020)</f>
        <v>0</v>
      </c>
      <c r="Y314" s="33" cm="1">
        <f t="array" ref="Y314">((Y$102=$R314)*((13-$S314)/12)+(Y$102&gt;$R314))*$Q314*INDEX($J$13:$O$39,$N314-1999,Y$102-2020)</f>
        <v>0</v>
      </c>
      <c r="Z314" s="33" cm="1">
        <f t="array" ref="Z314">((Z$102=$R314)*((13-$S314)/12)+(Z$102&gt;$R314))*$Q314*INDEX($J$13:$O$39,$N314-1999,Z$102-2020)</f>
        <v>58363.576320000007</v>
      </c>
      <c r="AA314" s="33" cm="1">
        <f t="array" ref="AA314">((AA$102=$R314)*((13-$S314)/12)+(AA$102&gt;$R314))*$Q314*INDEX($J$13:$O$39,$N314-1999,AA$102-2020)</f>
        <v>60114.483609600007</v>
      </c>
      <c r="AB314" s="33" cm="1">
        <f t="array" ref="AB314">((AB$102=$R314)*((13-$S314)/12)+(AB$102&gt;$R314))*$Q314*INDEX($J$13:$O$39,$N314-1999,AB$102-2020)</f>
        <v>62278.605019545605</v>
      </c>
      <c r="AC314" s="33" cm="1">
        <f t="array" ref="AC314">((AC$102=$R314)*((13-$S314)/12)+(AC$102&gt;$R314))*$Q314*INDEX($J$13:$O$39,$N314-1999,AC$102-2020)</f>
        <v>64022.405960092881</v>
      </c>
    </row>
    <row r="315" spans="2:29" x14ac:dyDescent="0.2">
      <c r="B315" s="32">
        <f>'13. Input desinvesteringen'!B228</f>
        <v>212</v>
      </c>
      <c r="J315" s="32" t="str">
        <f>'13. Input desinvesteringen'!C228</f>
        <v>Transport</v>
      </c>
      <c r="K315" s="32" t="str">
        <f>'13. Input desinvesteringen'!D228</f>
        <v>EHS</v>
      </c>
      <c r="L315" s="32" t="str">
        <f>'13. Input desinvesteringen'!E228</f>
        <v>Nee</v>
      </c>
      <c r="M315" s="32" t="str">
        <f>'13. Input desinvesteringen'!F228</f>
        <v>Mast en fundatie</v>
      </c>
      <c r="N315" s="82">
        <f>'13. Input desinvesteringen'!G228</f>
        <v>2021</v>
      </c>
      <c r="O315" s="82"/>
      <c r="P315" s="82"/>
      <c r="Q315" s="32">
        <f>'13. Input desinvesteringen'!H228</f>
        <v>118175</v>
      </c>
      <c r="R315" s="82">
        <f>'13. Input desinvesteringen'!I228</f>
        <v>2023</v>
      </c>
      <c r="S315" s="32">
        <f>'13. Input desinvesteringen'!J228</f>
        <v>1</v>
      </c>
      <c r="U315" s="76">
        <f t="shared" si="13"/>
        <v>1</v>
      </c>
      <c r="V315" s="76">
        <f t="shared" si="14"/>
        <v>0</v>
      </c>
      <c r="X315" s="33" cm="1">
        <f t="array" ref="X315">((X$102=$R315)*((13-$S315)/12)+(X$102&gt;$R315))*$Q315*INDEX($J$13:$O$39,$N315-1999,X$102-2020)</f>
        <v>0</v>
      </c>
      <c r="Y315" s="33" cm="1">
        <f t="array" ref="Y315">((Y$102=$R315)*((13-$S315)/12)+(Y$102&gt;$R315))*$Q315*INDEX($J$13:$O$39,$N315-1999,Y$102-2020)</f>
        <v>0</v>
      </c>
      <c r="Z315" s="33" cm="1">
        <f t="array" ref="Z315">((Z$102=$R315)*((13-$S315)/12)+(Z$102&gt;$R315))*$Q315*INDEX($J$13:$O$39,$N315-1999,Z$102-2020)</f>
        <v>135532.54400000002</v>
      </c>
      <c r="AA315" s="33" cm="1">
        <f t="array" ref="AA315">((AA$102=$R315)*((13-$S315)/12)+(AA$102&gt;$R315))*$Q315*INDEX($J$13:$O$39,$N315-1999,AA$102-2020)</f>
        <v>139598.52032000001</v>
      </c>
      <c r="AB315" s="33" cm="1">
        <f t="array" ref="AB315">((AB$102=$R315)*((13-$S315)/12)+(AB$102&gt;$R315))*$Q315*INDEX($J$13:$O$39,$N315-1999,AB$102-2020)</f>
        <v>144624.06705152002</v>
      </c>
      <c r="AC315" s="33" cm="1">
        <f t="array" ref="AC315">((AC$102=$R315)*((13-$S315)/12)+(AC$102&gt;$R315))*$Q315*INDEX($J$13:$O$39,$N315-1999,AC$102-2020)</f>
        <v>148673.54092896255</v>
      </c>
    </row>
    <row r="316" spans="2:29" x14ac:dyDescent="0.2">
      <c r="B316" s="32">
        <f>'13. Input desinvesteringen'!B229</f>
        <v>213</v>
      </c>
      <c r="J316" s="32" t="str">
        <f>'13. Input desinvesteringen'!C229</f>
        <v>Transport</v>
      </c>
      <c r="K316" s="32" t="str">
        <f>'13. Input desinvesteringen'!D229</f>
        <v>EHS</v>
      </c>
      <c r="L316" s="32" t="str">
        <f>'13. Input desinvesteringen'!E229</f>
        <v>Nee</v>
      </c>
      <c r="M316" s="32" t="str">
        <f>'13. Input desinvesteringen'!F229</f>
        <v>Mast en fundatie</v>
      </c>
      <c r="N316" s="82">
        <f>'13. Input desinvesteringen'!G229</f>
        <v>2017</v>
      </c>
      <c r="O316" s="82"/>
      <c r="P316" s="82"/>
      <c r="Q316" s="32">
        <f>'13. Input desinvesteringen'!H229</f>
        <v>2640144</v>
      </c>
      <c r="R316" s="82">
        <f>'13. Input desinvesteringen'!I229</f>
        <v>2023</v>
      </c>
      <c r="S316" s="32">
        <f>'13. Input desinvesteringen'!J229</f>
        <v>1</v>
      </c>
      <c r="U316" s="76">
        <f t="shared" si="13"/>
        <v>1</v>
      </c>
      <c r="V316" s="76">
        <f t="shared" si="14"/>
        <v>0</v>
      </c>
      <c r="X316" s="33" cm="1">
        <f t="array" ref="X316">((X$102=$R316)*((13-$S316)/12)+(X$102&gt;$R316))*$Q316*INDEX($J$13:$O$39,$N316-1999,X$102-2020)</f>
        <v>0</v>
      </c>
      <c r="Y316" s="33" cm="1">
        <f t="array" ref="Y316">((Y$102=$R316)*((13-$S316)/12)+(Y$102&gt;$R316))*$Q316*INDEX($J$13:$O$39,$N316-1999,Y$102-2020)</f>
        <v>0</v>
      </c>
      <c r="Z316" s="33" cm="1">
        <f t="array" ref="Z316">((Z$102=$R316)*((13-$S316)/12)+(Z$102&gt;$R316))*$Q316*INDEX($J$13:$O$39,$N316-1999,Z$102-2020)</f>
        <v>3245128.3358444432</v>
      </c>
      <c r="AA316" s="33" cm="1">
        <f t="array" ref="AA316">((AA$102=$R316)*((13-$S316)/12)+(AA$102&gt;$R316))*$Q316*INDEX($J$13:$O$39,$N316-1999,AA$102-2020)</f>
        <v>3342482.1859197766</v>
      </c>
      <c r="AB316" s="33" cm="1">
        <f t="array" ref="AB316">((AB$102=$R316)*((13-$S316)/12)+(AB$102&gt;$R316))*$Q316*INDEX($J$13:$O$39,$N316-1999,AB$102-2020)</f>
        <v>3462811.5446128887</v>
      </c>
      <c r="AC316" s="33" cm="1">
        <f t="array" ref="AC316">((AC$102=$R316)*((13-$S316)/12)+(AC$102&gt;$R316))*$Q316*INDEX($J$13:$O$39,$N316-1999,AC$102-2020)</f>
        <v>3559770.2678620494</v>
      </c>
    </row>
    <row r="317" spans="2:29" x14ac:dyDescent="0.2">
      <c r="B317" s="32">
        <f>'13. Input desinvesteringen'!B230</f>
        <v>214</v>
      </c>
      <c r="J317" s="32" t="str">
        <f>'13. Input desinvesteringen'!C230</f>
        <v>Transport</v>
      </c>
      <c r="K317" s="32" t="str">
        <f>'13. Input desinvesteringen'!D230</f>
        <v>EHS</v>
      </c>
      <c r="L317" s="32" t="str">
        <f>'13. Input desinvesteringen'!E230</f>
        <v>Nee</v>
      </c>
      <c r="M317" s="32" t="str">
        <f>'13. Input desinvesteringen'!F230</f>
        <v>Mast en fundatie</v>
      </c>
      <c r="N317" s="82">
        <f>'13. Input desinvesteringen'!G230</f>
        <v>2020</v>
      </c>
      <c r="O317" s="82"/>
      <c r="P317" s="82"/>
      <c r="Q317" s="32">
        <f>'13. Input desinvesteringen'!H230</f>
        <v>323014</v>
      </c>
      <c r="R317" s="82">
        <f>'13. Input desinvesteringen'!I230</f>
        <v>2023</v>
      </c>
      <c r="S317" s="32">
        <f>'13. Input desinvesteringen'!J230</f>
        <v>1</v>
      </c>
      <c r="U317" s="76">
        <f t="shared" si="13"/>
        <v>1</v>
      </c>
      <c r="V317" s="76">
        <f t="shared" si="14"/>
        <v>0</v>
      </c>
      <c r="X317" s="33" cm="1">
        <f t="array" ref="X317">((X$102=$R317)*((13-$S317)/12)+(X$102&gt;$R317))*$Q317*INDEX($J$13:$O$39,$N317-1999,X$102-2020)</f>
        <v>0</v>
      </c>
      <c r="Y317" s="33" cm="1">
        <f t="array" ref="Y317">((Y$102=$R317)*((13-$S317)/12)+(Y$102&gt;$R317))*$Q317*INDEX($J$13:$O$39,$N317-1999,Y$102-2020)</f>
        <v>0</v>
      </c>
      <c r="Z317" s="33" cm="1">
        <f t="array" ref="Z317">((Z$102=$R317)*((13-$S317)/12)+(Z$102&gt;$R317))*$Q317*INDEX($J$13:$O$39,$N317-1999,Z$102-2020)</f>
        <v>373051.50439423998</v>
      </c>
      <c r="AA317" s="33" cm="1">
        <f t="array" ref="AA317">((AA$102=$R317)*((13-$S317)/12)+(AA$102&gt;$R317))*$Q317*INDEX($J$13:$O$39,$N317-1999,AA$102-2020)</f>
        <v>384243.04952606716</v>
      </c>
      <c r="AB317" s="33" cm="1">
        <f t="array" ref="AB317">((AB$102=$R317)*((13-$S317)/12)+(AB$102&gt;$R317))*$Q317*INDEX($J$13:$O$39,$N317-1999,AB$102-2020)</f>
        <v>398075.79930900555</v>
      </c>
      <c r="AC317" s="33" cm="1">
        <f t="array" ref="AC317">((AC$102=$R317)*((13-$S317)/12)+(AC$102&gt;$R317))*$Q317*INDEX($J$13:$O$39,$N317-1999,AC$102-2020)</f>
        <v>409221.92168965773</v>
      </c>
    </row>
    <row r="318" spans="2:29" x14ac:dyDescent="0.2">
      <c r="B318" s="32">
        <f>'13. Input desinvesteringen'!B231</f>
        <v>215</v>
      </c>
      <c r="J318" s="32" t="str">
        <f>'13. Input desinvesteringen'!C231</f>
        <v>Transport</v>
      </c>
      <c r="K318" s="32" t="str">
        <f>'13. Input desinvesteringen'!D231</f>
        <v>EHS</v>
      </c>
      <c r="L318" s="32" t="str">
        <f>'13. Input desinvesteringen'!E231</f>
        <v>Nee</v>
      </c>
      <c r="M318" s="32" t="str">
        <f>'13. Input desinvesteringen'!F231</f>
        <v>Mast en fundatie</v>
      </c>
      <c r="N318" s="82">
        <f>'13. Input desinvesteringen'!G231</f>
        <v>2023</v>
      </c>
      <c r="O318" s="82"/>
      <c r="P318" s="82"/>
      <c r="Q318" s="32">
        <f>'13. Input desinvesteringen'!H231</f>
        <v>0</v>
      </c>
      <c r="R318" s="82">
        <f>'13. Input desinvesteringen'!I231</f>
        <v>2023</v>
      </c>
      <c r="S318" s="32">
        <f>'13. Input desinvesteringen'!J231</f>
        <v>1</v>
      </c>
      <c r="U318" s="76">
        <f t="shared" si="13"/>
        <v>1</v>
      </c>
      <c r="V318" s="76">
        <f t="shared" si="14"/>
        <v>0</v>
      </c>
      <c r="X318" s="33" cm="1">
        <f t="array" ref="X318">((X$102=$R318)*((13-$S318)/12)+(X$102&gt;$R318))*$Q318*INDEX($J$13:$O$39,$N318-1999,X$102-2020)</f>
        <v>0</v>
      </c>
      <c r="Y318" s="33" cm="1">
        <f t="array" ref="Y318">((Y$102=$R318)*((13-$S318)/12)+(Y$102&gt;$R318))*$Q318*INDEX($J$13:$O$39,$N318-1999,Y$102-2020)</f>
        <v>0</v>
      </c>
      <c r="Z318" s="33" cm="1">
        <f t="array" ref="Z318">((Z$102=$R318)*((13-$S318)/12)+(Z$102&gt;$R318))*$Q318*INDEX($J$13:$O$39,$N318-1999,Z$102-2020)</f>
        <v>0</v>
      </c>
      <c r="AA318" s="33" cm="1">
        <f t="array" ref="AA318">((AA$102=$R318)*((13-$S318)/12)+(AA$102&gt;$R318))*$Q318*INDEX($J$13:$O$39,$N318-1999,AA$102-2020)</f>
        <v>0</v>
      </c>
      <c r="AB318" s="33" cm="1">
        <f t="array" ref="AB318">((AB$102=$R318)*((13-$S318)/12)+(AB$102&gt;$R318))*$Q318*INDEX($J$13:$O$39,$N318-1999,AB$102-2020)</f>
        <v>0</v>
      </c>
      <c r="AC318" s="33" cm="1">
        <f t="array" ref="AC318">((AC$102=$R318)*((13-$S318)/12)+(AC$102&gt;$R318))*$Q318*INDEX($J$13:$O$39,$N318-1999,AC$102-2020)</f>
        <v>0</v>
      </c>
    </row>
    <row r="319" spans="2:29" x14ac:dyDescent="0.2">
      <c r="B319" s="32">
        <f>'13. Input desinvesteringen'!B232</f>
        <v>216</v>
      </c>
      <c r="J319" s="32" t="str">
        <f>'13. Input desinvesteringen'!C232</f>
        <v>Transport</v>
      </c>
      <c r="K319" s="32" t="str">
        <f>'13. Input desinvesteringen'!D232</f>
        <v>EHS</v>
      </c>
      <c r="L319" s="32" t="str">
        <f>'13. Input desinvesteringen'!E232</f>
        <v>Nee</v>
      </c>
      <c r="M319" s="32" t="str">
        <f>'13. Input desinvesteringen'!F232</f>
        <v>Telecommunicatienet</v>
      </c>
      <c r="N319" s="82">
        <f>'13. Input desinvesteringen'!G232</f>
        <v>2017</v>
      </c>
      <c r="O319" s="82"/>
      <c r="P319" s="82"/>
      <c r="Q319" s="32">
        <f>'13. Input desinvesteringen'!H232</f>
        <v>32213</v>
      </c>
      <c r="R319" s="82">
        <f>'13. Input desinvesteringen'!I232</f>
        <v>2023</v>
      </c>
      <c r="S319" s="32">
        <f>'13. Input desinvesteringen'!J232</f>
        <v>1</v>
      </c>
      <c r="U319" s="76">
        <f t="shared" si="13"/>
        <v>1</v>
      </c>
      <c r="V319" s="76">
        <f t="shared" si="14"/>
        <v>0</v>
      </c>
      <c r="X319" s="33" cm="1">
        <f t="array" ref="X319">((X$102=$R319)*((13-$S319)/12)+(X$102&gt;$R319))*$Q319*INDEX($J$13:$O$39,$N319-1999,X$102-2020)</f>
        <v>0</v>
      </c>
      <c r="Y319" s="33" cm="1">
        <f t="array" ref="Y319">((Y$102=$R319)*((13-$S319)/12)+(Y$102&gt;$R319))*$Q319*INDEX($J$13:$O$39,$N319-1999,Y$102-2020)</f>
        <v>0</v>
      </c>
      <c r="Z319" s="33" cm="1">
        <f t="array" ref="Z319">((Z$102=$R319)*((13-$S319)/12)+(Z$102&gt;$R319))*$Q319*INDEX($J$13:$O$39,$N319-1999,Z$102-2020)</f>
        <v>39594.552070855621</v>
      </c>
      <c r="AA319" s="33" cm="1">
        <f t="array" ref="AA319">((AA$102=$R319)*((13-$S319)/12)+(AA$102&gt;$R319))*$Q319*INDEX($J$13:$O$39,$N319-1999,AA$102-2020)</f>
        <v>40782.388632981289</v>
      </c>
      <c r="AB319" s="33" cm="1">
        <f t="array" ref="AB319">((AB$102=$R319)*((13-$S319)/12)+(AB$102&gt;$R319))*$Q319*INDEX($J$13:$O$39,$N319-1999,AB$102-2020)</f>
        <v>42250.554623768621</v>
      </c>
      <c r="AC319" s="33" cm="1">
        <f t="array" ref="AC319">((AC$102=$R319)*((13-$S319)/12)+(AC$102&gt;$R319))*$Q319*INDEX($J$13:$O$39,$N319-1999,AC$102-2020)</f>
        <v>43433.570153234141</v>
      </c>
    </row>
    <row r="320" spans="2:29" x14ac:dyDescent="0.2">
      <c r="B320" s="32">
        <f>'13. Input desinvesteringen'!B233</f>
        <v>217</v>
      </c>
      <c r="J320" s="32" t="str">
        <f>'13. Input desinvesteringen'!C233</f>
        <v>Transport</v>
      </c>
      <c r="K320" s="32" t="str">
        <f>'13. Input desinvesteringen'!D233</f>
        <v>EHS</v>
      </c>
      <c r="L320" s="32" t="str">
        <f>'13. Input desinvesteringen'!E233</f>
        <v>Nee</v>
      </c>
      <c r="M320" s="32" t="str">
        <f>'13. Input desinvesteringen'!F233</f>
        <v>Telecommunicatienet</v>
      </c>
      <c r="N320" s="82">
        <f>'13. Input desinvesteringen'!G233</f>
        <v>2020</v>
      </c>
      <c r="O320" s="82"/>
      <c r="P320" s="82"/>
      <c r="Q320" s="32">
        <f>'13. Input desinvesteringen'!H233</f>
        <v>35073</v>
      </c>
      <c r="R320" s="82">
        <f>'13. Input desinvesteringen'!I233</f>
        <v>2023</v>
      </c>
      <c r="S320" s="32">
        <f>'13. Input desinvesteringen'!J233</f>
        <v>1</v>
      </c>
      <c r="U320" s="76">
        <f t="shared" si="13"/>
        <v>1</v>
      </c>
      <c r="V320" s="76">
        <f t="shared" si="14"/>
        <v>0</v>
      </c>
      <c r="X320" s="33" cm="1">
        <f t="array" ref="X320">((X$102=$R320)*((13-$S320)/12)+(X$102&gt;$R320))*$Q320*INDEX($J$13:$O$39,$N320-1999,X$102-2020)</f>
        <v>0</v>
      </c>
      <c r="Y320" s="33" cm="1">
        <f t="array" ref="Y320">((Y$102=$R320)*((13-$S320)/12)+(Y$102&gt;$R320))*$Q320*INDEX($J$13:$O$39,$N320-1999,Y$102-2020)</f>
        <v>0</v>
      </c>
      <c r="Z320" s="33" cm="1">
        <f t="array" ref="Z320">((Z$102=$R320)*((13-$S320)/12)+(Z$102&gt;$R320))*$Q320*INDEX($J$13:$O$39,$N320-1999,Z$102-2020)</f>
        <v>40506.093895680002</v>
      </c>
      <c r="AA320" s="33" cm="1">
        <f t="array" ref="AA320">((AA$102=$R320)*((13-$S320)/12)+(AA$102&gt;$R320))*$Q320*INDEX($J$13:$O$39,$N320-1999,AA$102-2020)</f>
        <v>41721.276712550396</v>
      </c>
      <c r="AB320" s="33" cm="1">
        <f t="array" ref="AB320">((AB$102=$R320)*((13-$S320)/12)+(AB$102&gt;$R320))*$Q320*INDEX($J$13:$O$39,$N320-1999,AB$102-2020)</f>
        <v>43223.242674202207</v>
      </c>
      <c r="AC320" s="33" cm="1">
        <f t="array" ref="AC320">((AC$102=$R320)*((13-$S320)/12)+(AC$102&gt;$R320))*$Q320*INDEX($J$13:$O$39,$N320-1999,AC$102-2020)</f>
        <v>44433.493469079876</v>
      </c>
    </row>
    <row r="321" spans="2:29" x14ac:dyDescent="0.2">
      <c r="B321" s="32">
        <f>'13. Input desinvesteringen'!B234</f>
        <v>218</v>
      </c>
      <c r="J321" s="32" t="str">
        <f>'13. Input desinvesteringen'!C234</f>
        <v>Transport</v>
      </c>
      <c r="K321" s="32" t="str">
        <f>'13. Input desinvesteringen'!D234</f>
        <v>EHS</v>
      </c>
      <c r="L321" s="32" t="str">
        <f>'13. Input desinvesteringen'!E234</f>
        <v>Nee</v>
      </c>
      <c r="M321" s="32" t="str">
        <f>'13. Input desinvesteringen'!F234</f>
        <v>Telecommunicatienet</v>
      </c>
      <c r="N321" s="82">
        <f>'13. Input desinvesteringen'!G234</f>
        <v>2021</v>
      </c>
      <c r="O321" s="82"/>
      <c r="P321" s="82"/>
      <c r="Q321" s="32">
        <f>'13. Input desinvesteringen'!H234</f>
        <v>654</v>
      </c>
      <c r="R321" s="82">
        <f>'13. Input desinvesteringen'!I234</f>
        <v>2023</v>
      </c>
      <c r="S321" s="32">
        <f>'13. Input desinvesteringen'!J234</f>
        <v>1</v>
      </c>
      <c r="U321" s="76">
        <f t="shared" si="13"/>
        <v>1</v>
      </c>
      <c r="V321" s="76">
        <f t="shared" si="14"/>
        <v>0</v>
      </c>
      <c r="X321" s="33" cm="1">
        <f t="array" ref="X321">((X$102=$R321)*((13-$S321)/12)+(X$102&gt;$R321))*$Q321*INDEX($J$13:$O$39,$N321-1999,X$102-2020)</f>
        <v>0</v>
      </c>
      <c r="Y321" s="33" cm="1">
        <f t="array" ref="Y321">((Y$102=$R321)*((13-$S321)/12)+(Y$102&gt;$R321))*$Q321*INDEX($J$13:$O$39,$N321-1999,Y$102-2020)</f>
        <v>0</v>
      </c>
      <c r="Z321" s="33" cm="1">
        <f t="array" ref="Z321">((Z$102=$R321)*((13-$S321)/12)+(Z$102&gt;$R321))*$Q321*INDEX($J$13:$O$39,$N321-1999,Z$102-2020)</f>
        <v>750.05952000000013</v>
      </c>
      <c r="AA321" s="33" cm="1">
        <f t="array" ref="AA321">((AA$102=$R321)*((13-$S321)/12)+(AA$102&gt;$R321))*$Q321*INDEX($J$13:$O$39,$N321-1999,AA$102-2020)</f>
        <v>772.56130560000008</v>
      </c>
      <c r="AB321" s="33" cm="1">
        <f t="array" ref="AB321">((AB$102=$R321)*((13-$S321)/12)+(AB$102&gt;$R321))*$Q321*INDEX($J$13:$O$39,$N321-1999,AB$102-2020)</f>
        <v>800.37351260160005</v>
      </c>
      <c r="AC321" s="33" cm="1">
        <f t="array" ref="AC321">((AC$102=$R321)*((13-$S321)/12)+(AC$102&gt;$R321))*$Q321*INDEX($J$13:$O$39,$N321-1999,AC$102-2020)</f>
        <v>822.78397095444484</v>
      </c>
    </row>
    <row r="322" spans="2:29" x14ac:dyDescent="0.2">
      <c r="B322" s="32">
        <f>'13. Input desinvesteringen'!B235</f>
        <v>219</v>
      </c>
      <c r="J322" s="32" t="str">
        <f>'13. Input desinvesteringen'!C235</f>
        <v>Transport</v>
      </c>
      <c r="K322" s="32" t="str">
        <f>'13. Input desinvesteringen'!D235</f>
        <v>EHS</v>
      </c>
      <c r="L322" s="32" t="str">
        <f>'13. Input desinvesteringen'!E235</f>
        <v>Nee</v>
      </c>
      <c r="M322" s="32" t="str">
        <f>'13. Input desinvesteringen'!F235</f>
        <v>Vermogenstransformatoren</v>
      </c>
      <c r="N322" s="82">
        <f>'13. Input desinvesteringen'!G235</f>
        <v>2020</v>
      </c>
      <c r="O322" s="82"/>
      <c r="P322" s="82"/>
      <c r="Q322" s="32">
        <f>'13. Input desinvesteringen'!H235</f>
        <v>59257</v>
      </c>
      <c r="R322" s="82">
        <f>'13. Input desinvesteringen'!I235</f>
        <v>2023</v>
      </c>
      <c r="S322" s="32">
        <f>'13. Input desinvesteringen'!J235</f>
        <v>1</v>
      </c>
      <c r="U322" s="76">
        <f t="shared" si="13"/>
        <v>1</v>
      </c>
      <c r="V322" s="76">
        <f t="shared" si="14"/>
        <v>0</v>
      </c>
      <c r="X322" s="33" cm="1">
        <f t="array" ref="X322">((X$102=$R322)*((13-$S322)/12)+(X$102&gt;$R322))*$Q322*INDEX($J$13:$O$39,$N322-1999,X$102-2020)</f>
        <v>0</v>
      </c>
      <c r="Y322" s="33" cm="1">
        <f t="array" ref="Y322">((Y$102=$R322)*((13-$S322)/12)+(Y$102&gt;$R322))*$Q322*INDEX($J$13:$O$39,$N322-1999,Y$102-2020)</f>
        <v>0</v>
      </c>
      <c r="Z322" s="33" cm="1">
        <f t="array" ref="Z322">((Z$102=$R322)*((13-$S322)/12)+(Z$102&gt;$R322))*$Q322*INDEX($J$13:$O$39,$N322-1999,Z$102-2020)</f>
        <v>68436.392837120002</v>
      </c>
      <c r="AA322" s="33" cm="1">
        <f t="array" ref="AA322">((AA$102=$R322)*((13-$S322)/12)+(AA$102&gt;$R322))*$Q322*INDEX($J$13:$O$39,$N322-1999,AA$102-2020)</f>
        <v>70489.484622233591</v>
      </c>
      <c r="AB322" s="33" cm="1">
        <f t="array" ref="AB322">((AB$102=$R322)*((13-$S322)/12)+(AB$102&gt;$R322))*$Q322*INDEX($J$13:$O$39,$N322-1999,AB$102-2020)</f>
        <v>73027.106068634006</v>
      </c>
      <c r="AC322" s="33" cm="1">
        <f t="array" ref="AC322">((AC$102=$R322)*((13-$S322)/12)+(AC$102&gt;$R322))*$Q322*INDEX($J$13:$O$39,$N322-1999,AC$102-2020)</f>
        <v>75071.865038555756</v>
      </c>
    </row>
    <row r="323" spans="2:29" x14ac:dyDescent="0.2">
      <c r="B323" s="32">
        <f>'13. Input desinvesteringen'!B236</f>
        <v>220</v>
      </c>
      <c r="J323" s="32" t="str">
        <f>'13. Input desinvesteringen'!C236</f>
        <v>Transport</v>
      </c>
      <c r="K323" s="32" t="str">
        <f>'13. Input desinvesteringen'!D236</f>
        <v>EHS</v>
      </c>
      <c r="L323" s="32" t="str">
        <f>'13. Input desinvesteringen'!E236</f>
        <v>Nee</v>
      </c>
      <c r="M323" s="32" t="str">
        <f>'13. Input desinvesteringen'!F236</f>
        <v>Vermogenstransformatoren</v>
      </c>
      <c r="N323" s="82">
        <f>'13. Input desinvesteringen'!G236</f>
        <v>2023</v>
      </c>
      <c r="O323" s="82"/>
      <c r="P323" s="82"/>
      <c r="Q323" s="32">
        <f>'13. Input desinvesteringen'!H236</f>
        <v>140979</v>
      </c>
      <c r="R323" s="82">
        <f>'13. Input desinvesteringen'!I236</f>
        <v>2023</v>
      </c>
      <c r="S323" s="32">
        <f>'13. Input desinvesteringen'!J236</f>
        <v>1</v>
      </c>
      <c r="U323" s="76">
        <f t="shared" si="13"/>
        <v>1</v>
      </c>
      <c r="V323" s="76">
        <f t="shared" si="14"/>
        <v>0</v>
      </c>
      <c r="X323" s="33" cm="1">
        <f t="array" ref="X323">((X$102=$R323)*((13-$S323)/12)+(X$102&gt;$R323))*$Q323*INDEX($J$13:$O$39,$N323-1999,X$102-2020)</f>
        <v>0</v>
      </c>
      <c r="Y323" s="33" cm="1">
        <f t="array" ref="Y323">((Y$102=$R323)*((13-$S323)/12)+(Y$102&gt;$R323))*$Q323*INDEX($J$13:$O$39,$N323-1999,Y$102-2020)</f>
        <v>0</v>
      </c>
      <c r="Z323" s="33" cm="1">
        <f t="array" ref="Z323">((Z$102=$R323)*((13-$S323)/12)+(Z$102&gt;$R323))*$Q323*INDEX($J$13:$O$39,$N323-1999,Z$102-2020)</f>
        <v>140979</v>
      </c>
      <c r="AA323" s="33" cm="1">
        <f t="array" ref="AA323">((AA$102=$R323)*((13-$S323)/12)+(AA$102&gt;$R323))*$Q323*INDEX($J$13:$O$39,$N323-1999,AA$102-2020)</f>
        <v>145208.37</v>
      </c>
      <c r="AB323" s="33" cm="1">
        <f t="array" ref="AB323">((AB$102=$R323)*((13-$S323)/12)+(AB$102&gt;$R323))*$Q323*INDEX($J$13:$O$39,$N323-1999,AB$102-2020)</f>
        <v>150435.87132000001</v>
      </c>
      <c r="AC323" s="33" cm="1">
        <f t="array" ref="AC323">((AC$102=$R323)*((13-$S323)/12)+(AC$102&gt;$R323))*$Q323*INDEX($J$13:$O$39,$N323-1999,AC$102-2020)</f>
        <v>154648.07571695998</v>
      </c>
    </row>
    <row r="324" spans="2:29" x14ac:dyDescent="0.2">
      <c r="B324" s="32">
        <f>'13. Input desinvesteringen'!B237</f>
        <v>221</v>
      </c>
      <c r="J324" s="32" t="str">
        <f>'13. Input desinvesteringen'!C237</f>
        <v>Transport</v>
      </c>
      <c r="K324" s="32" t="str">
        <f>'13. Input desinvesteringen'!D237</f>
        <v>EHS</v>
      </c>
      <c r="L324" s="32" t="str">
        <f>'13. Input desinvesteringen'!E237</f>
        <v>Nee</v>
      </c>
      <c r="M324" s="32" t="str">
        <f>'13. Input desinvesteringen'!F237</f>
        <v>Terreinen: geen afschrijving</v>
      </c>
      <c r="N324" s="82">
        <f>'13. Input desinvesteringen'!G237</f>
        <v>2020</v>
      </c>
      <c r="O324" s="82"/>
      <c r="P324" s="82"/>
      <c r="Q324" s="32">
        <f>'13. Input desinvesteringen'!H237</f>
        <v>21964</v>
      </c>
      <c r="R324" s="82">
        <f>'13. Input desinvesteringen'!I237</f>
        <v>2023</v>
      </c>
      <c r="S324" s="32">
        <f>'13. Input desinvesteringen'!J237</f>
        <v>1</v>
      </c>
      <c r="U324" s="76">
        <f t="shared" si="13"/>
        <v>0</v>
      </c>
      <c r="V324" s="76">
        <f t="shared" si="14"/>
        <v>1</v>
      </c>
      <c r="X324" s="33" cm="1">
        <f t="array" ref="X324">((X$102=$R324)*((13-$S324)/12)+(X$102&gt;$R324))*$Q324*INDEX($J$13:$O$39,$N324-1999,X$102-2020)</f>
        <v>0</v>
      </c>
      <c r="Y324" s="33" cm="1">
        <f t="array" ref="Y324">((Y$102=$R324)*((13-$S324)/12)+(Y$102&gt;$R324))*$Q324*INDEX($J$13:$O$39,$N324-1999,Y$102-2020)</f>
        <v>0</v>
      </c>
      <c r="Z324" s="33" cm="1">
        <f t="array" ref="Z324">((Z$102=$R324)*((13-$S324)/12)+(Z$102&gt;$R324))*$Q324*INDEX($J$13:$O$39,$N324-1999,Z$102-2020)</f>
        <v>25366.402826239999</v>
      </c>
      <c r="AA324" s="33" cm="1">
        <f t="array" ref="AA324">((AA$102=$R324)*((13-$S324)/12)+(AA$102&gt;$R324))*$Q324*INDEX($J$13:$O$39,$N324-1999,AA$102-2020)</f>
        <v>26127.394911027197</v>
      </c>
      <c r="AB324" s="33" cm="1">
        <f t="array" ref="AB324">((AB$102=$R324)*((13-$S324)/12)+(AB$102&gt;$R324))*$Q324*INDEX($J$13:$O$39,$N324-1999,AB$102-2020)</f>
        <v>27067.981127824176</v>
      </c>
      <c r="AC324" s="33" cm="1">
        <f t="array" ref="AC324">((AC$102=$R324)*((13-$S324)/12)+(AC$102&gt;$R324))*$Q324*INDEX($J$13:$O$39,$N324-1999,AC$102-2020)</f>
        <v>27825.884599403253</v>
      </c>
    </row>
    <row r="325" spans="2:29" x14ac:dyDescent="0.2">
      <c r="B325" s="32">
        <f>'13. Input desinvesteringen'!B238</f>
        <v>222</v>
      </c>
      <c r="J325" s="32" t="str">
        <f>'13. Input desinvesteringen'!C238</f>
        <v>Transport</v>
      </c>
      <c r="K325" s="32" t="str">
        <f>'13. Input desinvesteringen'!D238</f>
        <v>EHS</v>
      </c>
      <c r="L325" s="32" t="str">
        <f>'13. Input desinvesteringen'!E238</f>
        <v>Nee</v>
      </c>
      <c r="M325" s="32" t="str">
        <f>'13. Input desinvesteringen'!F238</f>
        <v>Computerapparatuur</v>
      </c>
      <c r="N325" s="82">
        <f>'13. Input desinvesteringen'!G238</f>
        <v>2018</v>
      </c>
      <c r="O325" s="82"/>
      <c r="P325" s="82"/>
      <c r="Q325" s="32">
        <f>'13. Input desinvesteringen'!H238</f>
        <v>197447</v>
      </c>
      <c r="R325" s="82">
        <f>'13. Input desinvesteringen'!I238</f>
        <v>2023</v>
      </c>
      <c r="S325" s="32">
        <f>'13. Input desinvesteringen'!J238</f>
        <v>12</v>
      </c>
      <c r="U325" s="76">
        <f t="shared" si="13"/>
        <v>1</v>
      </c>
      <c r="V325" s="76">
        <f t="shared" si="14"/>
        <v>0</v>
      </c>
      <c r="X325" s="33" cm="1">
        <f t="array" ref="X325">((X$102=$R325)*((13-$S325)/12)+(X$102&gt;$R325))*$Q325*INDEX($J$13:$O$39,$N325-1999,X$102-2020)</f>
        <v>0</v>
      </c>
      <c r="Y325" s="33" cm="1">
        <f t="array" ref="Y325">((Y$102=$R325)*((13-$S325)/12)+(Y$102&gt;$R325))*$Q325*INDEX($J$13:$O$39,$N325-1999,Y$102-2020)</f>
        <v>0</v>
      </c>
      <c r="Z325" s="33" cm="1">
        <f t="array" ref="Z325">((Z$102=$R325)*((13-$S325)/12)+(Z$102&gt;$R325))*$Q325*INDEX($J$13:$O$39,$N325-1999,Z$102-2020)</f>
        <v>19945.071615207609</v>
      </c>
      <c r="AA325" s="33" cm="1">
        <f t="array" ref="AA325">((AA$102=$R325)*((13-$S325)/12)+(AA$102&gt;$R325))*$Q325*INDEX($J$13:$O$39,$N325-1999,AA$102-2020)</f>
        <v>246521.08516396611</v>
      </c>
      <c r="AB325" s="33" cm="1">
        <f t="array" ref="AB325">((AB$102=$R325)*((13-$S325)/12)+(AB$102&gt;$R325))*$Q325*INDEX($J$13:$O$39,$N325-1999,AB$102-2020)</f>
        <v>255395.84422986888</v>
      </c>
      <c r="AC325" s="33" cm="1">
        <f t="array" ref="AC325">((AC$102=$R325)*((13-$S325)/12)+(AC$102&gt;$R325))*$Q325*INDEX($J$13:$O$39,$N325-1999,AC$102-2020)</f>
        <v>262546.92786830524</v>
      </c>
    </row>
    <row r="326" spans="2:29" x14ac:dyDescent="0.2">
      <c r="B326" s="32">
        <f>'13. Input desinvesteringen'!B239</f>
        <v>223</v>
      </c>
      <c r="J326" s="32" t="str">
        <f>'13. Input desinvesteringen'!C239</f>
        <v>Transport</v>
      </c>
      <c r="K326" s="32" t="str">
        <f>'13. Input desinvesteringen'!D239</f>
        <v>EHS</v>
      </c>
      <c r="L326" s="32" t="str">
        <f>'13. Input desinvesteringen'!E239</f>
        <v>Nee</v>
      </c>
      <c r="M326" s="32" t="str">
        <f>'13. Input desinvesteringen'!F239</f>
        <v>Hoogspanningsstations secundair</v>
      </c>
      <c r="N326" s="82">
        <f>'13. Input desinvesteringen'!G239</f>
        <v>2011</v>
      </c>
      <c r="O326" s="82"/>
      <c r="P326" s="82"/>
      <c r="Q326" s="32">
        <f>'13. Input desinvesteringen'!H239</f>
        <v>3014</v>
      </c>
      <c r="R326" s="82">
        <f>'13. Input desinvesteringen'!I239</f>
        <v>2023</v>
      </c>
      <c r="S326" s="32">
        <f>'13. Input desinvesteringen'!J239</f>
        <v>1</v>
      </c>
      <c r="U326" s="76">
        <f t="shared" si="13"/>
        <v>1</v>
      </c>
      <c r="V326" s="76">
        <f t="shared" si="14"/>
        <v>0</v>
      </c>
      <c r="X326" s="33" cm="1">
        <f t="array" ref="X326">((X$102=$R326)*((13-$S326)/12)+(X$102&gt;$R326))*$Q326*INDEX($J$13:$O$39,$N326-1999,X$102-2020)</f>
        <v>0</v>
      </c>
      <c r="Y326" s="33" cm="1">
        <f t="array" ref="Y326">((Y$102=$R326)*((13-$S326)/12)+(Y$102&gt;$R326))*$Q326*INDEX($J$13:$O$39,$N326-1999,Y$102-2020)</f>
        <v>0</v>
      </c>
      <c r="Z326" s="33" cm="1">
        <f t="array" ref="Z326">((Z$102=$R326)*((13-$S326)/12)+(Z$102&gt;$R326))*$Q326*INDEX($J$13:$O$39,$N326-1999,Z$102-2020)</f>
        <v>4077.6809865149198</v>
      </c>
      <c r="AA326" s="33" cm="1">
        <f t="array" ref="AA326">((AA$102=$R326)*((13-$S326)/12)+(AA$102&gt;$R326))*$Q326*INDEX($J$13:$O$39,$N326-1999,AA$102-2020)</f>
        <v>4200.0114161103675</v>
      </c>
      <c r="AB326" s="33" cm="1">
        <f t="array" ref="AB326">((AB$102=$R326)*((13-$S326)/12)+(AB$102&gt;$R326))*$Q326*INDEX($J$13:$O$39,$N326-1999,AB$102-2020)</f>
        <v>4351.2118270903411</v>
      </c>
      <c r="AC326" s="33" cm="1">
        <f t="array" ref="AC326">((AC$102=$R326)*((13-$S326)/12)+(AC$102&gt;$R326))*$Q326*INDEX($J$13:$O$39,$N326-1999,AC$102-2020)</f>
        <v>4473.0457582488707</v>
      </c>
    </row>
    <row r="327" spans="2:29" x14ac:dyDescent="0.2">
      <c r="B327" s="32">
        <f>'13. Input desinvesteringen'!B240</f>
        <v>224</v>
      </c>
      <c r="J327" s="32" t="str">
        <f>'13. Input desinvesteringen'!C240</f>
        <v>Transport</v>
      </c>
      <c r="K327" s="32" t="str">
        <f>'13. Input desinvesteringen'!D240</f>
        <v>HS</v>
      </c>
      <c r="L327" s="32" t="str">
        <f>'13. Input desinvesteringen'!E240</f>
        <v>Nee</v>
      </c>
      <c r="M327" s="32" t="str">
        <f>'13. Input desinvesteringen'!F240</f>
        <v>Overige bedrijfsmiddelen</v>
      </c>
      <c r="N327" s="82">
        <f>'13. Input desinvesteringen'!G240</f>
        <v>2005</v>
      </c>
      <c r="O327" s="82"/>
      <c r="P327" s="82"/>
      <c r="Q327" s="32">
        <f>'13. Input desinvesteringen'!H240</f>
        <v>1793</v>
      </c>
      <c r="R327" s="82">
        <f>'13. Input desinvesteringen'!I240</f>
        <v>2023</v>
      </c>
      <c r="S327" s="32">
        <f>'13. Input desinvesteringen'!J240</f>
        <v>12</v>
      </c>
      <c r="U327" s="76">
        <f t="shared" si="13"/>
        <v>1</v>
      </c>
      <c r="V327" s="76">
        <f t="shared" si="14"/>
        <v>0</v>
      </c>
      <c r="X327" s="33" cm="1">
        <f t="array" ref="X327">((X$102=$R327)*((13-$S327)/12)+(X$102&gt;$R327))*$Q327*INDEX($J$13:$O$39,$N327-1999,X$102-2020)</f>
        <v>0</v>
      </c>
      <c r="Y327" s="33" cm="1">
        <f t="array" ref="Y327">((Y$102=$R327)*((13-$S327)/12)+(Y$102&gt;$R327))*$Q327*INDEX($J$13:$O$39,$N327-1999,Y$102-2020)</f>
        <v>0</v>
      </c>
      <c r="Z327" s="33" cm="1">
        <f t="array" ref="Z327">((Z$102=$R327)*((13-$S327)/12)+(Z$102&gt;$R327))*$Q327*INDEX($J$13:$O$39,$N327-1999,Z$102-2020)</f>
        <v>221.64227684136546</v>
      </c>
      <c r="AA327" s="33" cm="1">
        <f t="array" ref="AA327">((AA$102=$R327)*((13-$S327)/12)+(AA$102&gt;$R327))*$Q327*INDEX($J$13:$O$39,$N327-1999,AA$102-2020)</f>
        <v>2739.498541759277</v>
      </c>
      <c r="AB327" s="33" cm="1">
        <f t="array" ref="AB327">((AB$102=$R327)*((13-$S327)/12)+(AB$102&gt;$R327))*$Q327*INDEX($J$13:$O$39,$N327-1999,AB$102-2020)</f>
        <v>2838.120489262611</v>
      </c>
      <c r="AC327" s="33" cm="1">
        <f t="array" ref="AC327">((AC$102=$R327)*((13-$S327)/12)+(AC$102&gt;$R327))*$Q327*INDEX($J$13:$O$39,$N327-1999,AC$102-2020)</f>
        <v>2917.5878629619642</v>
      </c>
    </row>
    <row r="328" spans="2:29" x14ac:dyDescent="0.2">
      <c r="B328" s="32">
        <f>'13. Input desinvesteringen'!B241</f>
        <v>225</v>
      </c>
      <c r="J328" s="32" t="str">
        <f>'13. Input desinvesteringen'!C241</f>
        <v>Transport</v>
      </c>
      <c r="K328" s="32" t="str">
        <f>'13. Input desinvesteringen'!D241</f>
        <v>HS</v>
      </c>
      <c r="L328" s="32" t="str">
        <f>'13. Input desinvesteringen'!E241</f>
        <v>Nee</v>
      </c>
      <c r="M328" s="32" t="str">
        <f>'13. Input desinvesteringen'!F241</f>
        <v>Overige bedrijfsmiddelen</v>
      </c>
      <c r="N328" s="82">
        <f>'13. Input desinvesteringen'!G241</f>
        <v>2006</v>
      </c>
      <c r="O328" s="82"/>
      <c r="P328" s="82"/>
      <c r="Q328" s="32">
        <f>'13. Input desinvesteringen'!H241</f>
        <v>5257</v>
      </c>
      <c r="R328" s="82">
        <f>'13. Input desinvesteringen'!I241</f>
        <v>2023</v>
      </c>
      <c r="S328" s="32">
        <f>'13. Input desinvesteringen'!J241</f>
        <v>12</v>
      </c>
      <c r="U328" s="76">
        <f t="shared" si="13"/>
        <v>1</v>
      </c>
      <c r="V328" s="76">
        <f t="shared" si="14"/>
        <v>0</v>
      </c>
      <c r="X328" s="33" cm="1">
        <f t="array" ref="X328">((X$102=$R328)*((13-$S328)/12)+(X$102&gt;$R328))*$Q328*INDEX($J$13:$O$39,$N328-1999,X$102-2020)</f>
        <v>0</v>
      </c>
      <c r="Y328" s="33" cm="1">
        <f t="array" ref="Y328">((Y$102=$R328)*((13-$S328)/12)+(Y$102&gt;$R328))*$Q328*INDEX($J$13:$O$39,$N328-1999,Y$102-2020)</f>
        <v>0</v>
      </c>
      <c r="Z328" s="33" cm="1">
        <f t="array" ref="Z328">((Z$102=$R328)*((13-$S328)/12)+(Z$102&gt;$R328))*$Q328*INDEX($J$13:$O$39,$N328-1999,Z$102-2020)</f>
        <v>638.35536437546273</v>
      </c>
      <c r="AA328" s="33" cm="1">
        <f t="array" ref="AA328">((AA$102=$R328)*((13-$S328)/12)+(AA$102&gt;$R328))*$Q328*INDEX($J$13:$O$39,$N328-1999,AA$102-2020)</f>
        <v>7890.0723036807194</v>
      </c>
      <c r="AB328" s="33" cm="1">
        <f t="array" ref="AB328">((AB$102=$R328)*((13-$S328)/12)+(AB$102&gt;$R328))*$Q328*INDEX($J$13:$O$39,$N328-1999,AB$102-2020)</f>
        <v>8174.1149066132266</v>
      </c>
      <c r="AC328" s="33" cm="1">
        <f t="array" ref="AC328">((AC$102=$R328)*((13-$S328)/12)+(AC$102&gt;$R328))*$Q328*INDEX($J$13:$O$39,$N328-1999,AC$102-2020)</f>
        <v>8402.9901239983974</v>
      </c>
    </row>
    <row r="329" spans="2:29" x14ac:dyDescent="0.2">
      <c r="B329" s="32">
        <f>'13. Input desinvesteringen'!B242</f>
        <v>226</v>
      </c>
      <c r="J329" s="32" t="str">
        <f>'13. Input desinvesteringen'!C242</f>
        <v>Transport</v>
      </c>
      <c r="K329" s="32" t="str">
        <f>'13. Input desinvesteringen'!D242</f>
        <v>HS</v>
      </c>
      <c r="L329" s="32" t="str">
        <f>'13. Input desinvesteringen'!E242</f>
        <v>Nee</v>
      </c>
      <c r="M329" s="32" t="str">
        <f>'13. Input desinvesteringen'!F242</f>
        <v>Overige bedrijfsmiddelen</v>
      </c>
      <c r="N329" s="82">
        <f>'13. Input desinvesteringen'!G242</f>
        <v>2006</v>
      </c>
      <c r="O329" s="82"/>
      <c r="P329" s="82"/>
      <c r="Q329" s="32">
        <f>'13. Input desinvesteringen'!H242</f>
        <v>1084</v>
      </c>
      <c r="R329" s="82">
        <f>'13. Input desinvesteringen'!I242</f>
        <v>2023</v>
      </c>
      <c r="S329" s="32">
        <f>'13. Input desinvesteringen'!J242</f>
        <v>12</v>
      </c>
      <c r="U329" s="76">
        <f t="shared" si="13"/>
        <v>1</v>
      </c>
      <c r="V329" s="76">
        <f t="shared" si="14"/>
        <v>0</v>
      </c>
      <c r="X329" s="33" cm="1">
        <f t="array" ref="X329">((X$102=$R329)*((13-$S329)/12)+(X$102&gt;$R329))*$Q329*INDEX($J$13:$O$39,$N329-1999,X$102-2020)</f>
        <v>0</v>
      </c>
      <c r="Y329" s="33" cm="1">
        <f t="array" ref="Y329">((Y$102=$R329)*((13-$S329)/12)+(Y$102&gt;$R329))*$Q329*INDEX($J$13:$O$39,$N329-1999,Y$102-2020)</f>
        <v>0</v>
      </c>
      <c r="Z329" s="33" cm="1">
        <f t="array" ref="Z329">((Z$102=$R329)*((13-$S329)/12)+(Z$102&gt;$R329))*$Q329*INDEX($J$13:$O$39,$N329-1999,Z$102-2020)</f>
        <v>131.62967756952665</v>
      </c>
      <c r="AA329" s="33" cm="1">
        <f t="array" ref="AA329">((AA$102=$R329)*((13-$S329)/12)+(AA$102&gt;$R329))*$Q329*INDEX($J$13:$O$39,$N329-1999,AA$102-2020)</f>
        <v>1626.9428147593494</v>
      </c>
      <c r="AB329" s="33" cm="1">
        <f t="array" ref="AB329">((AB$102=$R329)*((13-$S329)/12)+(AB$102&gt;$R329))*$Q329*INDEX($J$13:$O$39,$N329-1999,AB$102-2020)</f>
        <v>1685.5127560906863</v>
      </c>
      <c r="AC329" s="33" cm="1">
        <f t="array" ref="AC329">((AC$102=$R329)*((13-$S329)/12)+(AC$102&gt;$R329))*$Q329*INDEX($J$13:$O$39,$N329-1999,AC$102-2020)</f>
        <v>1732.7071132612255</v>
      </c>
    </row>
    <row r="330" spans="2:29" x14ac:dyDescent="0.2">
      <c r="B330" s="32">
        <f>'13. Input desinvesteringen'!B243</f>
        <v>227</v>
      </c>
      <c r="J330" s="32" t="str">
        <f>'13. Input desinvesteringen'!C243</f>
        <v>Transport</v>
      </c>
      <c r="K330" s="32" t="str">
        <f>'13. Input desinvesteringen'!D243</f>
        <v>HS</v>
      </c>
      <c r="L330" s="32" t="str">
        <f>'13. Input desinvesteringen'!E243</f>
        <v>Nee</v>
      </c>
      <c r="M330" s="32" t="str">
        <f>'13. Input desinvesteringen'!F243</f>
        <v>Overige bedrijfsmiddelen</v>
      </c>
      <c r="N330" s="82">
        <f>'13. Input desinvesteringen'!G243</f>
        <v>2007</v>
      </c>
      <c r="O330" s="82"/>
      <c r="P330" s="82"/>
      <c r="Q330" s="32">
        <f>'13. Input desinvesteringen'!H243</f>
        <v>3183</v>
      </c>
      <c r="R330" s="82">
        <f>'13. Input desinvesteringen'!I243</f>
        <v>2023</v>
      </c>
      <c r="S330" s="32">
        <f>'13. Input desinvesteringen'!J243</f>
        <v>12</v>
      </c>
      <c r="U330" s="76">
        <f t="shared" si="13"/>
        <v>1</v>
      </c>
      <c r="V330" s="76">
        <f t="shared" si="14"/>
        <v>0</v>
      </c>
      <c r="X330" s="33" cm="1">
        <f t="array" ref="X330">((X$102=$R330)*((13-$S330)/12)+(X$102&gt;$R330))*$Q330*INDEX($J$13:$O$39,$N330-1999,X$102-2020)</f>
        <v>0</v>
      </c>
      <c r="Y330" s="33" cm="1">
        <f t="array" ref="Y330">((Y$102=$R330)*((13-$S330)/12)+(Y$102&gt;$R330))*$Q330*INDEX($J$13:$O$39,$N330-1999,Y$102-2020)</f>
        <v>0</v>
      </c>
      <c r="Z330" s="33" cm="1">
        <f t="array" ref="Z330">((Z$102=$R330)*((13-$S330)/12)+(Z$102&gt;$R330))*$Q330*INDEX($J$13:$O$39,$N330-1999,Z$102-2020)</f>
        <v>381.17395549375453</v>
      </c>
      <c r="AA330" s="33" cm="1">
        <f t="array" ref="AA330">((AA$102=$R330)*((13-$S330)/12)+(AA$102&gt;$R330))*$Q330*INDEX($J$13:$O$39,$N330-1999,AA$102-2020)</f>
        <v>4711.3100899028059</v>
      </c>
      <c r="AB330" s="33" cm="1">
        <f t="array" ref="AB330">((AB$102=$R330)*((13-$S330)/12)+(AB$102&gt;$R330))*$Q330*INDEX($J$13:$O$39,$N330-1999,AB$102-2020)</f>
        <v>4880.9172531393069</v>
      </c>
      <c r="AC330" s="33" cm="1">
        <f t="array" ref="AC330">((AC$102=$R330)*((13-$S330)/12)+(AC$102&gt;$R330))*$Q330*INDEX($J$13:$O$39,$N330-1999,AC$102-2020)</f>
        <v>5017.5829362272079</v>
      </c>
    </row>
    <row r="331" spans="2:29" x14ac:dyDescent="0.2">
      <c r="B331" s="32">
        <f>'13. Input desinvesteringen'!B244</f>
        <v>228</v>
      </c>
      <c r="J331" s="32" t="str">
        <f>'13. Input desinvesteringen'!C244</f>
        <v>Transport</v>
      </c>
      <c r="K331" s="32" t="str">
        <f>'13. Input desinvesteringen'!D244</f>
        <v>HS</v>
      </c>
      <c r="L331" s="32" t="str">
        <f>'13. Input desinvesteringen'!E244</f>
        <v>Nee</v>
      </c>
      <c r="M331" s="32" t="str">
        <f>'13. Input desinvesteringen'!F244</f>
        <v>Overige bedrijfsmiddelen</v>
      </c>
      <c r="N331" s="82">
        <f>'13. Input desinvesteringen'!G244</f>
        <v>2005</v>
      </c>
      <c r="O331" s="82"/>
      <c r="P331" s="82"/>
      <c r="Q331" s="32">
        <f>'13. Input desinvesteringen'!H244</f>
        <v>19793</v>
      </c>
      <c r="R331" s="82">
        <f>'13. Input desinvesteringen'!I244</f>
        <v>2023</v>
      </c>
      <c r="S331" s="32">
        <f>'13. Input desinvesteringen'!J244</f>
        <v>12</v>
      </c>
      <c r="U331" s="76">
        <f t="shared" si="13"/>
        <v>1</v>
      </c>
      <c r="V331" s="76">
        <f t="shared" si="14"/>
        <v>0</v>
      </c>
      <c r="X331" s="33" cm="1">
        <f t="array" ref="X331">((X$102=$R331)*((13-$S331)/12)+(X$102&gt;$R331))*$Q331*INDEX($J$13:$O$39,$N331-1999,X$102-2020)</f>
        <v>0</v>
      </c>
      <c r="Y331" s="33" cm="1">
        <f t="array" ref="Y331">((Y$102=$R331)*((13-$S331)/12)+(Y$102&gt;$R331))*$Q331*INDEX($J$13:$O$39,$N331-1999,Y$102-2020)</f>
        <v>0</v>
      </c>
      <c r="Z331" s="33" cm="1">
        <f t="array" ref="Z331">((Z$102=$R331)*((13-$S331)/12)+(Z$102&gt;$R331))*$Q331*INDEX($J$13:$O$39,$N331-1999,Z$102-2020)</f>
        <v>2446.7181179705221</v>
      </c>
      <c r="AA331" s="33" cm="1">
        <f t="array" ref="AA331">((AA$102=$R331)*((13-$S331)/12)+(AA$102&gt;$R331))*$Q331*INDEX($J$13:$O$39,$N331-1999,AA$102-2020)</f>
        <v>30241.435938115654</v>
      </c>
      <c r="AB331" s="33" cm="1">
        <f t="array" ref="AB331">((AB$102=$R331)*((13-$S331)/12)+(AB$102&gt;$R331))*$Q331*INDEX($J$13:$O$39,$N331-1999,AB$102-2020)</f>
        <v>31330.127631887819</v>
      </c>
      <c r="AC331" s="33" cm="1">
        <f t="array" ref="AC331">((AC$102=$R331)*((13-$S331)/12)+(AC$102&gt;$R331))*$Q331*INDEX($J$13:$O$39,$N331-1999,AC$102-2020)</f>
        <v>32207.371205580679</v>
      </c>
    </row>
    <row r="332" spans="2:29" x14ac:dyDescent="0.2">
      <c r="B332" s="32">
        <f>'13. Input desinvesteringen'!B245</f>
        <v>229</v>
      </c>
      <c r="J332" s="32" t="str">
        <f>'13. Input desinvesteringen'!C245</f>
        <v>Transport</v>
      </c>
      <c r="K332" s="32" t="str">
        <f>'13. Input desinvesteringen'!D245</f>
        <v>HS</v>
      </c>
      <c r="L332" s="32" t="str">
        <f>'13. Input desinvesteringen'!E245</f>
        <v>Nee</v>
      </c>
      <c r="M332" s="32" t="str">
        <f>'13. Input desinvesteringen'!F245</f>
        <v>Overige bedrijfsmiddelen</v>
      </c>
      <c r="N332" s="82">
        <f>'13. Input desinvesteringen'!G245</f>
        <v>2006</v>
      </c>
      <c r="O332" s="82"/>
      <c r="P332" s="82"/>
      <c r="Q332" s="32">
        <f>'13. Input desinvesteringen'!H245</f>
        <v>23576</v>
      </c>
      <c r="R332" s="82">
        <f>'13. Input desinvesteringen'!I245</f>
        <v>2023</v>
      </c>
      <c r="S332" s="32">
        <f>'13. Input desinvesteringen'!J245</f>
        <v>12</v>
      </c>
      <c r="U332" s="76">
        <f t="shared" si="13"/>
        <v>1</v>
      </c>
      <c r="V332" s="76">
        <f t="shared" si="14"/>
        <v>0</v>
      </c>
      <c r="X332" s="33" cm="1">
        <f t="array" ref="X332">((X$102=$R332)*((13-$S332)/12)+(X$102&gt;$R332))*$Q332*INDEX($J$13:$O$39,$N332-1999,X$102-2020)</f>
        <v>0</v>
      </c>
      <c r="Y332" s="33" cm="1">
        <f t="array" ref="Y332">((Y$102=$R332)*((13-$S332)/12)+(Y$102&gt;$R332))*$Q332*INDEX($J$13:$O$39,$N332-1999,Y$102-2020)</f>
        <v>0</v>
      </c>
      <c r="Z332" s="33" cm="1">
        <f t="array" ref="Z332">((Z$102=$R332)*((13-$S332)/12)+(Z$102&gt;$R332))*$Q332*INDEX($J$13:$O$39,$N332-1999,Z$102-2020)</f>
        <v>2862.8240575453506</v>
      </c>
      <c r="AA332" s="33" cm="1">
        <f t="array" ref="AA332">((AA$102=$R332)*((13-$S332)/12)+(AA$102&gt;$R332))*$Q332*INDEX($J$13:$O$39,$N332-1999,AA$102-2020)</f>
        <v>35384.505351260537</v>
      </c>
      <c r="AB332" s="33" cm="1">
        <f t="array" ref="AB332">((AB$102=$R332)*((13-$S332)/12)+(AB$102&gt;$R332))*$Q332*INDEX($J$13:$O$39,$N332-1999,AB$102-2020)</f>
        <v>36658.347543905918</v>
      </c>
      <c r="AC332" s="33" cm="1">
        <f t="array" ref="AC332">((AC$102=$R332)*((13-$S332)/12)+(AC$102&gt;$R332))*$Q332*INDEX($J$13:$O$39,$N332-1999,AC$102-2020)</f>
        <v>37684.781275135283</v>
      </c>
    </row>
    <row r="333" spans="2:29" x14ac:dyDescent="0.2">
      <c r="B333" s="32">
        <f>'13. Input desinvesteringen'!B246</f>
        <v>230</v>
      </c>
      <c r="J333" s="32" t="str">
        <f>'13. Input desinvesteringen'!C246</f>
        <v>Transport</v>
      </c>
      <c r="K333" s="32" t="str">
        <f>'13. Input desinvesteringen'!D246</f>
        <v>HS</v>
      </c>
      <c r="L333" s="32" t="str">
        <f>'13. Input desinvesteringen'!E246</f>
        <v>Nee</v>
      </c>
      <c r="M333" s="32" t="str">
        <f>'13. Input desinvesteringen'!F246</f>
        <v>Overige bedrijfsmiddelen</v>
      </c>
      <c r="N333" s="82">
        <f>'13. Input desinvesteringen'!G246</f>
        <v>2006</v>
      </c>
      <c r="O333" s="82"/>
      <c r="P333" s="82"/>
      <c r="Q333" s="32">
        <f>'13. Input desinvesteringen'!H246</f>
        <v>2656</v>
      </c>
      <c r="R333" s="82">
        <f>'13. Input desinvesteringen'!I246</f>
        <v>2023</v>
      </c>
      <c r="S333" s="32">
        <f>'13. Input desinvesteringen'!J246</f>
        <v>12</v>
      </c>
      <c r="U333" s="76">
        <f t="shared" si="13"/>
        <v>1</v>
      </c>
      <c r="V333" s="76">
        <f t="shared" si="14"/>
        <v>0</v>
      </c>
      <c r="X333" s="33" cm="1">
        <f t="array" ref="X333">((X$102=$R333)*((13-$S333)/12)+(X$102&gt;$R333))*$Q333*INDEX($J$13:$O$39,$N333-1999,X$102-2020)</f>
        <v>0</v>
      </c>
      <c r="Y333" s="33" cm="1">
        <f t="array" ref="Y333">((Y$102=$R333)*((13-$S333)/12)+(Y$102&gt;$R333))*$Q333*INDEX($J$13:$O$39,$N333-1999,Y$102-2020)</f>
        <v>0</v>
      </c>
      <c r="Z333" s="33" cm="1">
        <f t="array" ref="Z333">((Z$102=$R333)*((13-$S333)/12)+(Z$102&gt;$R333))*$Q333*INDEX($J$13:$O$39,$N333-1999,Z$102-2020)</f>
        <v>322.51699596371105</v>
      </c>
      <c r="AA333" s="33" cm="1">
        <f t="array" ref="AA333">((AA$102=$R333)*((13-$S333)/12)+(AA$102&gt;$R333))*$Q333*INDEX($J$13:$O$39,$N333-1999,AA$102-2020)</f>
        <v>3986.3100701114686</v>
      </c>
      <c r="AB333" s="33" cm="1">
        <f t="array" ref="AB333">((AB$102=$R333)*((13-$S333)/12)+(AB$102&gt;$R333))*$Q333*INDEX($J$13:$O$39,$N333-1999,AB$102-2020)</f>
        <v>4129.8172326354816</v>
      </c>
      <c r="AC333" s="33" cm="1">
        <f t="array" ref="AC333">((AC$102=$R333)*((13-$S333)/12)+(AC$102&gt;$R333))*$Q333*INDEX($J$13:$O$39,$N333-1999,AC$102-2020)</f>
        <v>4245.4521151492754</v>
      </c>
    </row>
    <row r="334" spans="2:29" x14ac:dyDescent="0.2">
      <c r="B334" s="32">
        <f>'13. Input desinvesteringen'!B247</f>
        <v>231</v>
      </c>
      <c r="J334" s="32" t="str">
        <f>'13. Input desinvesteringen'!C247</f>
        <v>Transport</v>
      </c>
      <c r="K334" s="32" t="str">
        <f>'13. Input desinvesteringen'!D247</f>
        <v>HS</v>
      </c>
      <c r="L334" s="32" t="str">
        <f>'13. Input desinvesteringen'!E247</f>
        <v>Nee</v>
      </c>
      <c r="M334" s="32" t="str">
        <f>'13. Input desinvesteringen'!F247</f>
        <v>Overige bedrijfsmiddelen</v>
      </c>
      <c r="N334" s="82">
        <f>'13. Input desinvesteringen'!G247</f>
        <v>2007</v>
      </c>
      <c r="O334" s="82"/>
      <c r="P334" s="82"/>
      <c r="Q334" s="32">
        <f>'13. Input desinvesteringen'!H247</f>
        <v>58189</v>
      </c>
      <c r="R334" s="82">
        <f>'13. Input desinvesteringen'!I247</f>
        <v>2023</v>
      </c>
      <c r="S334" s="32">
        <f>'13. Input desinvesteringen'!J247</f>
        <v>12</v>
      </c>
      <c r="U334" s="76">
        <f t="shared" si="13"/>
        <v>1</v>
      </c>
      <c r="V334" s="76">
        <f t="shared" si="14"/>
        <v>0</v>
      </c>
      <c r="X334" s="33" cm="1">
        <f t="array" ref="X334">((X$102=$R334)*((13-$S334)/12)+(X$102&gt;$R334))*$Q334*INDEX($J$13:$O$39,$N334-1999,X$102-2020)</f>
        <v>0</v>
      </c>
      <c r="Y334" s="33" cm="1">
        <f t="array" ref="Y334">((Y$102=$R334)*((13-$S334)/12)+(Y$102&gt;$R334))*$Q334*INDEX($J$13:$O$39,$N334-1999,Y$102-2020)</f>
        <v>0</v>
      </c>
      <c r="Z334" s="33" cm="1">
        <f t="array" ref="Z334">((Z$102=$R334)*((13-$S334)/12)+(Z$102&gt;$R334))*$Q334*INDEX($J$13:$O$39,$N334-1999,Z$102-2020)</f>
        <v>6968.3101778906948</v>
      </c>
      <c r="AA334" s="33" cm="1">
        <f t="array" ref="AA334">((AA$102=$R334)*((13-$S334)/12)+(AA$102&gt;$R334))*$Q334*INDEX($J$13:$O$39,$N334-1999,AA$102-2020)</f>
        <v>86128.313798728981</v>
      </c>
      <c r="AB334" s="33" cm="1">
        <f t="array" ref="AB334">((AB$102=$R334)*((13-$S334)/12)+(AB$102&gt;$R334))*$Q334*INDEX($J$13:$O$39,$N334-1999,AB$102-2020)</f>
        <v>89228.93309548324</v>
      </c>
      <c r="AC334" s="33" cm="1">
        <f t="array" ref="AC334">((AC$102=$R334)*((13-$S334)/12)+(AC$102&gt;$R334))*$Q334*INDEX($J$13:$O$39,$N334-1999,AC$102-2020)</f>
        <v>91727.343222156764</v>
      </c>
    </row>
    <row r="335" spans="2:29" x14ac:dyDescent="0.2">
      <c r="B335" s="32">
        <f>'13. Input desinvesteringen'!B248</f>
        <v>232</v>
      </c>
      <c r="J335" s="32" t="str">
        <f>'13. Input desinvesteringen'!C248</f>
        <v>Transport</v>
      </c>
      <c r="K335" s="32" t="str">
        <f>'13. Input desinvesteringen'!D248</f>
        <v>HS</v>
      </c>
      <c r="L335" s="32" t="str">
        <f>'13. Input desinvesteringen'!E248</f>
        <v>Nee</v>
      </c>
      <c r="M335" s="32" t="str">
        <f>'13. Input desinvesteringen'!F248</f>
        <v>(Proces)automatisering</v>
      </c>
      <c r="N335" s="82">
        <f>'13. Input desinvesteringen'!G248</f>
        <v>2016</v>
      </c>
      <c r="O335" s="82"/>
      <c r="P335" s="82"/>
      <c r="Q335" s="32">
        <f>'13. Input desinvesteringen'!H248</f>
        <v>15621</v>
      </c>
      <c r="R335" s="82">
        <f>'13. Input desinvesteringen'!I248</f>
        <v>2023</v>
      </c>
      <c r="S335" s="32">
        <f>'13. Input desinvesteringen'!J248</f>
        <v>10</v>
      </c>
      <c r="U335" s="76">
        <f t="shared" si="13"/>
        <v>0</v>
      </c>
      <c r="V335" s="76">
        <f t="shared" si="14"/>
        <v>1</v>
      </c>
      <c r="X335" s="33" cm="1">
        <f t="array" ref="X335">((X$102=$R335)*((13-$S335)/12)+(X$102&gt;$R335))*$Q335*INDEX($J$13:$O$39,$N335-1999,X$102-2020)</f>
        <v>0</v>
      </c>
      <c r="Y335" s="33" cm="1">
        <f t="array" ref="Y335">((Y$102=$R335)*((13-$S335)/12)+(Y$102&gt;$R335))*$Q335*INDEX($J$13:$O$39,$N335-1999,Y$102-2020)</f>
        <v>0</v>
      </c>
      <c r="Z335" s="33" cm="1">
        <f t="array" ref="Z335">((Z$102=$R335)*((13-$S335)/12)+(Z$102&gt;$R335))*$Q335*INDEX($J$13:$O$39,$N335-1999,Z$102-2020)</f>
        <v>4809.7314042050812</v>
      </c>
      <c r="AA335" s="33" cm="1">
        <f t="array" ref="AA335">((AA$102=$R335)*((13-$S335)/12)+(AA$102&gt;$R335))*$Q335*INDEX($J$13:$O$39,$N335-1999,AA$102-2020)</f>
        <v>19816.093385324933</v>
      </c>
      <c r="AB335" s="33" cm="1">
        <f t="array" ref="AB335">((AB$102=$R335)*((13-$S335)/12)+(AB$102&gt;$R335))*$Q335*INDEX($J$13:$O$39,$N335-1999,AB$102-2020)</f>
        <v>20529.472747196633</v>
      </c>
      <c r="AC335" s="33" cm="1">
        <f t="array" ref="AC335">((AC$102=$R335)*((13-$S335)/12)+(AC$102&gt;$R335))*$Q335*INDEX($J$13:$O$39,$N335-1999,AC$102-2020)</f>
        <v>21104.297984118137</v>
      </c>
    </row>
    <row r="336" spans="2:29" x14ac:dyDescent="0.2">
      <c r="B336" s="32">
        <f>'13. Input desinvesteringen'!B249</f>
        <v>233</v>
      </c>
      <c r="J336" s="32" t="str">
        <f>'13. Input desinvesteringen'!C249</f>
        <v>Transport</v>
      </c>
      <c r="K336" s="32" t="str">
        <f>'13. Input desinvesteringen'!D249</f>
        <v>HS</v>
      </c>
      <c r="L336" s="32" t="str">
        <f>'13. Input desinvesteringen'!E249</f>
        <v>Nee</v>
      </c>
      <c r="M336" s="32" t="str">
        <f>'13. Input desinvesteringen'!F249</f>
        <v>Computerapparatuur</v>
      </c>
      <c r="N336" s="82">
        <f>'13. Input desinvesteringen'!G249</f>
        <v>2014</v>
      </c>
      <c r="O336" s="82"/>
      <c r="P336" s="82"/>
      <c r="Q336" s="32">
        <f>'13. Input desinvesteringen'!H249</f>
        <v>1328817</v>
      </c>
      <c r="R336" s="82">
        <f>'13. Input desinvesteringen'!I249</f>
        <v>2023</v>
      </c>
      <c r="S336" s="32">
        <f>'13. Input desinvesteringen'!J249</f>
        <v>2</v>
      </c>
      <c r="U336" s="76">
        <f t="shared" si="13"/>
        <v>1</v>
      </c>
      <c r="V336" s="76">
        <f t="shared" si="14"/>
        <v>0</v>
      </c>
      <c r="X336" s="33" cm="1">
        <f t="array" ref="X336">((X$102=$R336)*((13-$S336)/12)+(X$102&gt;$R336))*$Q336*INDEX($J$13:$O$39,$N336-1999,X$102-2020)</f>
        <v>0</v>
      </c>
      <c r="Y336" s="33" cm="1">
        <f t="array" ref="Y336">((Y$102=$R336)*((13-$S336)/12)+(Y$102&gt;$R336))*$Q336*INDEX($J$13:$O$39,$N336-1999,Y$102-2020)</f>
        <v>0</v>
      </c>
      <c r="Z336" s="33" cm="1">
        <f t="array" ref="Z336">((Z$102=$R336)*((13-$S336)/12)+(Z$102&gt;$R336))*$Q336*INDEX($J$13:$O$39,$N336-1999,Z$102-2020)</f>
        <v>1527321.6349065953</v>
      </c>
      <c r="AA336" s="33" cm="1">
        <f t="array" ref="AA336">((AA$102=$R336)*((13-$S336)/12)+(AA$102&gt;$R336))*$Q336*INDEX($J$13:$O$39,$N336-1999,AA$102-2020)</f>
        <v>1716154.1279495927</v>
      </c>
      <c r="AB336" s="33" cm="1">
        <f t="array" ref="AB336">((AB$102=$R336)*((13-$S336)/12)+(AB$102&gt;$R336))*$Q336*INDEX($J$13:$O$39,$N336-1999,AB$102-2020)</f>
        <v>1777935.6765557781</v>
      </c>
      <c r="AC336" s="33" cm="1">
        <f t="array" ref="AC336">((AC$102=$R336)*((13-$S336)/12)+(AC$102&gt;$R336))*$Q336*INDEX($J$13:$O$39,$N336-1999,AC$102-2020)</f>
        <v>1827717.87549934</v>
      </c>
    </row>
    <row r="337" spans="2:29" x14ac:dyDescent="0.2">
      <c r="B337" s="32">
        <f>'13. Input desinvesteringen'!B250</f>
        <v>234</v>
      </c>
      <c r="J337" s="32" t="str">
        <f>'13. Input desinvesteringen'!C250</f>
        <v>Transport</v>
      </c>
      <c r="K337" s="32" t="str">
        <f>'13. Input desinvesteringen'!D250</f>
        <v>HS</v>
      </c>
      <c r="L337" s="32" t="str">
        <f>'13. Input desinvesteringen'!E250</f>
        <v>Nee</v>
      </c>
      <c r="M337" s="32" t="str">
        <f>'13. Input desinvesteringen'!F250</f>
        <v>Computerapparatuur</v>
      </c>
      <c r="N337" s="82">
        <f>'13. Input desinvesteringen'!G250</f>
        <v>2014</v>
      </c>
      <c r="O337" s="82"/>
      <c r="P337" s="82"/>
      <c r="Q337" s="32">
        <f>'13. Input desinvesteringen'!H250</f>
        <v>50110</v>
      </c>
      <c r="R337" s="82">
        <f>'13. Input desinvesteringen'!I250</f>
        <v>2023</v>
      </c>
      <c r="S337" s="32">
        <f>'13. Input desinvesteringen'!J250</f>
        <v>2</v>
      </c>
      <c r="U337" s="76">
        <f t="shared" si="13"/>
        <v>1</v>
      </c>
      <c r="V337" s="76">
        <f t="shared" si="14"/>
        <v>0</v>
      </c>
      <c r="X337" s="33" cm="1">
        <f t="array" ref="X337">((X$102=$R337)*((13-$S337)/12)+(X$102&gt;$R337))*$Q337*INDEX($J$13:$O$39,$N337-1999,X$102-2020)</f>
        <v>0</v>
      </c>
      <c r="Y337" s="33" cm="1">
        <f t="array" ref="Y337">((Y$102=$R337)*((13-$S337)/12)+(Y$102&gt;$R337))*$Q337*INDEX($J$13:$O$39,$N337-1999,Y$102-2020)</f>
        <v>0</v>
      </c>
      <c r="Z337" s="33" cm="1">
        <f t="array" ref="Z337">((Z$102=$R337)*((13-$S337)/12)+(Z$102&gt;$R337))*$Q337*INDEX($J$13:$O$39,$N337-1999,Z$102-2020)</f>
        <v>57595.656230443688</v>
      </c>
      <c r="AA337" s="33" cm="1">
        <f t="array" ref="AA337">((AA$102=$R337)*((13-$S337)/12)+(AA$102&gt;$R337))*$Q337*INDEX($J$13:$O$39,$N337-1999,AA$102-2020)</f>
        <v>64716.573728025825</v>
      </c>
      <c r="AB337" s="33" cm="1">
        <f t="array" ref="AB337">((AB$102=$R337)*((13-$S337)/12)+(AB$102&gt;$R337))*$Q337*INDEX($J$13:$O$39,$N337-1999,AB$102-2020)</f>
        <v>67046.37038223476</v>
      </c>
      <c r="AC337" s="33" cm="1">
        <f t="array" ref="AC337">((AC$102=$R337)*((13-$S337)/12)+(AC$102&gt;$R337))*$Q337*INDEX($J$13:$O$39,$N337-1999,AC$102-2020)</f>
        <v>68923.66875293733</v>
      </c>
    </row>
    <row r="338" spans="2:29" x14ac:dyDescent="0.2">
      <c r="B338" s="32">
        <f>'13. Input desinvesteringen'!B251</f>
        <v>235</v>
      </c>
      <c r="J338" s="32" t="str">
        <f>'13. Input desinvesteringen'!C251</f>
        <v>Transport</v>
      </c>
      <c r="K338" s="32" t="str">
        <f>'13. Input desinvesteringen'!D251</f>
        <v>HS</v>
      </c>
      <c r="L338" s="32" t="str">
        <f>'13. Input desinvesteringen'!E251</f>
        <v>Nee</v>
      </c>
      <c r="M338" s="32" t="str">
        <f>'13. Input desinvesteringen'!F251</f>
        <v>Elektrotechnisch gedeelte</v>
      </c>
      <c r="N338" s="82">
        <f>'13. Input desinvesteringen'!G251</f>
        <v>2011</v>
      </c>
      <c r="O338" s="82"/>
      <c r="P338" s="82"/>
      <c r="Q338" s="32">
        <f>'13. Input desinvesteringen'!H251</f>
        <v>62010</v>
      </c>
      <c r="R338" s="82">
        <f>'13. Input desinvesteringen'!I251</f>
        <v>2023</v>
      </c>
      <c r="S338" s="32">
        <f>'13. Input desinvesteringen'!J251</f>
        <v>1</v>
      </c>
      <c r="U338" s="76">
        <f t="shared" si="13"/>
        <v>1</v>
      </c>
      <c r="V338" s="76">
        <f t="shared" si="14"/>
        <v>0</v>
      </c>
      <c r="X338" s="33" cm="1">
        <f t="array" ref="X338">((X$102=$R338)*((13-$S338)/12)+(X$102&gt;$R338))*$Q338*INDEX($J$13:$O$39,$N338-1999,X$102-2020)</f>
        <v>0</v>
      </c>
      <c r="Y338" s="33" cm="1">
        <f t="array" ref="Y338">((Y$102=$R338)*((13-$S338)/12)+(Y$102&gt;$R338))*$Q338*INDEX($J$13:$O$39,$N338-1999,Y$102-2020)</f>
        <v>0</v>
      </c>
      <c r="Z338" s="33" cm="1">
        <f t="array" ref="Z338">((Z$102=$R338)*((13-$S338)/12)+(Z$102&gt;$R338))*$Q338*INDEX($J$13:$O$39,$N338-1999,Z$102-2020)</f>
        <v>83894.159911675568</v>
      </c>
      <c r="AA338" s="33" cm="1">
        <f t="array" ref="AA338">((AA$102=$R338)*((13-$S338)/12)+(AA$102&gt;$R338))*$Q338*INDEX($J$13:$O$39,$N338-1999,AA$102-2020)</f>
        <v>86410.984709025841</v>
      </c>
      <c r="AB338" s="33" cm="1">
        <f t="array" ref="AB338">((AB$102=$R338)*((13-$S338)/12)+(AB$102&gt;$R338))*$Q338*INDEX($J$13:$O$39,$N338-1999,AB$102-2020)</f>
        <v>89521.78015855077</v>
      </c>
      <c r="AC338" s="33" cm="1">
        <f t="array" ref="AC338">((AC$102=$R338)*((13-$S338)/12)+(AC$102&gt;$R338))*$Q338*INDEX($J$13:$O$39,$N338-1999,AC$102-2020)</f>
        <v>92028.3900029902</v>
      </c>
    </row>
    <row r="339" spans="2:29" x14ac:dyDescent="0.2">
      <c r="B339" s="32">
        <f>'13. Input desinvesteringen'!B252</f>
        <v>236</v>
      </c>
      <c r="J339" s="32" t="str">
        <f>'13. Input desinvesteringen'!C252</f>
        <v>Transport</v>
      </c>
      <c r="K339" s="32" t="str">
        <f>'13. Input desinvesteringen'!D252</f>
        <v>HS</v>
      </c>
      <c r="L339" s="32" t="str">
        <f>'13. Input desinvesteringen'!E252</f>
        <v>Nee</v>
      </c>
      <c r="M339" s="32" t="str">
        <f>'13. Input desinvesteringen'!F252</f>
        <v>Hoogspanningsstations primair</v>
      </c>
      <c r="N339" s="82">
        <f>'13. Input desinvesteringen'!G252</f>
        <v>2016</v>
      </c>
      <c r="O339" s="82"/>
      <c r="P339" s="82"/>
      <c r="Q339" s="32">
        <f>'13. Input desinvesteringen'!H252</f>
        <v>9571</v>
      </c>
      <c r="R339" s="82">
        <f>'13. Input desinvesteringen'!I252</f>
        <v>2023</v>
      </c>
      <c r="S339" s="32">
        <f>'13. Input desinvesteringen'!J252</f>
        <v>4</v>
      </c>
      <c r="U339" s="76">
        <f t="shared" si="13"/>
        <v>1</v>
      </c>
      <c r="V339" s="76">
        <f t="shared" si="14"/>
        <v>0</v>
      </c>
      <c r="X339" s="33" cm="1">
        <f t="array" ref="X339">((X$102=$R339)*((13-$S339)/12)+(X$102&gt;$R339))*$Q339*INDEX($J$13:$O$39,$N339-1999,X$102-2020)</f>
        <v>0</v>
      </c>
      <c r="Y339" s="33" cm="1">
        <f t="array" ref="Y339">((Y$102=$R339)*((13-$S339)/12)+(Y$102&gt;$R339))*$Q339*INDEX($J$13:$O$39,$N339-1999,Y$102-2020)</f>
        <v>0</v>
      </c>
      <c r="Z339" s="33" cm="1">
        <f t="array" ref="Z339">((Z$102=$R339)*((13-$S339)/12)+(Z$102&gt;$R339))*$Q339*INDEX($J$13:$O$39,$N339-1999,Z$102-2020)</f>
        <v>8840.7795793445039</v>
      </c>
      <c r="AA339" s="33" cm="1">
        <f t="array" ref="AA339">((AA$102=$R339)*((13-$S339)/12)+(AA$102&gt;$R339))*$Q339*INDEX($J$13:$O$39,$N339-1999,AA$102-2020)</f>
        <v>12141.337288966452</v>
      </c>
      <c r="AB339" s="33" cm="1">
        <f t="array" ref="AB339">((AB$102=$R339)*((13-$S339)/12)+(AB$102&gt;$R339))*$Q339*INDEX($J$13:$O$39,$N339-1999,AB$102-2020)</f>
        <v>12578.425431369244</v>
      </c>
      <c r="AC339" s="33" cm="1">
        <f t="array" ref="AC339">((AC$102=$R339)*((13-$S339)/12)+(AC$102&gt;$R339))*$Q339*INDEX($J$13:$O$39,$N339-1999,AC$102-2020)</f>
        <v>12930.621343447583</v>
      </c>
    </row>
    <row r="340" spans="2:29" x14ac:dyDescent="0.2">
      <c r="B340" s="32">
        <f>'13. Input desinvesteringen'!B253</f>
        <v>237</v>
      </c>
      <c r="J340" s="32" t="str">
        <f>'13. Input desinvesteringen'!C253</f>
        <v>Transport</v>
      </c>
      <c r="K340" s="32" t="str">
        <f>'13. Input desinvesteringen'!D253</f>
        <v>HS</v>
      </c>
      <c r="L340" s="32" t="str">
        <f>'13. Input desinvesteringen'!E253</f>
        <v>Nee</v>
      </c>
      <c r="M340" s="32" t="str">
        <f>'13. Input desinvesteringen'!F253</f>
        <v>Computerapparatuur</v>
      </c>
      <c r="N340" s="82">
        <f>'13. Input desinvesteringen'!G253</f>
        <v>2018</v>
      </c>
      <c r="O340" s="82"/>
      <c r="P340" s="82"/>
      <c r="Q340" s="32">
        <f>'13. Input desinvesteringen'!H253</f>
        <v>662435</v>
      </c>
      <c r="R340" s="82">
        <f>'13. Input desinvesteringen'!I253</f>
        <v>2023</v>
      </c>
      <c r="S340" s="32">
        <f>'13. Input desinvesteringen'!J253</f>
        <v>12</v>
      </c>
      <c r="U340" s="76">
        <f t="shared" si="13"/>
        <v>1</v>
      </c>
      <c r="V340" s="76">
        <f t="shared" si="14"/>
        <v>0</v>
      </c>
      <c r="X340" s="33" cm="1">
        <f t="array" ref="X340">((X$102=$R340)*((13-$S340)/12)+(X$102&gt;$R340))*$Q340*INDEX($J$13:$O$39,$N340-1999,X$102-2020)</f>
        <v>0</v>
      </c>
      <c r="Y340" s="33" cm="1">
        <f t="array" ref="Y340">((Y$102=$R340)*((13-$S340)/12)+(Y$102&gt;$R340))*$Q340*INDEX($J$13:$O$39,$N340-1999,Y$102-2020)</f>
        <v>0</v>
      </c>
      <c r="Z340" s="33" cm="1">
        <f t="array" ref="Z340">((Z$102=$R340)*((13-$S340)/12)+(Z$102&gt;$R340))*$Q340*INDEX($J$13:$O$39,$N340-1999,Z$102-2020)</f>
        <v>66915.747088687363</v>
      </c>
      <c r="AA340" s="33" cm="1">
        <f t="array" ref="AA340">((AA$102=$R340)*((13-$S340)/12)+(AA$102&gt;$R340))*$Q340*INDEX($J$13:$O$39,$N340-1999,AA$102-2020)</f>
        <v>827078.63401617587</v>
      </c>
      <c r="AB340" s="33" cm="1">
        <f t="array" ref="AB340">((AB$102=$R340)*((13-$S340)/12)+(AB$102&gt;$R340))*$Q340*INDEX($J$13:$O$39,$N340-1999,AB$102-2020)</f>
        <v>856853.46484075824</v>
      </c>
      <c r="AC340" s="33" cm="1">
        <f t="array" ref="AC340">((AC$102=$R340)*((13-$S340)/12)+(AC$102&gt;$R340))*$Q340*INDEX($J$13:$O$39,$N340-1999,AC$102-2020)</f>
        <v>880845.36185629957</v>
      </c>
    </row>
    <row r="341" spans="2:29" x14ac:dyDescent="0.2">
      <c r="B341" s="32">
        <f>'13. Input desinvesteringen'!B254</f>
        <v>238</v>
      </c>
      <c r="J341" s="32" t="str">
        <f>'13. Input desinvesteringen'!C254</f>
        <v>Transport</v>
      </c>
      <c r="K341" s="32" t="str">
        <f>'13. Input desinvesteringen'!D254</f>
        <v>HS</v>
      </c>
      <c r="L341" s="32" t="str">
        <f>'13. Input desinvesteringen'!E254</f>
        <v>Nee</v>
      </c>
      <c r="M341" s="32" t="str">
        <f>'13. Input desinvesteringen'!F254</f>
        <v>Hoogspanningsstations secundair</v>
      </c>
      <c r="N341" s="82">
        <f>'13. Input desinvesteringen'!G254</f>
        <v>2018</v>
      </c>
      <c r="O341" s="82"/>
      <c r="P341" s="82"/>
      <c r="Q341" s="32">
        <f>'13. Input desinvesteringen'!H254</f>
        <v>135691</v>
      </c>
      <c r="R341" s="82">
        <f>'13. Input desinvesteringen'!I254</f>
        <v>2023</v>
      </c>
      <c r="S341" s="32">
        <f>'13. Input desinvesteringen'!J254</f>
        <v>10</v>
      </c>
      <c r="U341" s="76">
        <f t="shared" ref="U341:U404" si="15">(J341="Transport")*(L341="Nee")*(VLOOKUP($M341,$B$64:$H$97,7,FALSE))</f>
        <v>1</v>
      </c>
      <c r="V341" s="76">
        <f t="shared" ref="V341:V404" si="16">1-U341</f>
        <v>0</v>
      </c>
      <c r="X341" s="33" cm="1">
        <f t="array" ref="X341">((X$102=$R341)*((13-$S341)/12)+(X$102&gt;$R341))*$Q341*INDEX($J$13:$O$39,$N341-1999,X$102-2020)</f>
        <v>0</v>
      </c>
      <c r="Y341" s="33" cm="1">
        <f t="array" ref="Y341">((Y$102=$R341)*((13-$S341)/12)+(Y$102&gt;$R341))*$Q341*INDEX($J$13:$O$39,$N341-1999,Y$102-2020)</f>
        <v>0</v>
      </c>
      <c r="Z341" s="33" cm="1">
        <f t="array" ref="Z341">((Z$102=$R341)*((13-$S341)/12)+(Z$102&gt;$R341))*$Q341*INDEX($J$13:$O$39,$N341-1999,Z$102-2020)</f>
        <v>41120.402627628719</v>
      </c>
      <c r="AA341" s="33" cm="1">
        <f t="array" ref="AA341">((AA$102=$R341)*((13-$S341)/12)+(AA$102&gt;$R341))*$Q341*INDEX($J$13:$O$39,$N341-1999,AA$102-2020)</f>
        <v>169416.05882583035</v>
      </c>
      <c r="AB341" s="33" cm="1">
        <f t="array" ref="AB341">((AB$102=$R341)*((13-$S341)/12)+(AB$102&gt;$R341))*$Q341*INDEX($J$13:$O$39,$N341-1999,AB$102-2020)</f>
        <v>175515.03694356023</v>
      </c>
      <c r="AC341" s="33" cm="1">
        <f t="array" ref="AC341">((AC$102=$R341)*((13-$S341)/12)+(AC$102&gt;$R341))*$Q341*INDEX($J$13:$O$39,$N341-1999,AC$102-2020)</f>
        <v>180429.45797797994</v>
      </c>
    </row>
    <row r="342" spans="2:29" x14ac:dyDescent="0.2">
      <c r="B342" s="32">
        <f>'13. Input desinvesteringen'!B255</f>
        <v>239</v>
      </c>
      <c r="J342" s="32" t="str">
        <f>'13. Input desinvesteringen'!C255</f>
        <v>Transport</v>
      </c>
      <c r="K342" s="32" t="str">
        <f>'13. Input desinvesteringen'!D255</f>
        <v>EHS</v>
      </c>
      <c r="L342" s="32" t="str">
        <f>'13. Input desinvesteringen'!E255</f>
        <v>Nee</v>
      </c>
      <c r="M342" s="32" t="str">
        <f>'13. Input desinvesteringen'!F255</f>
        <v>GAW ultimo 2000 EHS OUD</v>
      </c>
      <c r="N342" s="82">
        <f>'13. Input desinvesteringen'!G255</f>
        <v>2000</v>
      </c>
      <c r="O342" s="82"/>
      <c r="P342" s="82"/>
      <c r="Q342" s="32">
        <f>'13. Input desinvesteringen'!H255</f>
        <v>1815375</v>
      </c>
      <c r="R342" s="82">
        <f>'13. Input desinvesteringen'!I255</f>
        <v>2024</v>
      </c>
      <c r="S342" s="32">
        <f>'13. Input desinvesteringen'!J255</f>
        <v>1</v>
      </c>
      <c r="U342" s="76">
        <f t="shared" si="15"/>
        <v>0.97443793491415276</v>
      </c>
      <c r="V342" s="76">
        <f t="shared" si="16"/>
        <v>2.5562065085847241E-2</v>
      </c>
      <c r="X342" s="33" cm="1">
        <f t="array" ref="X342">((X$102=$R342)*((13-$S342)/12)+(X$102&gt;$R342))*$Q342*INDEX($J$13:$O$39,$N342-1999,X$102-2020)</f>
        <v>0</v>
      </c>
      <c r="Y342" s="33" cm="1">
        <f t="array" ref="Y342">((Y$102=$R342)*((13-$S342)/12)+(Y$102&gt;$R342))*$Q342*INDEX($J$13:$O$39,$N342-1999,Y$102-2020)</f>
        <v>0</v>
      </c>
      <c r="Z342" s="33" cm="1">
        <f t="array" ref="Z342">((Z$102=$R342)*((13-$S342)/12)+(Z$102&gt;$R342))*$Q342*INDEX($J$13:$O$39,$N342-1999,Z$102-2020)</f>
        <v>0</v>
      </c>
      <c r="AA342" s="33" cm="1">
        <f t="array" ref="AA342">((AA$102=$R342)*((13-$S342)/12)+(AA$102&gt;$R342))*$Q342*INDEX($J$13:$O$39,$N342-1999,AA$102-2020)</f>
        <v>3173985.2242714195</v>
      </c>
      <c r="AB342" s="33" cm="1">
        <f t="array" ref="AB342">((AB$102=$R342)*((13-$S342)/12)+(AB$102&gt;$R342))*$Q342*INDEX($J$13:$O$39,$N342-1999,AB$102-2020)</f>
        <v>3288248.6923451908</v>
      </c>
      <c r="AC342" s="33" cm="1">
        <f t="array" ref="AC342">((AC$102=$R342)*((13-$S342)/12)+(AC$102&gt;$R342))*$Q342*INDEX($J$13:$O$39,$N342-1999,AC$102-2020)</f>
        <v>3380319.6557308561</v>
      </c>
    </row>
    <row r="343" spans="2:29" x14ac:dyDescent="0.2">
      <c r="B343" s="32">
        <f>'13. Input desinvesteringen'!B256</f>
        <v>240</v>
      </c>
      <c r="J343" s="32" t="str">
        <f>'13. Input desinvesteringen'!C256</f>
        <v>Transport</v>
      </c>
      <c r="K343" s="32" t="str">
        <f>'13. Input desinvesteringen'!D256</f>
        <v>EHS</v>
      </c>
      <c r="L343" s="32" t="str">
        <f>'13. Input desinvesteringen'!E256</f>
        <v>Nee</v>
      </c>
      <c r="M343" s="32" t="str">
        <f>'13. Input desinvesteringen'!F256</f>
        <v>GAW ultimo 2000 EHS OUD</v>
      </c>
      <c r="N343" s="82">
        <f>'13. Input desinvesteringen'!G256</f>
        <v>2000</v>
      </c>
      <c r="O343" s="82"/>
      <c r="P343" s="82"/>
      <c r="Q343" s="32">
        <f>'13. Input desinvesteringen'!H256</f>
        <v>40602</v>
      </c>
      <c r="R343" s="82">
        <f>'13. Input desinvesteringen'!I256</f>
        <v>2024</v>
      </c>
      <c r="S343" s="32">
        <f>'13. Input desinvesteringen'!J256</f>
        <v>2</v>
      </c>
      <c r="U343" s="76">
        <f t="shared" si="15"/>
        <v>0.97443793491415276</v>
      </c>
      <c r="V343" s="76">
        <f t="shared" si="16"/>
        <v>2.5562065085847241E-2</v>
      </c>
      <c r="X343" s="33" cm="1">
        <f t="array" ref="X343">((X$102=$R343)*((13-$S343)/12)+(X$102&gt;$R343))*$Q343*INDEX($J$13:$O$39,$N343-1999,X$102-2020)</f>
        <v>0</v>
      </c>
      <c r="Y343" s="33" cm="1">
        <f t="array" ref="Y343">((Y$102=$R343)*((13-$S343)/12)+(Y$102&gt;$R343))*$Q343*INDEX($J$13:$O$39,$N343-1999,Y$102-2020)</f>
        <v>0</v>
      </c>
      <c r="Z343" s="33" cm="1">
        <f t="array" ref="Z343">((Z$102=$R343)*((13-$S343)/12)+(Z$102&gt;$R343))*$Q343*INDEX($J$13:$O$39,$N343-1999,Z$102-2020)</f>
        <v>0</v>
      </c>
      <c r="AA343" s="33" cm="1">
        <f t="array" ref="AA343">((AA$102=$R343)*((13-$S343)/12)+(AA$102&gt;$R343))*$Q343*INDEX($J$13:$O$39,$N343-1999,AA$102-2020)</f>
        <v>65072.488642592209</v>
      </c>
      <c r="AB343" s="33" cm="1">
        <f t="array" ref="AB343">((AB$102=$R343)*((13-$S343)/12)+(AB$102&gt;$R343))*$Q343*INDEX($J$13:$O$39,$N343-1999,AB$102-2020)</f>
        <v>73543.743527700572</v>
      </c>
      <c r="AC343" s="33" cm="1">
        <f t="array" ref="AC343">((AC$102=$R343)*((13-$S343)/12)+(AC$102&gt;$R343))*$Q343*INDEX($J$13:$O$39,$N343-1999,AC$102-2020)</f>
        <v>75602.968346476191</v>
      </c>
    </row>
    <row r="344" spans="2:29" x14ac:dyDescent="0.2">
      <c r="B344" s="32">
        <f>'13. Input desinvesteringen'!B257</f>
        <v>241</v>
      </c>
      <c r="J344" s="32" t="str">
        <f>'13. Input desinvesteringen'!C257</f>
        <v>Transport</v>
      </c>
      <c r="K344" s="32" t="str">
        <f>'13. Input desinvesteringen'!D257</f>
        <v>EHS</v>
      </c>
      <c r="L344" s="32" t="str">
        <f>'13. Input desinvesteringen'!E257</f>
        <v>Nee</v>
      </c>
      <c r="M344" s="32" t="str">
        <f>'13. Input desinvesteringen'!F257</f>
        <v>GAW ultimo 2000 EHS OUD</v>
      </c>
      <c r="N344" s="82">
        <f>'13. Input desinvesteringen'!G257</f>
        <v>2000</v>
      </c>
      <c r="O344" s="82"/>
      <c r="P344" s="82"/>
      <c r="Q344" s="32">
        <f>'13. Input desinvesteringen'!H257</f>
        <v>109970</v>
      </c>
      <c r="R344" s="82">
        <f>'13. Input desinvesteringen'!I257</f>
        <v>2024</v>
      </c>
      <c r="S344" s="32">
        <f>'13. Input desinvesteringen'!J257</f>
        <v>3</v>
      </c>
      <c r="U344" s="76">
        <f t="shared" si="15"/>
        <v>0.97443793491415276</v>
      </c>
      <c r="V344" s="76">
        <f t="shared" si="16"/>
        <v>2.5562065085847241E-2</v>
      </c>
      <c r="X344" s="33" cm="1">
        <f t="array" ref="X344">((X$102=$R344)*((13-$S344)/12)+(X$102&gt;$R344))*$Q344*INDEX($J$13:$O$39,$N344-1999,X$102-2020)</f>
        <v>0</v>
      </c>
      <c r="Y344" s="33" cm="1">
        <f t="array" ref="Y344">((Y$102=$R344)*((13-$S344)/12)+(Y$102&gt;$R344))*$Q344*INDEX($J$13:$O$39,$N344-1999,Y$102-2020)</f>
        <v>0</v>
      </c>
      <c r="Z344" s="33" cm="1">
        <f t="array" ref="Z344">((Z$102=$R344)*((13-$S344)/12)+(Z$102&gt;$R344))*$Q344*INDEX($J$13:$O$39,$N344-1999,Z$102-2020)</f>
        <v>0</v>
      </c>
      <c r="AA344" s="33" cm="1">
        <f t="array" ref="AA344">((AA$102=$R344)*((13-$S344)/12)+(AA$102&gt;$R344))*$Q344*INDEX($J$13:$O$39,$N344-1999,AA$102-2020)</f>
        <v>160225.46081531732</v>
      </c>
      <c r="AB344" s="33" cm="1">
        <f t="array" ref="AB344">((AB$102=$R344)*((13-$S344)/12)+(AB$102&gt;$R344))*$Q344*INDEX($J$13:$O$39,$N344-1999,AB$102-2020)</f>
        <v>199192.29288560248</v>
      </c>
      <c r="AC344" s="33" cm="1">
        <f t="array" ref="AC344">((AC$102=$R344)*((13-$S344)/12)+(AC$102&gt;$R344))*$Q344*INDEX($J$13:$O$39,$N344-1999,AC$102-2020)</f>
        <v>204769.67708639937</v>
      </c>
    </row>
    <row r="345" spans="2:29" x14ac:dyDescent="0.2">
      <c r="B345" s="32">
        <f>'13. Input desinvesteringen'!B258</f>
        <v>242</v>
      </c>
      <c r="J345" s="32" t="str">
        <f>'13. Input desinvesteringen'!C258</f>
        <v>Transport</v>
      </c>
      <c r="K345" s="32" t="str">
        <f>'13. Input desinvesteringen'!D258</f>
        <v>EHS</v>
      </c>
      <c r="L345" s="32" t="str">
        <f>'13. Input desinvesteringen'!E258</f>
        <v>Nee</v>
      </c>
      <c r="M345" s="32" t="str">
        <f>'13. Input desinvesteringen'!F258</f>
        <v>GAW ultimo 2000 EHS OUD</v>
      </c>
      <c r="N345" s="82">
        <f>'13. Input desinvesteringen'!G258</f>
        <v>2000</v>
      </c>
      <c r="O345" s="82"/>
      <c r="P345" s="82"/>
      <c r="Q345" s="32">
        <f>'13. Input desinvesteringen'!H258</f>
        <v>486399</v>
      </c>
      <c r="R345" s="82">
        <f>'13. Input desinvesteringen'!I258</f>
        <v>2024</v>
      </c>
      <c r="S345" s="32">
        <f>'13. Input desinvesteringen'!J258</f>
        <v>4</v>
      </c>
      <c r="U345" s="76">
        <f t="shared" si="15"/>
        <v>0.97443793491415276</v>
      </c>
      <c r="V345" s="76">
        <f t="shared" si="16"/>
        <v>2.5562065085847241E-2</v>
      </c>
      <c r="X345" s="33" cm="1">
        <f t="array" ref="X345">((X$102=$R345)*((13-$S345)/12)+(X$102&gt;$R345))*$Q345*INDEX($J$13:$O$39,$N345-1999,X$102-2020)</f>
        <v>0</v>
      </c>
      <c r="Y345" s="33" cm="1">
        <f t="array" ref="Y345">((Y$102=$R345)*((13-$S345)/12)+(Y$102&gt;$R345))*$Q345*INDEX($J$13:$O$39,$N345-1999,Y$102-2020)</f>
        <v>0</v>
      </c>
      <c r="Z345" s="33" cm="1">
        <f t="array" ref="Z345">((Z$102=$R345)*((13-$S345)/12)+(Z$102&gt;$R345))*$Q345*INDEX($J$13:$O$39,$N345-1999,Z$102-2020)</f>
        <v>0</v>
      </c>
      <c r="AA345" s="33" cm="1">
        <f t="array" ref="AA345">((AA$102=$R345)*((13-$S345)/12)+(AA$102&gt;$R345))*$Q345*INDEX($J$13:$O$39,$N345-1999,AA$102-2020)</f>
        <v>637811.70795306517</v>
      </c>
      <c r="AB345" s="33" cm="1">
        <f t="array" ref="AB345">((AB$102=$R345)*((13-$S345)/12)+(AB$102&gt;$R345))*$Q345*INDEX($J$13:$O$39,$N345-1999,AB$102-2020)</f>
        <v>881030.57258583407</v>
      </c>
      <c r="AC345" s="33" cm="1">
        <f t="array" ref="AC345">((AC$102=$R345)*((13-$S345)/12)+(AC$102&gt;$R345))*$Q345*INDEX($J$13:$O$39,$N345-1999,AC$102-2020)</f>
        <v>905699.42861823738</v>
      </c>
    </row>
    <row r="346" spans="2:29" x14ac:dyDescent="0.2">
      <c r="B346" s="32">
        <f>'13. Input desinvesteringen'!B259</f>
        <v>243</v>
      </c>
      <c r="J346" s="32" t="str">
        <f>'13. Input desinvesteringen'!C259</f>
        <v>Transport</v>
      </c>
      <c r="K346" s="32" t="str">
        <f>'13. Input desinvesteringen'!D259</f>
        <v>EHS</v>
      </c>
      <c r="L346" s="32" t="str">
        <f>'13. Input desinvesteringen'!E259</f>
        <v>Nee</v>
      </c>
      <c r="M346" s="32" t="str">
        <f>'13. Input desinvesteringen'!F259</f>
        <v>GAW ultimo 2000 EHS OUD</v>
      </c>
      <c r="N346" s="82">
        <f>'13. Input desinvesteringen'!G259</f>
        <v>2000</v>
      </c>
      <c r="O346" s="82"/>
      <c r="P346" s="82"/>
      <c r="Q346" s="32">
        <f>'13. Input desinvesteringen'!H259</f>
        <v>407978</v>
      </c>
      <c r="R346" s="82">
        <f>'13. Input desinvesteringen'!I259</f>
        <v>2024</v>
      </c>
      <c r="S346" s="32">
        <f>'13. Input desinvesteringen'!J259</f>
        <v>5</v>
      </c>
      <c r="U346" s="76">
        <f t="shared" si="15"/>
        <v>0.97443793491415276</v>
      </c>
      <c r="V346" s="76">
        <f t="shared" si="16"/>
        <v>2.5562065085847241E-2</v>
      </c>
      <c r="X346" s="33" cm="1">
        <f t="array" ref="X346">((X$102=$R346)*((13-$S346)/12)+(X$102&gt;$R346))*$Q346*INDEX($J$13:$O$39,$N346-1999,X$102-2020)</f>
        <v>0</v>
      </c>
      <c r="Y346" s="33" cm="1">
        <f t="array" ref="Y346">((Y$102=$R346)*((13-$S346)/12)+(Y$102&gt;$R346))*$Q346*INDEX($J$13:$O$39,$N346-1999,Y$102-2020)</f>
        <v>0</v>
      </c>
      <c r="Z346" s="33" cm="1">
        <f t="array" ref="Z346">((Z$102=$R346)*((13-$S346)/12)+(Z$102&gt;$R346))*$Q346*INDEX($J$13:$O$39,$N346-1999,Z$102-2020)</f>
        <v>0</v>
      </c>
      <c r="AA346" s="33" cm="1">
        <f t="array" ref="AA346">((AA$102=$R346)*((13-$S346)/12)+(AA$102&gt;$R346))*$Q346*INDEX($J$13:$O$39,$N346-1999,AA$102-2020)</f>
        <v>475536.69584440504</v>
      </c>
      <c r="AB346" s="33" cm="1">
        <f t="array" ref="AB346">((AB$102=$R346)*((13-$S346)/12)+(AB$102&gt;$R346))*$Q346*INDEX($J$13:$O$39,$N346-1999,AB$102-2020)</f>
        <v>738984.02534220542</v>
      </c>
      <c r="AC346" s="33" cm="1">
        <f t="array" ref="AC346">((AC$102=$R346)*((13-$S346)/12)+(AC$102&gt;$R346))*$Q346*INDEX($J$13:$O$39,$N346-1999,AC$102-2020)</f>
        <v>759675.57805178722</v>
      </c>
    </row>
    <row r="347" spans="2:29" x14ac:dyDescent="0.2">
      <c r="B347" s="32">
        <f>'13. Input desinvesteringen'!B260</f>
        <v>244</v>
      </c>
      <c r="J347" s="32" t="str">
        <f>'13. Input desinvesteringen'!C260</f>
        <v>Transport</v>
      </c>
      <c r="K347" s="32" t="str">
        <f>'13. Input desinvesteringen'!D260</f>
        <v>EHS</v>
      </c>
      <c r="L347" s="32" t="str">
        <f>'13. Input desinvesteringen'!E260</f>
        <v>Nee</v>
      </c>
      <c r="M347" s="32" t="str">
        <f>'13. Input desinvesteringen'!F260</f>
        <v>GAW ultimo 2000 EHS OUD</v>
      </c>
      <c r="N347" s="82">
        <f>'13. Input desinvesteringen'!G260</f>
        <v>2000</v>
      </c>
      <c r="O347" s="82"/>
      <c r="P347" s="82"/>
      <c r="Q347" s="32">
        <f>'13. Input desinvesteringen'!H260</f>
        <v>3140326</v>
      </c>
      <c r="R347" s="82">
        <f>'13. Input desinvesteringen'!I260</f>
        <v>2024</v>
      </c>
      <c r="S347" s="32">
        <f>'13. Input desinvesteringen'!J260</f>
        <v>6</v>
      </c>
      <c r="U347" s="76">
        <f t="shared" si="15"/>
        <v>0.97443793491415276</v>
      </c>
      <c r="V347" s="76">
        <f t="shared" si="16"/>
        <v>2.5562065085847241E-2</v>
      </c>
      <c r="X347" s="33" cm="1">
        <f t="array" ref="X347">((X$102=$R347)*((13-$S347)/12)+(X$102&gt;$R347))*$Q347*INDEX($J$13:$O$39,$N347-1999,X$102-2020)</f>
        <v>0</v>
      </c>
      <c r="Y347" s="33" cm="1">
        <f t="array" ref="Y347">((Y$102=$R347)*((13-$S347)/12)+(Y$102&gt;$R347))*$Q347*INDEX($J$13:$O$39,$N347-1999,Y$102-2020)</f>
        <v>0</v>
      </c>
      <c r="Z347" s="33" cm="1">
        <f t="array" ref="Z347">((Z$102=$R347)*((13-$S347)/12)+(Z$102&gt;$R347))*$Q347*INDEX($J$13:$O$39,$N347-1999,Z$102-2020)</f>
        <v>0</v>
      </c>
      <c r="AA347" s="33" cm="1">
        <f t="array" ref="AA347">((AA$102=$R347)*((13-$S347)/12)+(AA$102&gt;$R347))*$Q347*INDEX($J$13:$O$39,$N347-1999,AA$102-2020)</f>
        <v>3202801.9125418346</v>
      </c>
      <c r="AB347" s="33" cm="1">
        <f t="array" ref="AB347">((AB$102=$R347)*((13-$S347)/12)+(AB$102&gt;$R347))*$Q347*INDEX($J$13:$O$39,$N347-1999,AB$102-2020)</f>
        <v>5688176.1966742976</v>
      </c>
      <c r="AC347" s="33" cm="1">
        <f t="array" ref="AC347">((AC$102=$R347)*((13-$S347)/12)+(AC$102&gt;$R347))*$Q347*INDEX($J$13:$O$39,$N347-1999,AC$102-2020)</f>
        <v>5847445.1301811785</v>
      </c>
    </row>
    <row r="348" spans="2:29" x14ac:dyDescent="0.2">
      <c r="B348" s="32">
        <f>'13. Input desinvesteringen'!B261</f>
        <v>245</v>
      </c>
      <c r="J348" s="32" t="str">
        <f>'13. Input desinvesteringen'!C261</f>
        <v>Transport</v>
      </c>
      <c r="K348" s="32" t="str">
        <f>'13. Input desinvesteringen'!D261</f>
        <v>EHS</v>
      </c>
      <c r="L348" s="32" t="str">
        <f>'13. Input desinvesteringen'!E261</f>
        <v>Nee</v>
      </c>
      <c r="M348" s="32" t="str">
        <f>'13. Input desinvesteringen'!F261</f>
        <v>GAW ultimo 2000 EHS OUD</v>
      </c>
      <c r="N348" s="82">
        <f>'13. Input desinvesteringen'!G261</f>
        <v>2000</v>
      </c>
      <c r="O348" s="82"/>
      <c r="P348" s="82"/>
      <c r="Q348" s="32">
        <f>'13. Input desinvesteringen'!H261</f>
        <v>12635295</v>
      </c>
      <c r="R348" s="82">
        <f>'13. Input desinvesteringen'!I261</f>
        <v>2024</v>
      </c>
      <c r="S348" s="32">
        <f>'13. Input desinvesteringen'!J261</f>
        <v>7</v>
      </c>
      <c r="U348" s="76">
        <f t="shared" si="15"/>
        <v>0.97443793491415276</v>
      </c>
      <c r="V348" s="76">
        <f t="shared" si="16"/>
        <v>2.5562065085847241E-2</v>
      </c>
      <c r="X348" s="33" cm="1">
        <f t="array" ref="X348">((X$102=$R348)*((13-$S348)/12)+(X$102&gt;$R348))*$Q348*INDEX($J$13:$O$39,$N348-1999,X$102-2020)</f>
        <v>0</v>
      </c>
      <c r="Y348" s="33" cm="1">
        <f t="array" ref="Y348">((Y$102=$R348)*((13-$S348)/12)+(Y$102&gt;$R348))*$Q348*INDEX($J$13:$O$39,$N348-1999,Y$102-2020)</f>
        <v>0</v>
      </c>
      <c r="Z348" s="33" cm="1">
        <f t="array" ref="Z348">((Z$102=$R348)*((13-$S348)/12)+(Z$102&gt;$R348))*$Q348*INDEX($J$13:$O$39,$N348-1999,Z$102-2020)</f>
        <v>0</v>
      </c>
      <c r="AA348" s="33" cm="1">
        <f t="array" ref="AA348">((AA$102=$R348)*((13-$S348)/12)+(AA$102&gt;$R348))*$Q348*INDEX($J$13:$O$39,$N348-1999,AA$102-2020)</f>
        <v>11045717.726175183</v>
      </c>
      <c r="AB348" s="33" cm="1">
        <f t="array" ref="AB348">((AB$102=$R348)*((13-$S348)/12)+(AB$102&gt;$R348))*$Q348*INDEX($J$13:$O$39,$N348-1999,AB$102-2020)</f>
        <v>22886727.128634982</v>
      </c>
      <c r="AC348" s="33" cm="1">
        <f t="array" ref="AC348">((AC$102=$R348)*((13-$S348)/12)+(AC$102&gt;$R348))*$Q348*INDEX($J$13:$O$39,$N348-1999,AC$102-2020)</f>
        <v>23527555.488236759</v>
      </c>
    </row>
    <row r="349" spans="2:29" x14ac:dyDescent="0.2">
      <c r="B349" s="32">
        <f>'13. Input desinvesteringen'!B262</f>
        <v>246</v>
      </c>
      <c r="J349" s="32" t="str">
        <f>'13. Input desinvesteringen'!C262</f>
        <v>Transport</v>
      </c>
      <c r="K349" s="32" t="str">
        <f>'13. Input desinvesteringen'!D262</f>
        <v>EHS</v>
      </c>
      <c r="L349" s="32" t="str">
        <f>'13. Input desinvesteringen'!E262</f>
        <v>Nee</v>
      </c>
      <c r="M349" s="32" t="str">
        <f>'13. Input desinvesteringen'!F262</f>
        <v>GAW ultimo 2000 EHS OUD</v>
      </c>
      <c r="N349" s="82">
        <f>'13. Input desinvesteringen'!G262</f>
        <v>2000</v>
      </c>
      <c r="O349" s="82"/>
      <c r="P349" s="82"/>
      <c r="Q349" s="32">
        <f>'13. Input desinvesteringen'!H262</f>
        <v>1324804</v>
      </c>
      <c r="R349" s="82">
        <f>'13. Input desinvesteringen'!I262</f>
        <v>2024</v>
      </c>
      <c r="S349" s="32">
        <f>'13. Input desinvesteringen'!J262</f>
        <v>8</v>
      </c>
      <c r="U349" s="76">
        <f t="shared" si="15"/>
        <v>0.97443793491415276</v>
      </c>
      <c r="V349" s="76">
        <f t="shared" si="16"/>
        <v>2.5562065085847241E-2</v>
      </c>
      <c r="X349" s="33" cm="1">
        <f t="array" ref="X349">((X$102=$R349)*((13-$S349)/12)+(X$102&gt;$R349))*$Q349*INDEX($J$13:$O$39,$N349-1999,X$102-2020)</f>
        <v>0</v>
      </c>
      <c r="Y349" s="33" cm="1">
        <f t="array" ref="Y349">((Y$102=$R349)*((13-$S349)/12)+(Y$102&gt;$R349))*$Q349*INDEX($J$13:$O$39,$N349-1999,Y$102-2020)</f>
        <v>0</v>
      </c>
      <c r="Z349" s="33" cm="1">
        <f t="array" ref="Z349">((Z$102=$R349)*((13-$S349)/12)+(Z$102&gt;$R349))*$Q349*INDEX($J$13:$O$39,$N349-1999,Z$102-2020)</f>
        <v>0</v>
      </c>
      <c r="AA349" s="33" cm="1">
        <f t="array" ref="AA349">((AA$102=$R349)*((13-$S349)/12)+(AA$102&gt;$R349))*$Q349*INDEX($J$13:$O$39,$N349-1999,AA$102-2020)</f>
        <v>965114.71942336857</v>
      </c>
      <c r="AB349" s="33" cm="1">
        <f t="array" ref="AB349">((AB$102=$R349)*((13-$S349)/12)+(AB$102&gt;$R349))*$Q349*INDEX($J$13:$O$39,$N349-1999,AB$102-2020)</f>
        <v>2399661.238374263</v>
      </c>
      <c r="AC349" s="33" cm="1">
        <f t="array" ref="AC349">((AC$102=$R349)*((13-$S349)/12)+(AC$102&gt;$R349))*$Q349*INDEX($J$13:$O$39,$N349-1999,AC$102-2020)</f>
        <v>2466851.7530487427</v>
      </c>
    </row>
    <row r="350" spans="2:29" x14ac:dyDescent="0.2">
      <c r="B350" s="32">
        <f>'13. Input desinvesteringen'!B263</f>
        <v>247</v>
      </c>
      <c r="J350" s="32" t="str">
        <f>'13. Input desinvesteringen'!C263</f>
        <v>Transport</v>
      </c>
      <c r="K350" s="32" t="str">
        <f>'13. Input desinvesteringen'!D263</f>
        <v>EHS</v>
      </c>
      <c r="L350" s="32" t="str">
        <f>'13. Input desinvesteringen'!E263</f>
        <v>Nee</v>
      </c>
      <c r="M350" s="32" t="str">
        <f>'13. Input desinvesteringen'!F263</f>
        <v>GAW ultimo 2000 EHS OUD</v>
      </c>
      <c r="N350" s="82">
        <f>'13. Input desinvesteringen'!G263</f>
        <v>2000</v>
      </c>
      <c r="O350" s="82"/>
      <c r="P350" s="82"/>
      <c r="Q350" s="32">
        <f>'13. Input desinvesteringen'!H263</f>
        <v>112900</v>
      </c>
      <c r="R350" s="82">
        <f>'13. Input desinvesteringen'!I263</f>
        <v>2024</v>
      </c>
      <c r="S350" s="32">
        <f>'13. Input desinvesteringen'!J263</f>
        <v>9</v>
      </c>
      <c r="U350" s="76">
        <f t="shared" si="15"/>
        <v>0.97443793491415276</v>
      </c>
      <c r="V350" s="76">
        <f t="shared" si="16"/>
        <v>2.5562065085847241E-2</v>
      </c>
      <c r="X350" s="33" cm="1">
        <f t="array" ref="X350">((X$102=$R350)*((13-$S350)/12)+(X$102&gt;$R350))*$Q350*INDEX($J$13:$O$39,$N350-1999,X$102-2020)</f>
        <v>0</v>
      </c>
      <c r="Y350" s="33" cm="1">
        <f t="array" ref="Y350">((Y$102=$R350)*((13-$S350)/12)+(Y$102&gt;$R350))*$Q350*INDEX($J$13:$O$39,$N350-1999,Y$102-2020)</f>
        <v>0</v>
      </c>
      <c r="Z350" s="33" cm="1">
        <f t="array" ref="Z350">((Z$102=$R350)*((13-$S350)/12)+(Z$102&gt;$R350))*$Q350*INDEX($J$13:$O$39,$N350-1999,Z$102-2020)</f>
        <v>0</v>
      </c>
      <c r="AA350" s="33" cm="1">
        <f t="array" ref="AA350">((AA$102=$R350)*((13-$S350)/12)+(AA$102&gt;$R350))*$Q350*INDEX($J$13:$O$39,$N350-1999,AA$102-2020)</f>
        <v>65797.779489130946</v>
      </c>
      <c r="AB350" s="33" cm="1">
        <f t="array" ref="AB350">((AB$102=$R350)*((13-$S350)/12)+(AB$102&gt;$R350))*$Q350*INDEX($J$13:$O$39,$N350-1999,AB$102-2020)</f>
        <v>204499.49865221899</v>
      </c>
      <c r="AC350" s="33" cm="1">
        <f t="array" ref="AC350">((AC$102=$R350)*((13-$S350)/12)+(AC$102&gt;$R350))*$Q350*INDEX($J$13:$O$39,$N350-1999,AC$102-2020)</f>
        <v>210225.48461448113</v>
      </c>
    </row>
    <row r="351" spans="2:29" x14ac:dyDescent="0.2">
      <c r="B351" s="32">
        <f>'13. Input desinvesteringen'!B264</f>
        <v>248</v>
      </c>
      <c r="J351" s="32" t="str">
        <f>'13. Input desinvesteringen'!C264</f>
        <v>Transport</v>
      </c>
      <c r="K351" s="32" t="str">
        <f>'13. Input desinvesteringen'!D264</f>
        <v>EHS</v>
      </c>
      <c r="L351" s="32" t="str">
        <f>'13. Input desinvesteringen'!E264</f>
        <v>Nee</v>
      </c>
      <c r="M351" s="32" t="str">
        <f>'13. Input desinvesteringen'!F264</f>
        <v>GAW ultimo 2000 EHS OUD</v>
      </c>
      <c r="N351" s="82">
        <f>'13. Input desinvesteringen'!G264</f>
        <v>2000</v>
      </c>
      <c r="O351" s="82"/>
      <c r="P351" s="82"/>
      <c r="Q351" s="32">
        <f>'13. Input desinvesteringen'!H264</f>
        <v>136839</v>
      </c>
      <c r="R351" s="82">
        <f>'13. Input desinvesteringen'!I264</f>
        <v>2024</v>
      </c>
      <c r="S351" s="32">
        <f>'13. Input desinvesteringen'!J264</f>
        <v>10</v>
      </c>
      <c r="U351" s="76">
        <f t="shared" si="15"/>
        <v>0.97443793491415276</v>
      </c>
      <c r="V351" s="76">
        <f t="shared" si="16"/>
        <v>2.5562065085847241E-2</v>
      </c>
      <c r="X351" s="33" cm="1">
        <f t="array" ref="X351">((X$102=$R351)*((13-$S351)/12)+(X$102&gt;$R351))*$Q351*INDEX($J$13:$O$39,$N351-1999,X$102-2020)</f>
        <v>0</v>
      </c>
      <c r="Y351" s="33" cm="1">
        <f t="array" ref="Y351">((Y$102=$R351)*((13-$S351)/12)+(Y$102&gt;$R351))*$Q351*INDEX($J$13:$O$39,$N351-1999,Y$102-2020)</f>
        <v>0</v>
      </c>
      <c r="Z351" s="33" cm="1">
        <f t="array" ref="Z351">((Z$102=$R351)*((13-$S351)/12)+(Z$102&gt;$R351))*$Q351*INDEX($J$13:$O$39,$N351-1999,Z$102-2020)</f>
        <v>0</v>
      </c>
      <c r="AA351" s="33" cm="1">
        <f t="array" ref="AA351">((AA$102=$R351)*((13-$S351)/12)+(AA$102&gt;$R351))*$Q351*INDEX($J$13:$O$39,$N351-1999,AA$102-2020)</f>
        <v>59812.017366119508</v>
      </c>
      <c r="AB351" s="33" cm="1">
        <f t="array" ref="AB351">((AB$102=$R351)*((13-$S351)/12)+(AB$102&gt;$R351))*$Q351*INDEX($J$13:$O$39,$N351-1999,AB$102-2020)</f>
        <v>247860.99996519924</v>
      </c>
      <c r="AC351" s="33" cm="1">
        <f t="array" ref="AC351">((AC$102=$R351)*((13-$S351)/12)+(AC$102&gt;$R351))*$Q351*INDEX($J$13:$O$39,$N351-1999,AC$102-2020)</f>
        <v>254801.10796422482</v>
      </c>
    </row>
    <row r="352" spans="2:29" x14ac:dyDescent="0.2">
      <c r="B352" s="32">
        <f>'13. Input desinvesteringen'!B265</f>
        <v>249</v>
      </c>
      <c r="J352" s="32" t="str">
        <f>'13. Input desinvesteringen'!C265</f>
        <v>Transport</v>
      </c>
      <c r="K352" s="32" t="str">
        <f>'13. Input desinvesteringen'!D265</f>
        <v>EHS</v>
      </c>
      <c r="L352" s="32" t="str">
        <f>'13. Input desinvesteringen'!E265</f>
        <v>Nee</v>
      </c>
      <c r="M352" s="32" t="str">
        <f>'13. Input desinvesteringen'!F265</f>
        <v>GAW ultimo 2000 EHS OUD</v>
      </c>
      <c r="N352" s="82">
        <f>'13. Input desinvesteringen'!G265</f>
        <v>2000</v>
      </c>
      <c r="O352" s="82"/>
      <c r="P352" s="82"/>
      <c r="Q352" s="32">
        <f>'13. Input desinvesteringen'!H265</f>
        <v>3177544</v>
      </c>
      <c r="R352" s="82">
        <f>'13. Input desinvesteringen'!I265</f>
        <v>2024</v>
      </c>
      <c r="S352" s="32">
        <f>'13. Input desinvesteringen'!J265</f>
        <v>11</v>
      </c>
      <c r="U352" s="76">
        <f t="shared" si="15"/>
        <v>0.97443793491415276</v>
      </c>
      <c r="V352" s="76">
        <f t="shared" si="16"/>
        <v>2.5562065085847241E-2</v>
      </c>
      <c r="X352" s="33" cm="1">
        <f t="array" ref="X352">((X$102=$R352)*((13-$S352)/12)+(X$102&gt;$R352))*$Q352*INDEX($J$13:$O$39,$N352-1999,X$102-2020)</f>
        <v>0</v>
      </c>
      <c r="Y352" s="33" cm="1">
        <f t="array" ref="Y352">((Y$102=$R352)*((13-$S352)/12)+(Y$102&gt;$R352))*$Q352*INDEX($J$13:$O$39,$N352-1999,Y$102-2020)</f>
        <v>0</v>
      </c>
      <c r="Z352" s="33" cm="1">
        <f t="array" ref="Z352">((Z$102=$R352)*((13-$S352)/12)+(Z$102&gt;$R352))*$Q352*INDEX($J$13:$O$39,$N352-1999,Z$102-2020)</f>
        <v>0</v>
      </c>
      <c r="AA352" s="33" cm="1">
        <f t="array" ref="AA352">((AA$102=$R352)*((13-$S352)/12)+(AA$102&gt;$R352))*$Q352*INDEX($J$13:$O$39,$N352-1999,AA$102-2020)</f>
        <v>925931.52980075777</v>
      </c>
      <c r="AB352" s="33" cm="1">
        <f t="array" ref="AB352">((AB$102=$R352)*((13-$S352)/12)+(AB$102&gt;$R352))*$Q352*INDEX($J$13:$O$39,$N352-1999,AB$102-2020)</f>
        <v>5755590.3892415101</v>
      </c>
      <c r="AC352" s="33" cm="1">
        <f t="array" ref="AC352">((AC$102=$R352)*((13-$S352)/12)+(AC$102&gt;$R352))*$Q352*INDEX($J$13:$O$39,$N352-1999,AC$102-2020)</f>
        <v>5916746.9201402729</v>
      </c>
    </row>
    <row r="353" spans="2:29" x14ac:dyDescent="0.2">
      <c r="B353" s="32">
        <f>'13. Input desinvesteringen'!B266</f>
        <v>250</v>
      </c>
      <c r="J353" s="32" t="str">
        <f>'13. Input desinvesteringen'!C266</f>
        <v>Transport</v>
      </c>
      <c r="K353" s="32" t="str">
        <f>'13. Input desinvesteringen'!D266</f>
        <v>EHS</v>
      </c>
      <c r="L353" s="32" t="str">
        <f>'13. Input desinvesteringen'!E266</f>
        <v>Nee</v>
      </c>
      <c r="M353" s="32" t="str">
        <f>'13. Input desinvesteringen'!F266</f>
        <v>GAW ultimo 2000 EHS OUD</v>
      </c>
      <c r="N353" s="82">
        <f>'13. Input desinvesteringen'!G266</f>
        <v>2000</v>
      </c>
      <c r="O353" s="82"/>
      <c r="P353" s="82"/>
      <c r="Q353" s="32">
        <f>'13. Input desinvesteringen'!H266</f>
        <v>375752</v>
      </c>
      <c r="R353" s="82">
        <f>'13. Input desinvesteringen'!I266</f>
        <v>2024</v>
      </c>
      <c r="S353" s="32">
        <f>'13. Input desinvesteringen'!J266</f>
        <v>12</v>
      </c>
      <c r="U353" s="76">
        <f t="shared" si="15"/>
        <v>0.97443793491415276</v>
      </c>
      <c r="V353" s="76">
        <f t="shared" si="16"/>
        <v>2.5562065085847241E-2</v>
      </c>
      <c r="X353" s="33" cm="1">
        <f t="array" ref="X353">((X$102=$R353)*((13-$S353)/12)+(X$102&gt;$R353))*$Q353*INDEX($J$13:$O$39,$N353-1999,X$102-2020)</f>
        <v>0</v>
      </c>
      <c r="Y353" s="33" cm="1">
        <f t="array" ref="Y353">((Y$102=$R353)*((13-$S353)/12)+(Y$102&gt;$R353))*$Q353*INDEX($J$13:$O$39,$N353-1999,Y$102-2020)</f>
        <v>0</v>
      </c>
      <c r="Z353" s="33" cm="1">
        <f t="array" ref="Z353">((Z$102=$R353)*((13-$S353)/12)+(Z$102&gt;$R353))*$Q353*INDEX($J$13:$O$39,$N353-1999,Z$102-2020)</f>
        <v>0</v>
      </c>
      <c r="AA353" s="33" cm="1">
        <f t="array" ref="AA353">((AA$102=$R353)*((13-$S353)/12)+(AA$102&gt;$R353))*$Q353*INDEX($J$13:$O$39,$N353-1999,AA$102-2020)</f>
        <v>54746.78307927354</v>
      </c>
      <c r="AB353" s="33" cm="1">
        <f t="array" ref="AB353">((AB$102=$R353)*((13-$S353)/12)+(AB$102&gt;$R353))*$Q353*INDEX($J$13:$O$39,$N353-1999,AB$102-2020)</f>
        <v>680612.00724152871</v>
      </c>
      <c r="AC353" s="33" cm="1">
        <f t="array" ref="AC353">((AC$102=$R353)*((13-$S353)/12)+(AC$102&gt;$R353))*$Q353*INDEX($J$13:$O$39,$N353-1999,AC$102-2020)</f>
        <v>699669.14344429155</v>
      </c>
    </row>
    <row r="354" spans="2:29" x14ac:dyDescent="0.2">
      <c r="B354" s="32">
        <f>'13. Input desinvesteringen'!B267</f>
        <v>251</v>
      </c>
      <c r="J354" s="32" t="str">
        <f>'13. Input desinvesteringen'!C267</f>
        <v>Transport</v>
      </c>
      <c r="K354" s="32" t="str">
        <f>'13. Input desinvesteringen'!D267</f>
        <v>EHS</v>
      </c>
      <c r="L354" s="32" t="str">
        <f>'13. Input desinvesteringen'!E267</f>
        <v>Nee</v>
      </c>
      <c r="M354" s="32" t="str">
        <f>'13. Input desinvesteringen'!F267</f>
        <v>GAW ultimo 2000 EHS OUD</v>
      </c>
      <c r="N354" s="82">
        <f>'13. Input desinvesteringen'!G267</f>
        <v>2000</v>
      </c>
      <c r="O354" s="82"/>
      <c r="P354" s="82"/>
      <c r="Q354" s="32">
        <f>'13. Input desinvesteringen'!H267</f>
        <v>73254</v>
      </c>
      <c r="R354" s="82">
        <f>'13. Input desinvesteringen'!I267</f>
        <v>2024</v>
      </c>
      <c r="S354" s="32">
        <f>'13. Input desinvesteringen'!J267</f>
        <v>13</v>
      </c>
      <c r="U354" s="76">
        <f t="shared" si="15"/>
        <v>0.97443793491415276</v>
      </c>
      <c r="V354" s="76">
        <f t="shared" si="16"/>
        <v>2.5562065085847241E-2</v>
      </c>
      <c r="X354" s="33" cm="1">
        <f t="array" ref="X354">((X$102=$R354)*((13-$S354)/12)+(X$102&gt;$R354))*$Q354*INDEX($J$13:$O$39,$N354-1999,X$102-2020)</f>
        <v>0</v>
      </c>
      <c r="Y354" s="33" cm="1">
        <f t="array" ref="Y354">((Y$102=$R354)*((13-$S354)/12)+(Y$102&gt;$R354))*$Q354*INDEX($J$13:$O$39,$N354-1999,Y$102-2020)</f>
        <v>0</v>
      </c>
      <c r="Z354" s="33" cm="1">
        <f t="array" ref="Z354">((Z$102=$R354)*((13-$S354)/12)+(Z$102&gt;$R354))*$Q354*INDEX($J$13:$O$39,$N354-1999,Z$102-2020)</f>
        <v>0</v>
      </c>
      <c r="AA354" s="33" cm="1">
        <f t="array" ref="AA354">((AA$102=$R354)*((13-$S354)/12)+(AA$102&gt;$R354))*$Q354*INDEX($J$13:$O$39,$N354-1999,AA$102-2020)</f>
        <v>0</v>
      </c>
      <c r="AB354" s="33" cm="1">
        <f t="array" ref="AB354">((AB$102=$R354)*((13-$S354)/12)+(AB$102&gt;$R354))*$Q354*INDEX($J$13:$O$39,$N354-1999,AB$102-2020)</f>
        <v>132687.38949751682</v>
      </c>
      <c r="AC354" s="33" cm="1">
        <f t="array" ref="AC354">((AC$102=$R354)*((13-$S354)/12)+(AC$102&gt;$R354))*$Q354*INDEX($J$13:$O$39,$N354-1999,AC$102-2020)</f>
        <v>136402.63640344731</v>
      </c>
    </row>
    <row r="355" spans="2:29" x14ac:dyDescent="0.2">
      <c r="B355" s="32">
        <f>'13. Input desinvesteringen'!B268</f>
        <v>252</v>
      </c>
      <c r="J355" s="32" t="str">
        <f>'13. Input desinvesteringen'!C268</f>
        <v>Transport</v>
      </c>
      <c r="K355" s="32" t="str">
        <f>'13. Input desinvesteringen'!D268</f>
        <v>HS</v>
      </c>
      <c r="L355" s="32" t="str">
        <f>'13. Input desinvesteringen'!E268</f>
        <v>Nee</v>
      </c>
      <c r="M355" s="32" t="str">
        <f>'13. Input desinvesteringen'!F268</f>
        <v>GAW ultimo 2000 Enexis</v>
      </c>
      <c r="N355" s="82">
        <f>'13. Input desinvesteringen'!G268</f>
        <v>2008</v>
      </c>
      <c r="O355" s="82"/>
      <c r="P355" s="82"/>
      <c r="Q355" s="32">
        <f>'13. Input desinvesteringen'!H268</f>
        <v>338153</v>
      </c>
      <c r="R355" s="82">
        <f>'13. Input desinvesteringen'!I268</f>
        <v>2024</v>
      </c>
      <c r="S355" s="32">
        <f>'13. Input desinvesteringen'!J268</f>
        <v>1</v>
      </c>
      <c r="U355" s="76">
        <f t="shared" si="15"/>
        <v>0.9501178320392909</v>
      </c>
      <c r="V355" s="76">
        <f t="shared" si="16"/>
        <v>4.9882167960709101E-2</v>
      </c>
      <c r="X355" s="33" cm="1">
        <f t="array" ref="X355">((X$102=$R355)*((13-$S355)/12)+(X$102&gt;$R355))*$Q355*INDEX($J$13:$O$39,$N355-1999,X$102-2020)</f>
        <v>0</v>
      </c>
      <c r="Y355" s="33" cm="1">
        <f t="array" ref="Y355">((Y$102=$R355)*((13-$S355)/12)+(Y$102&gt;$R355))*$Q355*INDEX($J$13:$O$39,$N355-1999,Y$102-2020)</f>
        <v>0</v>
      </c>
      <c r="Z355" s="33" cm="1">
        <f t="array" ref="Z355">((Z$102=$R355)*((13-$S355)/12)+(Z$102&gt;$R355))*$Q355*INDEX($J$13:$O$39,$N355-1999,Z$102-2020)</f>
        <v>0</v>
      </c>
      <c r="AA355" s="33" cm="1">
        <f t="array" ref="AA355">((AA$102=$R355)*((13-$S355)/12)+(AA$102&gt;$R355))*$Q355*INDEX($J$13:$O$39,$N355-1999,AA$102-2020)</f>
        <v>495070.60438565793</v>
      </c>
      <c r="AB355" s="33" cm="1">
        <f t="array" ref="AB355">((AB$102=$R355)*((13-$S355)/12)+(AB$102&gt;$R355))*$Q355*INDEX($J$13:$O$39,$N355-1999,AB$102-2020)</f>
        <v>512893.14614354167</v>
      </c>
      <c r="AC355" s="33" cm="1">
        <f t="array" ref="AC355">((AC$102=$R355)*((13-$S355)/12)+(AC$102&gt;$R355))*$Q355*INDEX($J$13:$O$39,$N355-1999,AC$102-2020)</f>
        <v>527254.1542355608</v>
      </c>
    </row>
    <row r="356" spans="2:29" x14ac:dyDescent="0.2">
      <c r="B356" s="32">
        <f>'13. Input desinvesteringen'!B269</f>
        <v>253</v>
      </c>
      <c r="J356" s="32" t="str">
        <f>'13. Input desinvesteringen'!C269</f>
        <v>Transport</v>
      </c>
      <c r="K356" s="32" t="str">
        <f>'13. Input desinvesteringen'!D269</f>
        <v>HS</v>
      </c>
      <c r="L356" s="32" t="str">
        <f>'13. Input desinvesteringen'!E269</f>
        <v>Nee</v>
      </c>
      <c r="M356" s="32" t="str">
        <f>'13. Input desinvesteringen'!F269</f>
        <v>GAW ultimo 2000 Enexis</v>
      </c>
      <c r="N356" s="82">
        <f>'13. Input desinvesteringen'!G269</f>
        <v>2008</v>
      </c>
      <c r="O356" s="82"/>
      <c r="P356" s="82"/>
      <c r="Q356" s="32">
        <f>'13. Input desinvesteringen'!H269</f>
        <v>139415</v>
      </c>
      <c r="R356" s="82">
        <f>'13. Input desinvesteringen'!I269</f>
        <v>2024</v>
      </c>
      <c r="S356" s="32">
        <f>'13. Input desinvesteringen'!J269</f>
        <v>2</v>
      </c>
      <c r="U356" s="76">
        <f t="shared" si="15"/>
        <v>0.9501178320392909</v>
      </c>
      <c r="V356" s="76">
        <f t="shared" si="16"/>
        <v>4.9882167960709101E-2</v>
      </c>
      <c r="X356" s="33" cm="1">
        <f t="array" ref="X356">((X$102=$R356)*((13-$S356)/12)+(X$102&gt;$R356))*$Q356*INDEX($J$13:$O$39,$N356-1999,X$102-2020)</f>
        <v>0</v>
      </c>
      <c r="Y356" s="33" cm="1">
        <f t="array" ref="Y356">((Y$102=$R356)*((13-$S356)/12)+(Y$102&gt;$R356))*$Q356*INDEX($J$13:$O$39,$N356-1999,Y$102-2020)</f>
        <v>0</v>
      </c>
      <c r="Z356" s="33" cm="1">
        <f t="array" ref="Z356">((Z$102=$R356)*((13-$S356)/12)+(Z$102&gt;$R356))*$Q356*INDEX($J$13:$O$39,$N356-1999,Z$102-2020)</f>
        <v>0</v>
      </c>
      <c r="AA356" s="33" cm="1">
        <f t="array" ref="AA356">((AA$102=$R356)*((13-$S356)/12)+(AA$102&gt;$R356))*$Q356*INDEX($J$13:$O$39,$N356-1999,AA$102-2020)</f>
        <v>187100.45241224422</v>
      </c>
      <c r="AB356" s="33" cm="1">
        <f t="array" ref="AB356">((AB$102=$R356)*((13-$S356)/12)+(AB$102&gt;$R356))*$Q356*INDEX($J$13:$O$39,$N356-1999,AB$102-2020)</f>
        <v>211457.52948991096</v>
      </c>
      <c r="AC356" s="33" cm="1">
        <f t="array" ref="AC356">((AC$102=$R356)*((13-$S356)/12)+(AC$102&gt;$R356))*$Q356*INDEX($J$13:$O$39,$N356-1999,AC$102-2020)</f>
        <v>217378.34031562848</v>
      </c>
    </row>
    <row r="357" spans="2:29" x14ac:dyDescent="0.2">
      <c r="B357" s="32">
        <f>'13. Input desinvesteringen'!B270</f>
        <v>254</v>
      </c>
      <c r="J357" s="32" t="str">
        <f>'13. Input desinvesteringen'!C270</f>
        <v>Transport</v>
      </c>
      <c r="K357" s="32" t="str">
        <f>'13. Input desinvesteringen'!D270</f>
        <v>HS</v>
      </c>
      <c r="L357" s="32" t="str">
        <f>'13. Input desinvesteringen'!E270</f>
        <v>Nee</v>
      </c>
      <c r="M357" s="32" t="str">
        <f>'13. Input desinvesteringen'!F270</f>
        <v>GAW ultimo 2000 Enexis</v>
      </c>
      <c r="N357" s="82">
        <f>'13. Input desinvesteringen'!G270</f>
        <v>2008</v>
      </c>
      <c r="O357" s="82"/>
      <c r="P357" s="82"/>
      <c r="Q357" s="32">
        <f>'13. Input desinvesteringen'!H270</f>
        <v>174112</v>
      </c>
      <c r="R357" s="82">
        <f>'13. Input desinvesteringen'!I270</f>
        <v>2024</v>
      </c>
      <c r="S357" s="32">
        <f>'13. Input desinvesteringen'!J270</f>
        <v>3</v>
      </c>
      <c r="U357" s="76">
        <f t="shared" si="15"/>
        <v>0.9501178320392909</v>
      </c>
      <c r="V357" s="76">
        <f t="shared" si="16"/>
        <v>4.9882167960709101E-2</v>
      </c>
      <c r="X357" s="33" cm="1">
        <f t="array" ref="X357">((X$102=$R357)*((13-$S357)/12)+(X$102&gt;$R357))*$Q357*INDEX($J$13:$O$39,$N357-1999,X$102-2020)</f>
        <v>0</v>
      </c>
      <c r="Y357" s="33" cm="1">
        <f t="array" ref="Y357">((Y$102=$R357)*((13-$S357)/12)+(Y$102&gt;$R357))*$Q357*INDEX($J$13:$O$39,$N357-1999,Y$102-2020)</f>
        <v>0</v>
      </c>
      <c r="Z357" s="33" cm="1">
        <f t="array" ref="Z357">((Z$102=$R357)*((13-$S357)/12)+(Z$102&gt;$R357))*$Q357*INDEX($J$13:$O$39,$N357-1999,Z$102-2020)</f>
        <v>0</v>
      </c>
      <c r="AA357" s="33" cm="1">
        <f t="array" ref="AA357">((AA$102=$R357)*((13-$S357)/12)+(AA$102&gt;$R357))*$Q357*INDEX($J$13:$O$39,$N357-1999,AA$102-2020)</f>
        <v>212422.90982384622</v>
      </c>
      <c r="AB357" s="33" cm="1">
        <f t="array" ref="AB357">((AB$102=$R357)*((13-$S357)/12)+(AB$102&gt;$R357))*$Q357*INDEX($J$13:$O$39,$N357-1999,AB$102-2020)</f>
        <v>264084.16149300558</v>
      </c>
      <c r="AC357" s="33" cm="1">
        <f t="array" ref="AC357">((AC$102=$R357)*((13-$S357)/12)+(AC$102&gt;$R357))*$Q357*INDEX($J$13:$O$39,$N357-1999,AC$102-2020)</f>
        <v>271478.51801480976</v>
      </c>
    </row>
    <row r="358" spans="2:29" x14ac:dyDescent="0.2">
      <c r="B358" s="32">
        <f>'13. Input desinvesteringen'!B271</f>
        <v>255</v>
      </c>
      <c r="J358" s="32" t="str">
        <f>'13. Input desinvesteringen'!C271</f>
        <v>Transport</v>
      </c>
      <c r="K358" s="32" t="str">
        <f>'13. Input desinvesteringen'!D271</f>
        <v>HS</v>
      </c>
      <c r="L358" s="32" t="str">
        <f>'13. Input desinvesteringen'!E271</f>
        <v>Nee</v>
      </c>
      <c r="M358" s="32" t="str">
        <f>'13. Input desinvesteringen'!F271</f>
        <v>GAW ultimo 2000 Enexis</v>
      </c>
      <c r="N358" s="82">
        <f>'13. Input desinvesteringen'!G271</f>
        <v>2008</v>
      </c>
      <c r="O358" s="82"/>
      <c r="P358" s="82"/>
      <c r="Q358" s="32">
        <f>'13. Input desinvesteringen'!H271</f>
        <v>192142</v>
      </c>
      <c r="R358" s="82">
        <f>'13. Input desinvesteringen'!I271</f>
        <v>2024</v>
      </c>
      <c r="S358" s="32">
        <f>'13. Input desinvesteringen'!J271</f>
        <v>4</v>
      </c>
      <c r="U358" s="76">
        <f t="shared" si="15"/>
        <v>0.9501178320392909</v>
      </c>
      <c r="V358" s="76">
        <f t="shared" si="16"/>
        <v>4.9882167960709101E-2</v>
      </c>
      <c r="X358" s="33" cm="1">
        <f t="array" ref="X358">((X$102=$R358)*((13-$S358)/12)+(X$102&gt;$R358))*$Q358*INDEX($J$13:$O$39,$N358-1999,X$102-2020)</f>
        <v>0</v>
      </c>
      <c r="Y358" s="33" cm="1">
        <f t="array" ref="Y358">((Y$102=$R358)*((13-$S358)/12)+(Y$102&gt;$R358))*$Q358*INDEX($J$13:$O$39,$N358-1999,Y$102-2020)</f>
        <v>0</v>
      </c>
      <c r="Z358" s="33" cm="1">
        <f t="array" ref="Z358">((Z$102=$R358)*((13-$S358)/12)+(Z$102&gt;$R358))*$Q358*INDEX($J$13:$O$39,$N358-1999,Z$102-2020)</f>
        <v>0</v>
      </c>
      <c r="AA358" s="33" cm="1">
        <f t="array" ref="AA358">((AA$102=$R358)*((13-$S358)/12)+(AA$102&gt;$R358))*$Q358*INDEX($J$13:$O$39,$N358-1999,AA$102-2020)</f>
        <v>210978.14318045918</v>
      </c>
      <c r="AB358" s="33" cm="1">
        <f t="array" ref="AB358">((AB$102=$R358)*((13-$S358)/12)+(AB$102&gt;$R358))*$Q358*INDEX($J$13:$O$39,$N358-1999,AB$102-2020)</f>
        <v>291431.14177994098</v>
      </c>
      <c r="AC358" s="33" cm="1">
        <f t="array" ref="AC358">((AC$102=$R358)*((13-$S358)/12)+(AC$102&gt;$R358))*$Q358*INDEX($J$13:$O$39,$N358-1999,AC$102-2020)</f>
        <v>299591.21374977933</v>
      </c>
    </row>
    <row r="359" spans="2:29" x14ac:dyDescent="0.2">
      <c r="B359" s="32">
        <f>'13. Input desinvesteringen'!B272</f>
        <v>256</v>
      </c>
      <c r="J359" s="32" t="str">
        <f>'13. Input desinvesteringen'!C272</f>
        <v>Transport</v>
      </c>
      <c r="K359" s="32" t="str">
        <f>'13. Input desinvesteringen'!D272</f>
        <v>HS</v>
      </c>
      <c r="L359" s="32" t="str">
        <f>'13. Input desinvesteringen'!E272</f>
        <v>Nee</v>
      </c>
      <c r="M359" s="32" t="str">
        <f>'13. Input desinvesteringen'!F272</f>
        <v>GAW ultimo 2000 Enexis</v>
      </c>
      <c r="N359" s="82">
        <f>'13. Input desinvesteringen'!G272</f>
        <v>2008</v>
      </c>
      <c r="O359" s="82"/>
      <c r="P359" s="82"/>
      <c r="Q359" s="32">
        <f>'13. Input desinvesteringen'!H272</f>
        <v>7100</v>
      </c>
      <c r="R359" s="82">
        <f>'13. Input desinvesteringen'!I272</f>
        <v>2024</v>
      </c>
      <c r="S359" s="32">
        <f>'13. Input desinvesteringen'!J272</f>
        <v>5</v>
      </c>
      <c r="U359" s="76">
        <f t="shared" si="15"/>
        <v>0.9501178320392909</v>
      </c>
      <c r="V359" s="76">
        <f t="shared" si="16"/>
        <v>4.9882167960709101E-2</v>
      </c>
      <c r="X359" s="33" cm="1">
        <f t="array" ref="X359">((X$102=$R359)*((13-$S359)/12)+(X$102&gt;$R359))*$Q359*INDEX($J$13:$O$39,$N359-1999,X$102-2020)</f>
        <v>0</v>
      </c>
      <c r="Y359" s="33" cm="1">
        <f t="array" ref="Y359">((Y$102=$R359)*((13-$S359)/12)+(Y$102&gt;$R359))*$Q359*INDEX($J$13:$O$39,$N359-1999,Y$102-2020)</f>
        <v>0</v>
      </c>
      <c r="Z359" s="33" cm="1">
        <f t="array" ref="Z359">((Z$102=$R359)*((13-$S359)/12)+(Z$102&gt;$R359))*$Q359*INDEX($J$13:$O$39,$N359-1999,Z$102-2020)</f>
        <v>0</v>
      </c>
      <c r="AA359" s="33" cm="1">
        <f t="array" ref="AA359">((AA$102=$R359)*((13-$S359)/12)+(AA$102&gt;$R359))*$Q359*INDEX($J$13:$O$39,$N359-1999,AA$102-2020)</f>
        <v>6929.8045384548241</v>
      </c>
      <c r="AB359" s="33" cm="1">
        <f t="array" ref="AB359">((AB$102=$R359)*((13-$S359)/12)+(AB$102&gt;$R359))*$Q359*INDEX($J$13:$O$39,$N359-1999,AB$102-2020)</f>
        <v>10768.916252758798</v>
      </c>
      <c r="AC359" s="33" cm="1">
        <f t="array" ref="AC359">((AC$102=$R359)*((13-$S359)/12)+(AC$102&gt;$R359))*$Q359*INDEX($J$13:$O$39,$N359-1999,AC$102-2020)</f>
        <v>11070.445907836043</v>
      </c>
    </row>
    <row r="360" spans="2:29" x14ac:dyDescent="0.2">
      <c r="B360" s="32">
        <f>'13. Input desinvesteringen'!B273</f>
        <v>257</v>
      </c>
      <c r="J360" s="32" t="str">
        <f>'13. Input desinvesteringen'!C273</f>
        <v>Transport</v>
      </c>
      <c r="K360" s="32" t="str">
        <f>'13. Input desinvesteringen'!D273</f>
        <v>HS</v>
      </c>
      <c r="L360" s="32" t="str">
        <f>'13. Input desinvesteringen'!E273</f>
        <v>Nee</v>
      </c>
      <c r="M360" s="32" t="str">
        <f>'13. Input desinvesteringen'!F273</f>
        <v>GAW ultimo 2000 Enexis</v>
      </c>
      <c r="N360" s="82">
        <f>'13. Input desinvesteringen'!G273</f>
        <v>2008</v>
      </c>
      <c r="O360" s="82"/>
      <c r="P360" s="82"/>
      <c r="Q360" s="32">
        <f>'13. Input desinvesteringen'!H273</f>
        <v>11315</v>
      </c>
      <c r="R360" s="82">
        <f>'13. Input desinvesteringen'!I273</f>
        <v>2024</v>
      </c>
      <c r="S360" s="32">
        <f>'13. Input desinvesteringen'!J273</f>
        <v>6</v>
      </c>
      <c r="U360" s="76">
        <f t="shared" si="15"/>
        <v>0.9501178320392909</v>
      </c>
      <c r="V360" s="76">
        <f t="shared" si="16"/>
        <v>4.9882167960709101E-2</v>
      </c>
      <c r="X360" s="33" cm="1">
        <f t="array" ref="X360">((X$102=$R360)*((13-$S360)/12)+(X$102&gt;$R360))*$Q360*INDEX($J$13:$O$39,$N360-1999,X$102-2020)</f>
        <v>0</v>
      </c>
      <c r="Y360" s="33" cm="1">
        <f t="array" ref="Y360">((Y$102=$R360)*((13-$S360)/12)+(Y$102&gt;$R360))*$Q360*INDEX($J$13:$O$39,$N360-1999,Y$102-2020)</f>
        <v>0</v>
      </c>
      <c r="Z360" s="33" cm="1">
        <f t="array" ref="Z360">((Z$102=$R360)*((13-$S360)/12)+(Z$102&gt;$R360))*$Q360*INDEX($J$13:$O$39,$N360-1999,Z$102-2020)</f>
        <v>0</v>
      </c>
      <c r="AA360" s="33" cm="1">
        <f t="array" ref="AA360">((AA$102=$R360)*((13-$S360)/12)+(AA$102&gt;$R360))*$Q360*INDEX($J$13:$O$39,$N360-1999,AA$102-2020)</f>
        <v>9663.2952195125763</v>
      </c>
      <c r="AB360" s="33" cm="1">
        <f t="array" ref="AB360">((AB$102=$R360)*((13-$S360)/12)+(AB$102&gt;$R360))*$Q360*INDEX($J$13:$O$39,$N360-1999,AB$102-2020)</f>
        <v>17162.012309854337</v>
      </c>
      <c r="AC360" s="33" cm="1">
        <f t="array" ref="AC360">((AC$102=$R360)*((13-$S360)/12)+(AC$102&gt;$R360))*$Q360*INDEX($J$13:$O$39,$N360-1999,AC$102-2020)</f>
        <v>17642.548654530259</v>
      </c>
    </row>
    <row r="361" spans="2:29" x14ac:dyDescent="0.2">
      <c r="B361" s="32">
        <f>'13. Input desinvesteringen'!B274</f>
        <v>258</v>
      </c>
      <c r="J361" s="32" t="str">
        <f>'13. Input desinvesteringen'!C274</f>
        <v>Transport</v>
      </c>
      <c r="K361" s="32" t="str">
        <f>'13. Input desinvesteringen'!D274</f>
        <v>HS</v>
      </c>
      <c r="L361" s="32" t="str">
        <f>'13. Input desinvesteringen'!E274</f>
        <v>Nee</v>
      </c>
      <c r="M361" s="32" t="str">
        <f>'13. Input desinvesteringen'!F274</f>
        <v>GAW ultimo 2000 Enexis</v>
      </c>
      <c r="N361" s="82">
        <f>'13. Input desinvesteringen'!G274</f>
        <v>2008</v>
      </c>
      <c r="O361" s="82"/>
      <c r="P361" s="82"/>
      <c r="Q361" s="32">
        <f>'13. Input desinvesteringen'!H274</f>
        <v>4103491</v>
      </c>
      <c r="R361" s="82">
        <f>'13. Input desinvesteringen'!I274</f>
        <v>2024</v>
      </c>
      <c r="S361" s="32">
        <f>'13. Input desinvesteringen'!J274</f>
        <v>7</v>
      </c>
      <c r="U361" s="76">
        <f t="shared" si="15"/>
        <v>0.9501178320392909</v>
      </c>
      <c r="V361" s="76">
        <f t="shared" si="16"/>
        <v>4.9882167960709101E-2</v>
      </c>
      <c r="X361" s="33" cm="1">
        <f t="array" ref="X361">((X$102=$R361)*((13-$S361)/12)+(X$102&gt;$R361))*$Q361*INDEX($J$13:$O$39,$N361-1999,X$102-2020)</f>
        <v>0</v>
      </c>
      <c r="Y361" s="33" cm="1">
        <f t="array" ref="Y361">((Y$102=$R361)*((13-$S361)/12)+(Y$102&gt;$R361))*$Q361*INDEX($J$13:$O$39,$N361-1999,Y$102-2020)</f>
        <v>0</v>
      </c>
      <c r="Z361" s="33" cm="1">
        <f t="array" ref="Z361">((Z$102=$R361)*((13-$S361)/12)+(Z$102&gt;$R361))*$Q361*INDEX($J$13:$O$39,$N361-1999,Z$102-2020)</f>
        <v>0</v>
      </c>
      <c r="AA361" s="33" cm="1">
        <f t="array" ref="AA361">((AA$102=$R361)*((13-$S361)/12)+(AA$102&gt;$R361))*$Q361*INDEX($J$13:$O$39,$N361-1999,AA$102-2020)</f>
        <v>3003844.0727438582</v>
      </c>
      <c r="AB361" s="33" cm="1">
        <f t="array" ref="AB361">((AB$102=$R361)*((13-$S361)/12)+(AB$102&gt;$R361))*$Q361*INDEX($J$13:$O$39,$N361-1999,AB$102-2020)</f>
        <v>6223964.9187252754</v>
      </c>
      <c r="AC361" s="33" cm="1">
        <f t="array" ref="AC361">((AC$102=$R361)*((13-$S361)/12)+(AC$102&gt;$R361))*$Q361*INDEX($J$13:$O$39,$N361-1999,AC$102-2020)</f>
        <v>6398235.9364495827</v>
      </c>
    </row>
    <row r="362" spans="2:29" x14ac:dyDescent="0.2">
      <c r="B362" s="32">
        <f>'13. Input desinvesteringen'!B275</f>
        <v>259</v>
      </c>
      <c r="J362" s="32" t="str">
        <f>'13. Input desinvesteringen'!C275</f>
        <v>Transport</v>
      </c>
      <c r="K362" s="32" t="str">
        <f>'13. Input desinvesteringen'!D275</f>
        <v>HS</v>
      </c>
      <c r="L362" s="32" t="str">
        <f>'13. Input desinvesteringen'!E275</f>
        <v>Nee</v>
      </c>
      <c r="M362" s="32" t="str">
        <f>'13. Input desinvesteringen'!F275</f>
        <v>GAW ultimo 2000 Enexis</v>
      </c>
      <c r="N362" s="82">
        <f>'13. Input desinvesteringen'!G275</f>
        <v>2008</v>
      </c>
      <c r="O362" s="82"/>
      <c r="P362" s="82"/>
      <c r="Q362" s="32">
        <f>'13. Input desinvesteringen'!H275</f>
        <v>18718</v>
      </c>
      <c r="R362" s="82">
        <f>'13. Input desinvesteringen'!I275</f>
        <v>2024</v>
      </c>
      <c r="S362" s="32">
        <f>'13. Input desinvesteringen'!J275</f>
        <v>8</v>
      </c>
      <c r="U362" s="76">
        <f t="shared" si="15"/>
        <v>0.9501178320392909</v>
      </c>
      <c r="V362" s="76">
        <f t="shared" si="16"/>
        <v>4.9882167960709101E-2</v>
      </c>
      <c r="X362" s="33" cm="1">
        <f t="array" ref="X362">((X$102=$R362)*((13-$S362)/12)+(X$102&gt;$R362))*$Q362*INDEX($J$13:$O$39,$N362-1999,X$102-2020)</f>
        <v>0</v>
      </c>
      <c r="Y362" s="33" cm="1">
        <f t="array" ref="Y362">((Y$102=$R362)*((13-$S362)/12)+(Y$102&gt;$R362))*$Q362*INDEX($J$13:$O$39,$N362-1999,Y$102-2020)</f>
        <v>0</v>
      </c>
      <c r="Z362" s="33" cm="1">
        <f t="array" ref="Z362">((Z$102=$R362)*((13-$S362)/12)+(Z$102&gt;$R362))*$Q362*INDEX($J$13:$O$39,$N362-1999,Z$102-2020)</f>
        <v>0</v>
      </c>
      <c r="AA362" s="33" cm="1">
        <f t="array" ref="AA362">((AA$102=$R362)*((13-$S362)/12)+(AA$102&gt;$R362))*$Q362*INDEX($J$13:$O$39,$N362-1999,AA$102-2020)</f>
        <v>11418.317020316674</v>
      </c>
      <c r="AB362" s="33" cm="1">
        <f t="array" ref="AB362">((AB$102=$R362)*((13-$S362)/12)+(AB$102&gt;$R362))*$Q362*INDEX($J$13:$O$39,$N362-1999,AB$102-2020)</f>
        <v>28390.503439315376</v>
      </c>
      <c r="AC362" s="33" cm="1">
        <f t="array" ref="AC362">((AC$102=$R362)*((13-$S362)/12)+(AC$102&gt;$R362))*$Q362*INDEX($J$13:$O$39,$N362-1999,AC$102-2020)</f>
        <v>29185.437535616209</v>
      </c>
    </row>
    <row r="363" spans="2:29" x14ac:dyDescent="0.2">
      <c r="B363" s="32">
        <f>'13. Input desinvesteringen'!B276</f>
        <v>260</v>
      </c>
      <c r="J363" s="32" t="str">
        <f>'13. Input desinvesteringen'!C276</f>
        <v>Transport</v>
      </c>
      <c r="K363" s="32" t="str">
        <f>'13. Input desinvesteringen'!D276</f>
        <v>HS</v>
      </c>
      <c r="L363" s="32" t="str">
        <f>'13. Input desinvesteringen'!E276</f>
        <v>Nee</v>
      </c>
      <c r="M363" s="32" t="str">
        <f>'13. Input desinvesteringen'!F276</f>
        <v>GAW ultimo 2000 Enexis</v>
      </c>
      <c r="N363" s="82">
        <f>'13. Input desinvesteringen'!G276</f>
        <v>2008</v>
      </c>
      <c r="O363" s="82"/>
      <c r="P363" s="82"/>
      <c r="Q363" s="32">
        <f>'13. Input desinvesteringen'!H276</f>
        <v>485638</v>
      </c>
      <c r="R363" s="82">
        <f>'13. Input desinvesteringen'!I276</f>
        <v>2024</v>
      </c>
      <c r="S363" s="32">
        <f>'13. Input desinvesteringen'!J276</f>
        <v>10</v>
      </c>
      <c r="U363" s="76">
        <f t="shared" si="15"/>
        <v>0.9501178320392909</v>
      </c>
      <c r="V363" s="76">
        <f t="shared" si="16"/>
        <v>4.9882167960709101E-2</v>
      </c>
      <c r="X363" s="33" cm="1">
        <f t="array" ref="X363">((X$102=$R363)*((13-$S363)/12)+(X$102&gt;$R363))*$Q363*INDEX($J$13:$O$39,$N363-1999,X$102-2020)</f>
        <v>0</v>
      </c>
      <c r="Y363" s="33" cm="1">
        <f t="array" ref="Y363">((Y$102=$R363)*((13-$S363)/12)+(Y$102&gt;$R363))*$Q363*INDEX($J$13:$O$39,$N363-1999,Y$102-2020)</f>
        <v>0</v>
      </c>
      <c r="Z363" s="33" cm="1">
        <f t="array" ref="Z363">((Z$102=$R363)*((13-$S363)/12)+(Z$102&gt;$R363))*$Q363*INDEX($J$13:$O$39,$N363-1999,Z$102-2020)</f>
        <v>0</v>
      </c>
      <c r="AA363" s="33" cm="1">
        <f t="array" ref="AA363">((AA$102=$R363)*((13-$S363)/12)+(AA$102&gt;$R363))*$Q363*INDEX($J$13:$O$39,$N363-1999,AA$102-2020)</f>
        <v>177748.75438976006</v>
      </c>
      <c r="AB363" s="33" cm="1">
        <f t="array" ref="AB363">((AB$102=$R363)*((13-$S363)/12)+(AB$102&gt;$R363))*$Q363*INDEX($J$13:$O$39,$N363-1999,AB$102-2020)</f>
        <v>736590.83819116582</v>
      </c>
      <c r="AC363" s="33" cm="1">
        <f t="array" ref="AC363">((AC$102=$R363)*((13-$S363)/12)+(AC$102&gt;$R363))*$Q363*INDEX($J$13:$O$39,$N363-1999,AC$102-2020)</f>
        <v>757215.38166051847</v>
      </c>
    </row>
    <row r="364" spans="2:29" x14ac:dyDescent="0.2">
      <c r="B364" s="32">
        <f>'13. Input desinvesteringen'!B277</f>
        <v>261</v>
      </c>
      <c r="J364" s="32" t="str">
        <f>'13. Input desinvesteringen'!C277</f>
        <v>Transport</v>
      </c>
      <c r="K364" s="32" t="str">
        <f>'13. Input desinvesteringen'!D277</f>
        <v>HS</v>
      </c>
      <c r="L364" s="32" t="str">
        <f>'13. Input desinvesteringen'!E277</f>
        <v>Nee</v>
      </c>
      <c r="M364" s="32" t="str">
        <f>'13. Input desinvesteringen'!F277</f>
        <v>GAW ultimo 2000 Enexis</v>
      </c>
      <c r="N364" s="82">
        <f>'13. Input desinvesteringen'!G277</f>
        <v>2008</v>
      </c>
      <c r="O364" s="82"/>
      <c r="P364" s="82"/>
      <c r="Q364" s="32">
        <f>'13. Input desinvesteringen'!H277</f>
        <v>586212</v>
      </c>
      <c r="R364" s="82">
        <f>'13. Input desinvesteringen'!I277</f>
        <v>2024</v>
      </c>
      <c r="S364" s="32">
        <f>'13. Input desinvesteringen'!J277</f>
        <v>11</v>
      </c>
      <c r="U364" s="76">
        <f t="shared" si="15"/>
        <v>0.9501178320392909</v>
      </c>
      <c r="V364" s="76">
        <f t="shared" si="16"/>
        <v>4.9882167960709101E-2</v>
      </c>
      <c r="X364" s="33" cm="1">
        <f t="array" ref="X364">((X$102=$R364)*((13-$S364)/12)+(X$102&gt;$R364))*$Q364*INDEX($J$13:$O$39,$N364-1999,X$102-2020)</f>
        <v>0</v>
      </c>
      <c r="Y364" s="33" cm="1">
        <f t="array" ref="Y364">((Y$102=$R364)*((13-$S364)/12)+(Y$102&gt;$R364))*$Q364*INDEX($J$13:$O$39,$N364-1999,Y$102-2020)</f>
        <v>0</v>
      </c>
      <c r="Z364" s="33" cm="1">
        <f t="array" ref="Z364">((Z$102=$R364)*((13-$S364)/12)+(Z$102&gt;$R364))*$Q364*INDEX($J$13:$O$39,$N364-1999,Z$102-2020)</f>
        <v>0</v>
      </c>
      <c r="AA364" s="33" cm="1">
        <f t="array" ref="AA364">((AA$102=$R364)*((13-$S364)/12)+(AA$102&gt;$R364))*$Q364*INDEX($J$13:$O$39,$N364-1999,AA$102-2020)</f>
        <v>143039.94993298166</v>
      </c>
      <c r="AB364" s="33" cm="1">
        <f t="array" ref="AB364">((AB$102=$R364)*((13-$S364)/12)+(AB$102&gt;$R364))*$Q364*INDEX($J$13:$O$39,$N364-1999,AB$102-2020)</f>
        <v>889136.32878341409</v>
      </c>
      <c r="AC364" s="33" cm="1">
        <f t="array" ref="AC364">((AC$102=$R364)*((13-$S364)/12)+(AC$102&gt;$R364))*$Q364*INDEX($J$13:$O$39,$N364-1999,AC$102-2020)</f>
        <v>914032.14598934969</v>
      </c>
    </row>
    <row r="365" spans="2:29" x14ac:dyDescent="0.2">
      <c r="B365" s="32">
        <f>'13. Input desinvesteringen'!B278</f>
        <v>262</v>
      </c>
      <c r="J365" s="32" t="str">
        <f>'13. Input desinvesteringen'!C278</f>
        <v>Transport</v>
      </c>
      <c r="K365" s="32" t="str">
        <f>'13. Input desinvesteringen'!D278</f>
        <v>HS</v>
      </c>
      <c r="L365" s="32" t="str">
        <f>'13. Input desinvesteringen'!E278</f>
        <v>Nee</v>
      </c>
      <c r="M365" s="32" t="str">
        <f>'13. Input desinvesteringen'!F278</f>
        <v>GAW ultimo 2000 Enexis</v>
      </c>
      <c r="N365" s="82">
        <f>'13. Input desinvesteringen'!G278</f>
        <v>2008</v>
      </c>
      <c r="O365" s="82"/>
      <c r="P365" s="82"/>
      <c r="Q365" s="32">
        <f>'13. Input desinvesteringen'!H278</f>
        <v>15561</v>
      </c>
      <c r="R365" s="82">
        <f>'13. Input desinvesteringen'!I278</f>
        <v>2024</v>
      </c>
      <c r="S365" s="32">
        <f>'13. Input desinvesteringen'!J278</f>
        <v>12</v>
      </c>
      <c r="U365" s="76">
        <f t="shared" si="15"/>
        <v>0.9501178320392909</v>
      </c>
      <c r="V365" s="76">
        <f t="shared" si="16"/>
        <v>4.9882167960709101E-2</v>
      </c>
      <c r="X365" s="33" cm="1">
        <f t="array" ref="X365">((X$102=$R365)*((13-$S365)/12)+(X$102&gt;$R365))*$Q365*INDEX($J$13:$O$39,$N365-1999,X$102-2020)</f>
        <v>0</v>
      </c>
      <c r="Y365" s="33" cm="1">
        <f t="array" ref="Y365">((Y$102=$R365)*((13-$S365)/12)+(Y$102&gt;$R365))*$Q365*INDEX($J$13:$O$39,$N365-1999,Y$102-2020)</f>
        <v>0</v>
      </c>
      <c r="Z365" s="33" cm="1">
        <f t="array" ref="Z365">((Z$102=$R365)*((13-$S365)/12)+(Z$102&gt;$R365))*$Q365*INDEX($J$13:$O$39,$N365-1999,Z$102-2020)</f>
        <v>0</v>
      </c>
      <c r="AA365" s="33" cm="1">
        <f t="array" ref="AA365">((AA$102=$R365)*((13-$S365)/12)+(AA$102&gt;$R365))*$Q365*INDEX($J$13:$O$39,$N365-1999,AA$102-2020)</f>
        <v>1898.4980356143578</v>
      </c>
      <c r="AB365" s="33" cm="1">
        <f t="array" ref="AB365">((AB$102=$R365)*((13-$S365)/12)+(AB$102&gt;$R365))*$Q365*INDEX($J$13:$O$39,$N365-1999,AB$102-2020)</f>
        <v>23602.127578757696</v>
      </c>
      <c r="AC365" s="33" cm="1">
        <f t="array" ref="AC365">((AC$102=$R365)*((13-$S365)/12)+(AC$102&gt;$R365))*$Q365*INDEX($J$13:$O$39,$N365-1999,AC$102-2020)</f>
        <v>24262.987150962912</v>
      </c>
    </row>
    <row r="366" spans="2:29" x14ac:dyDescent="0.2">
      <c r="B366" s="32">
        <f>'13. Input desinvesteringen'!B279</f>
        <v>263</v>
      </c>
      <c r="J366" s="32" t="str">
        <f>'13. Input desinvesteringen'!C279</f>
        <v>Transport</v>
      </c>
      <c r="K366" s="32" t="str">
        <f>'13. Input desinvesteringen'!D279</f>
        <v>HS</v>
      </c>
      <c r="L366" s="32" t="str">
        <f>'13. Input desinvesteringen'!E279</f>
        <v>Nee</v>
      </c>
      <c r="M366" s="32" t="str">
        <f>'13. Input desinvesteringen'!F279</f>
        <v>GAW ultimo 2000 Liander (overname: 2008)</v>
      </c>
      <c r="N366" s="82">
        <f>'13. Input desinvesteringen'!G279</f>
        <v>2008</v>
      </c>
      <c r="O366" s="82"/>
      <c r="P366" s="82"/>
      <c r="Q366" s="32">
        <f>'13. Input desinvesteringen'!H279</f>
        <v>4820</v>
      </c>
      <c r="R366" s="82">
        <f>'13. Input desinvesteringen'!I279</f>
        <v>2024</v>
      </c>
      <c r="S366" s="32">
        <f>'13. Input desinvesteringen'!J279</f>
        <v>2</v>
      </c>
      <c r="U366" s="76">
        <f t="shared" si="15"/>
        <v>0.9501178320392909</v>
      </c>
      <c r="V366" s="76">
        <f t="shared" si="16"/>
        <v>4.9882167960709101E-2</v>
      </c>
      <c r="X366" s="33" cm="1">
        <f t="array" ref="X366">((X$102=$R366)*((13-$S366)/12)+(X$102&gt;$R366))*$Q366*INDEX($J$13:$O$39,$N366-1999,X$102-2020)</f>
        <v>0</v>
      </c>
      <c r="Y366" s="33" cm="1">
        <f t="array" ref="Y366">((Y$102=$R366)*((13-$S366)/12)+(Y$102&gt;$R366))*$Q366*INDEX($J$13:$O$39,$N366-1999,Y$102-2020)</f>
        <v>0</v>
      </c>
      <c r="Z366" s="33" cm="1">
        <f t="array" ref="Z366">((Z$102=$R366)*((13-$S366)/12)+(Z$102&gt;$R366))*$Q366*INDEX($J$13:$O$39,$N366-1999,Z$102-2020)</f>
        <v>0</v>
      </c>
      <c r="AA366" s="33" cm="1">
        <f t="array" ref="AA366">((AA$102=$R366)*((13-$S366)/12)+(AA$102&gt;$R366))*$Q366*INDEX($J$13:$O$39,$N366-1999,AA$102-2020)</f>
        <v>6468.6309265646969</v>
      </c>
      <c r="AB366" s="33" cm="1">
        <f t="array" ref="AB366">((AB$102=$R366)*((13-$S366)/12)+(AB$102&gt;$R366))*$Q366*INDEX($J$13:$O$39,$N366-1999,AB$102-2020)</f>
        <v>7310.7290617320286</v>
      </c>
      <c r="AC366" s="33" cm="1">
        <f t="array" ref="AC366">((AC$102=$R366)*((13-$S366)/12)+(AC$102&gt;$R366))*$Q366*INDEX($J$13:$O$39,$N366-1999,AC$102-2020)</f>
        <v>7515.4294754605262</v>
      </c>
    </row>
    <row r="367" spans="2:29" x14ac:dyDescent="0.2">
      <c r="B367" s="32">
        <f>'13. Input desinvesteringen'!B280</f>
        <v>264</v>
      </c>
      <c r="J367" s="32" t="str">
        <f>'13. Input desinvesteringen'!C280</f>
        <v>Transport</v>
      </c>
      <c r="K367" s="32" t="str">
        <f>'13. Input desinvesteringen'!D280</f>
        <v>HS</v>
      </c>
      <c r="L367" s="32" t="str">
        <f>'13. Input desinvesteringen'!E280</f>
        <v>Nee</v>
      </c>
      <c r="M367" s="32" t="str">
        <f>'13. Input desinvesteringen'!F280</f>
        <v>GAW ultimo 2000 Liander (overname: 2008)</v>
      </c>
      <c r="N367" s="82">
        <f>'13. Input desinvesteringen'!G280</f>
        <v>2008</v>
      </c>
      <c r="O367" s="82"/>
      <c r="P367" s="82"/>
      <c r="Q367" s="32">
        <f>'13. Input desinvesteringen'!H280</f>
        <v>122893</v>
      </c>
      <c r="R367" s="82">
        <f>'13. Input desinvesteringen'!I280</f>
        <v>2024</v>
      </c>
      <c r="S367" s="32">
        <f>'13. Input desinvesteringen'!J280</f>
        <v>3</v>
      </c>
      <c r="U367" s="76">
        <f t="shared" si="15"/>
        <v>0.9501178320392909</v>
      </c>
      <c r="V367" s="76">
        <f t="shared" si="16"/>
        <v>4.9882167960709101E-2</v>
      </c>
      <c r="X367" s="33" cm="1">
        <f t="array" ref="X367">((X$102=$R367)*((13-$S367)/12)+(X$102&gt;$R367))*$Q367*INDEX($J$13:$O$39,$N367-1999,X$102-2020)</f>
        <v>0</v>
      </c>
      <c r="Y367" s="33" cm="1">
        <f t="array" ref="Y367">((Y$102=$R367)*((13-$S367)/12)+(Y$102&gt;$R367))*$Q367*INDEX($J$13:$O$39,$N367-1999,Y$102-2020)</f>
        <v>0</v>
      </c>
      <c r="Z367" s="33" cm="1">
        <f t="array" ref="Z367">((Z$102=$R367)*((13-$S367)/12)+(Z$102&gt;$R367))*$Q367*INDEX($J$13:$O$39,$N367-1999,Z$102-2020)</f>
        <v>0</v>
      </c>
      <c r="AA367" s="33" cm="1">
        <f t="array" ref="AA367">((AA$102=$R367)*((13-$S367)/12)+(AA$102&gt;$R367))*$Q367*INDEX($J$13:$O$39,$N367-1999,AA$102-2020)</f>
        <v>149933.88541273394</v>
      </c>
      <c r="AB367" s="33" cm="1">
        <f t="array" ref="AB367">((AB$102=$R367)*((13-$S367)/12)+(AB$102&gt;$R367))*$Q367*INDEX($J$13:$O$39,$N367-1999,AB$102-2020)</f>
        <v>186397.80634511085</v>
      </c>
      <c r="AC367" s="33" cm="1">
        <f t="array" ref="AC367">((AC$102=$R367)*((13-$S367)/12)+(AC$102&gt;$R367))*$Q367*INDEX($J$13:$O$39,$N367-1999,AC$102-2020)</f>
        <v>191616.94492277395</v>
      </c>
    </row>
    <row r="368" spans="2:29" x14ac:dyDescent="0.2">
      <c r="B368" s="32">
        <f>'13. Input desinvesteringen'!B281</f>
        <v>265</v>
      </c>
      <c r="J368" s="32" t="str">
        <f>'13. Input desinvesteringen'!C281</f>
        <v>Transport</v>
      </c>
      <c r="K368" s="32" t="str">
        <f>'13. Input desinvesteringen'!D281</f>
        <v>HS</v>
      </c>
      <c r="L368" s="32" t="str">
        <f>'13. Input desinvesteringen'!E281</f>
        <v>Nee</v>
      </c>
      <c r="M368" s="32" t="str">
        <f>'13. Input desinvesteringen'!F281</f>
        <v>GAW ultimo 2000 Liander (overname: 2008)</v>
      </c>
      <c r="N368" s="82">
        <f>'13. Input desinvesteringen'!G281</f>
        <v>2008</v>
      </c>
      <c r="O368" s="82"/>
      <c r="P368" s="82"/>
      <c r="Q368" s="32">
        <f>'13. Input desinvesteringen'!H281</f>
        <v>100785</v>
      </c>
      <c r="R368" s="82">
        <f>'13. Input desinvesteringen'!I281</f>
        <v>2024</v>
      </c>
      <c r="S368" s="32">
        <f>'13. Input desinvesteringen'!J281</f>
        <v>5</v>
      </c>
      <c r="U368" s="76">
        <f t="shared" si="15"/>
        <v>0.9501178320392909</v>
      </c>
      <c r="V368" s="76">
        <f t="shared" si="16"/>
        <v>4.9882167960709101E-2</v>
      </c>
      <c r="X368" s="33" cm="1">
        <f t="array" ref="X368">((X$102=$R368)*((13-$S368)/12)+(X$102&gt;$R368))*$Q368*INDEX($J$13:$O$39,$N368-1999,X$102-2020)</f>
        <v>0</v>
      </c>
      <c r="Y368" s="33" cm="1">
        <f t="array" ref="Y368">((Y$102=$R368)*((13-$S368)/12)+(Y$102&gt;$R368))*$Q368*INDEX($J$13:$O$39,$N368-1999,Y$102-2020)</f>
        <v>0</v>
      </c>
      <c r="Z368" s="33" cm="1">
        <f t="array" ref="Z368">((Z$102=$R368)*((13-$S368)/12)+(Z$102&gt;$R368))*$Q368*INDEX($J$13:$O$39,$N368-1999,Z$102-2020)</f>
        <v>0</v>
      </c>
      <c r="AA368" s="33" cm="1">
        <f t="array" ref="AA368">((AA$102=$R368)*((13-$S368)/12)+(AA$102&gt;$R368))*$Q368*INDEX($J$13:$O$39,$N368-1999,AA$102-2020)</f>
        <v>98369.063437770354</v>
      </c>
      <c r="AB368" s="33" cm="1">
        <f t="array" ref="AB368">((AB$102=$R368)*((13-$S368)/12)+(AB$102&gt;$R368))*$Q368*INDEX($J$13:$O$39,$N368-1999,AB$102-2020)</f>
        <v>152865.52458229513</v>
      </c>
      <c r="AC368" s="33" cm="1">
        <f t="array" ref="AC368">((AC$102=$R368)*((13-$S368)/12)+(AC$102&gt;$R368))*$Q368*INDEX($J$13:$O$39,$N368-1999,AC$102-2020)</f>
        <v>157145.7592705994</v>
      </c>
    </row>
    <row r="369" spans="2:29" x14ac:dyDescent="0.2">
      <c r="B369" s="32">
        <f>'13. Input desinvesteringen'!B282</f>
        <v>266</v>
      </c>
      <c r="J369" s="32" t="str">
        <f>'13. Input desinvesteringen'!C282</f>
        <v>Transport</v>
      </c>
      <c r="K369" s="32" t="str">
        <f>'13. Input desinvesteringen'!D282</f>
        <v>HS</v>
      </c>
      <c r="L369" s="32" t="str">
        <f>'13. Input desinvesteringen'!E282</f>
        <v>Nee</v>
      </c>
      <c r="M369" s="32" t="str">
        <f>'13. Input desinvesteringen'!F282</f>
        <v>GAW ultimo 2000 Liander (overname: 2008)</v>
      </c>
      <c r="N369" s="82">
        <f>'13. Input desinvesteringen'!G282</f>
        <v>2008</v>
      </c>
      <c r="O369" s="82"/>
      <c r="P369" s="82"/>
      <c r="Q369" s="32">
        <f>'13. Input desinvesteringen'!H282</f>
        <v>11429</v>
      </c>
      <c r="R369" s="82">
        <f>'13. Input desinvesteringen'!I282</f>
        <v>2024</v>
      </c>
      <c r="S369" s="32">
        <f>'13. Input desinvesteringen'!J282</f>
        <v>7</v>
      </c>
      <c r="U369" s="76">
        <f t="shared" si="15"/>
        <v>0.9501178320392909</v>
      </c>
      <c r="V369" s="76">
        <f t="shared" si="16"/>
        <v>4.9882167960709101E-2</v>
      </c>
      <c r="X369" s="33" cm="1">
        <f t="array" ref="X369">((X$102=$R369)*((13-$S369)/12)+(X$102&gt;$R369))*$Q369*INDEX($J$13:$O$39,$N369-1999,X$102-2020)</f>
        <v>0</v>
      </c>
      <c r="Y369" s="33" cm="1">
        <f t="array" ref="Y369">((Y$102=$R369)*((13-$S369)/12)+(Y$102&gt;$R369))*$Q369*INDEX($J$13:$O$39,$N369-1999,Y$102-2020)</f>
        <v>0</v>
      </c>
      <c r="Z369" s="33" cm="1">
        <f t="array" ref="Z369">((Z$102=$R369)*((13-$S369)/12)+(Z$102&gt;$R369))*$Q369*INDEX($J$13:$O$39,$N369-1999,Z$102-2020)</f>
        <v>0</v>
      </c>
      <c r="AA369" s="33" cm="1">
        <f t="array" ref="AA369">((AA$102=$R369)*((13-$S369)/12)+(AA$102&gt;$R369))*$Q369*INDEX($J$13:$O$39,$N369-1999,AA$102-2020)</f>
        <v>8366.2749369718513</v>
      </c>
      <c r="AB369" s="33" cm="1">
        <f t="array" ref="AB369">((AB$102=$R369)*((13-$S369)/12)+(AB$102&gt;$R369))*$Q369*INDEX($J$13:$O$39,$N369-1999,AB$102-2020)</f>
        <v>17334.921669405678</v>
      </c>
      <c r="AC369" s="33" cm="1">
        <f t="array" ref="AC369">((AC$102=$R369)*((13-$S369)/12)+(AC$102&gt;$R369))*$Q369*INDEX($J$13:$O$39,$N369-1999,AC$102-2020)</f>
        <v>17820.299476149034</v>
      </c>
    </row>
    <row r="370" spans="2:29" x14ac:dyDescent="0.2">
      <c r="B370" s="32">
        <f>'13. Input desinvesteringen'!B283</f>
        <v>267</v>
      </c>
      <c r="J370" s="32" t="str">
        <f>'13. Input desinvesteringen'!C283</f>
        <v>Transport</v>
      </c>
      <c r="K370" s="32" t="str">
        <f>'13. Input desinvesteringen'!D283</f>
        <v>HS</v>
      </c>
      <c r="L370" s="32" t="str">
        <f>'13. Input desinvesteringen'!E283</f>
        <v>Nee</v>
      </c>
      <c r="M370" s="32" t="str">
        <f>'13. Input desinvesteringen'!F283</f>
        <v>GAW ultimo 2000 Liander (overname: 2008)</v>
      </c>
      <c r="N370" s="82">
        <f>'13. Input desinvesteringen'!G283</f>
        <v>2008</v>
      </c>
      <c r="O370" s="82"/>
      <c r="P370" s="82"/>
      <c r="Q370" s="32">
        <f>'13. Input desinvesteringen'!H283</f>
        <v>7117</v>
      </c>
      <c r="R370" s="82">
        <f>'13. Input desinvesteringen'!I283</f>
        <v>2024</v>
      </c>
      <c r="S370" s="32">
        <f>'13. Input desinvesteringen'!J283</f>
        <v>8</v>
      </c>
      <c r="U370" s="76">
        <f t="shared" si="15"/>
        <v>0.9501178320392909</v>
      </c>
      <c r="V370" s="76">
        <f t="shared" si="16"/>
        <v>4.9882167960709101E-2</v>
      </c>
      <c r="X370" s="33" cm="1">
        <f t="array" ref="X370">((X$102=$R370)*((13-$S370)/12)+(X$102&gt;$R370))*$Q370*INDEX($J$13:$O$39,$N370-1999,X$102-2020)</f>
        <v>0</v>
      </c>
      <c r="Y370" s="33" cm="1">
        <f t="array" ref="Y370">((Y$102=$R370)*((13-$S370)/12)+(Y$102&gt;$R370))*$Q370*INDEX($J$13:$O$39,$N370-1999,Y$102-2020)</f>
        <v>0</v>
      </c>
      <c r="Z370" s="33" cm="1">
        <f t="array" ref="Z370">((Z$102=$R370)*((13-$S370)/12)+(Z$102&gt;$R370))*$Q370*INDEX($J$13:$O$39,$N370-1999,Z$102-2020)</f>
        <v>0</v>
      </c>
      <c r="AA370" s="33" cm="1">
        <f t="array" ref="AA370">((AA$102=$R370)*((13-$S370)/12)+(AA$102&gt;$R370))*$Q370*INDEX($J$13:$O$39,$N370-1999,AA$102-2020)</f>
        <v>4341.4981426217419</v>
      </c>
      <c r="AB370" s="33" cm="1">
        <f t="array" ref="AB370">((AB$102=$R370)*((13-$S370)/12)+(AB$102&gt;$R370))*$Q370*INDEX($J$13:$O$39,$N370-1999,AB$102-2020)</f>
        <v>10794.7009818147</v>
      </c>
      <c r="AC370" s="33" cm="1">
        <f t="array" ref="AC370">((AC$102=$R370)*((13-$S370)/12)+(AC$102&gt;$R370))*$Q370*INDEX($J$13:$O$39,$N370-1999,AC$102-2020)</f>
        <v>11096.95260930551</v>
      </c>
    </row>
    <row r="371" spans="2:29" x14ac:dyDescent="0.2">
      <c r="B371" s="32">
        <f>'13. Input desinvesteringen'!B284</f>
        <v>268</v>
      </c>
      <c r="J371" s="32" t="str">
        <f>'13. Input desinvesteringen'!C284</f>
        <v>Transport</v>
      </c>
      <c r="K371" s="32" t="str">
        <f>'13. Input desinvesteringen'!D284</f>
        <v>HS</v>
      </c>
      <c r="L371" s="32" t="str">
        <f>'13. Input desinvesteringen'!E284</f>
        <v>Nee</v>
      </c>
      <c r="M371" s="32" t="str">
        <f>'13. Input desinvesteringen'!F284</f>
        <v>GAW ultimo 2000 Liander (overname: 2008)</v>
      </c>
      <c r="N371" s="82">
        <f>'13. Input desinvesteringen'!G284</f>
        <v>2008</v>
      </c>
      <c r="O371" s="82"/>
      <c r="P371" s="82"/>
      <c r="Q371" s="32">
        <f>'13. Input desinvesteringen'!H284</f>
        <v>2064</v>
      </c>
      <c r="R371" s="82">
        <f>'13. Input desinvesteringen'!I284</f>
        <v>2024</v>
      </c>
      <c r="S371" s="32">
        <f>'13. Input desinvesteringen'!J284</f>
        <v>9</v>
      </c>
      <c r="U371" s="76">
        <f t="shared" si="15"/>
        <v>0.9501178320392909</v>
      </c>
      <c r="V371" s="76">
        <f t="shared" si="16"/>
        <v>4.9882167960709101E-2</v>
      </c>
      <c r="X371" s="33" cm="1">
        <f t="array" ref="X371">((X$102=$R371)*((13-$S371)/12)+(X$102&gt;$R371))*$Q371*INDEX($J$13:$O$39,$N371-1999,X$102-2020)</f>
        <v>0</v>
      </c>
      <c r="Y371" s="33" cm="1">
        <f t="array" ref="Y371">((Y$102=$R371)*((13-$S371)/12)+(Y$102&gt;$R371))*$Q371*INDEX($J$13:$O$39,$N371-1999,Y$102-2020)</f>
        <v>0</v>
      </c>
      <c r="Z371" s="33" cm="1">
        <f t="array" ref="Z371">((Z$102=$R371)*((13-$S371)/12)+(Z$102&gt;$R371))*$Q371*INDEX($J$13:$O$39,$N371-1999,Z$102-2020)</f>
        <v>0</v>
      </c>
      <c r="AA371" s="33" cm="1">
        <f t="array" ref="AA371">((AA$102=$R371)*((13-$S371)/12)+(AA$102&gt;$R371))*$Q371*INDEX($J$13:$O$39,$N371-1999,AA$102-2020)</f>
        <v>1007.2617300965322</v>
      </c>
      <c r="AB371" s="33" cm="1">
        <f t="array" ref="AB371">((AB$102=$R371)*((13-$S371)/12)+(AB$102&gt;$R371))*$Q371*INDEX($J$13:$O$39,$N371-1999,AB$102-2020)</f>
        <v>3130.5694571400222</v>
      </c>
      <c r="AC371" s="33" cm="1">
        <f t="array" ref="AC371">((AC$102=$R371)*((13-$S371)/12)+(AC$102&gt;$R371))*$Q371*INDEX($J$13:$O$39,$N371-1999,AC$102-2020)</f>
        <v>3218.2254019399429</v>
      </c>
    </row>
    <row r="372" spans="2:29" x14ac:dyDescent="0.2">
      <c r="B372" s="32">
        <f>'13. Input desinvesteringen'!B285</f>
        <v>269</v>
      </c>
      <c r="J372" s="32" t="str">
        <f>'13. Input desinvesteringen'!C285</f>
        <v>Transport</v>
      </c>
      <c r="K372" s="32" t="str">
        <f>'13. Input desinvesteringen'!D285</f>
        <v>HS</v>
      </c>
      <c r="L372" s="32" t="str">
        <f>'13. Input desinvesteringen'!E285</f>
        <v>Nee</v>
      </c>
      <c r="M372" s="32" t="str">
        <f>'13. Input desinvesteringen'!F285</f>
        <v>GAW ultimo 2000 Liander (overname: 2008)</v>
      </c>
      <c r="N372" s="82">
        <f>'13. Input desinvesteringen'!G285</f>
        <v>2008</v>
      </c>
      <c r="O372" s="82"/>
      <c r="P372" s="82"/>
      <c r="Q372" s="32">
        <f>'13. Input desinvesteringen'!H285</f>
        <v>17108</v>
      </c>
      <c r="R372" s="82">
        <f>'13. Input desinvesteringen'!I285</f>
        <v>2024</v>
      </c>
      <c r="S372" s="32">
        <f>'13. Input desinvesteringen'!J285</f>
        <v>10</v>
      </c>
      <c r="U372" s="76">
        <f t="shared" si="15"/>
        <v>0.9501178320392909</v>
      </c>
      <c r="V372" s="76">
        <f t="shared" si="16"/>
        <v>4.9882167960709101E-2</v>
      </c>
      <c r="X372" s="33" cm="1">
        <f t="array" ref="X372">((X$102=$R372)*((13-$S372)/12)+(X$102&gt;$R372))*$Q372*INDEX($J$13:$O$39,$N372-1999,X$102-2020)</f>
        <v>0</v>
      </c>
      <c r="Y372" s="33" cm="1">
        <f t="array" ref="Y372">((Y$102=$R372)*((13-$S372)/12)+(Y$102&gt;$R372))*$Q372*INDEX($J$13:$O$39,$N372-1999,Y$102-2020)</f>
        <v>0</v>
      </c>
      <c r="Z372" s="33" cm="1">
        <f t="array" ref="Z372">((Z$102=$R372)*((13-$S372)/12)+(Z$102&gt;$R372))*$Q372*INDEX($J$13:$O$39,$N372-1999,Z$102-2020)</f>
        <v>0</v>
      </c>
      <c r="AA372" s="33" cm="1">
        <f t="array" ref="AA372">((AA$102=$R372)*((13-$S372)/12)+(AA$102&gt;$R372))*$Q372*INDEX($J$13:$O$39,$N372-1999,AA$102-2020)</f>
        <v>6261.7128192192849</v>
      </c>
      <c r="AB372" s="33" cm="1">
        <f t="array" ref="AB372">((AB$102=$R372)*((13-$S372)/12)+(AB$102&gt;$R372))*$Q372*INDEX($J$13:$O$39,$N372-1999,AB$102-2020)</f>
        <v>25948.53792284472</v>
      </c>
      <c r="AC372" s="33" cm="1">
        <f t="array" ref="AC372">((AC$102=$R372)*((13-$S372)/12)+(AC$102&gt;$R372))*$Q372*INDEX($J$13:$O$39,$N372-1999,AC$102-2020)</f>
        <v>26675.096984684373</v>
      </c>
    </row>
    <row r="373" spans="2:29" x14ac:dyDescent="0.2">
      <c r="B373" s="32">
        <f>'13. Input desinvesteringen'!B286</f>
        <v>270</v>
      </c>
      <c r="J373" s="32" t="str">
        <f>'13. Input desinvesteringen'!C286</f>
        <v>Transport</v>
      </c>
      <c r="K373" s="32" t="str">
        <f>'13. Input desinvesteringen'!D286</f>
        <v>HS</v>
      </c>
      <c r="L373" s="32" t="str">
        <f>'13. Input desinvesteringen'!E286</f>
        <v>Nee</v>
      </c>
      <c r="M373" s="32" t="str">
        <f>'13. Input desinvesteringen'!F286</f>
        <v>GAW ultimo 2000 Liander (overname: 2008)</v>
      </c>
      <c r="N373" s="82">
        <f>'13. Input desinvesteringen'!G286</f>
        <v>2008</v>
      </c>
      <c r="O373" s="82"/>
      <c r="P373" s="82"/>
      <c r="Q373" s="32">
        <f>'13. Input desinvesteringen'!H286</f>
        <v>16914</v>
      </c>
      <c r="R373" s="82">
        <f>'13. Input desinvesteringen'!I286</f>
        <v>2024</v>
      </c>
      <c r="S373" s="32">
        <f>'13. Input desinvesteringen'!J286</f>
        <v>12</v>
      </c>
      <c r="U373" s="76">
        <f t="shared" si="15"/>
        <v>0.9501178320392909</v>
      </c>
      <c r="V373" s="76">
        <f t="shared" si="16"/>
        <v>4.9882167960709101E-2</v>
      </c>
      <c r="X373" s="33" cm="1">
        <f t="array" ref="X373">((X$102=$R373)*((13-$S373)/12)+(X$102&gt;$R373))*$Q373*INDEX($J$13:$O$39,$N373-1999,X$102-2020)</f>
        <v>0</v>
      </c>
      <c r="Y373" s="33" cm="1">
        <f t="array" ref="Y373">((Y$102=$R373)*((13-$S373)/12)+(Y$102&gt;$R373))*$Q373*INDEX($J$13:$O$39,$N373-1999,Y$102-2020)</f>
        <v>0</v>
      </c>
      <c r="Z373" s="33" cm="1">
        <f t="array" ref="Z373">((Z$102=$R373)*((13-$S373)/12)+(Z$102&gt;$R373))*$Q373*INDEX($J$13:$O$39,$N373-1999,Z$102-2020)</f>
        <v>0</v>
      </c>
      <c r="AA373" s="33" cm="1">
        <f t="array" ref="AA373">((AA$102=$R373)*((13-$S373)/12)+(AA$102&gt;$R373))*$Q373*INDEX($J$13:$O$39,$N373-1999,AA$102-2020)</f>
        <v>2063.5689078067762</v>
      </c>
      <c r="AB373" s="33" cm="1">
        <f t="array" ref="AB373">((AB$102=$R373)*((13-$S373)/12)+(AB$102&gt;$R373))*$Q373*INDEX($J$13:$O$39,$N373-1999,AB$102-2020)</f>
        <v>25654.288661853847</v>
      </c>
      <c r="AC373" s="33" cm="1">
        <f t="array" ref="AC373">((AC$102=$R373)*((13-$S373)/12)+(AC$102&gt;$R373))*$Q373*INDEX($J$13:$O$39,$N373-1999,AC$102-2020)</f>
        <v>26372.608744385754</v>
      </c>
    </row>
    <row r="374" spans="2:29" x14ac:dyDescent="0.2">
      <c r="B374" s="32">
        <f>'13. Input desinvesteringen'!B287</f>
        <v>271</v>
      </c>
      <c r="J374" s="32" t="str">
        <f>'13. Input desinvesteringen'!C287</f>
        <v>Transport</v>
      </c>
      <c r="K374" s="32" t="str">
        <f>'13. Input desinvesteringen'!D287</f>
        <v>HS</v>
      </c>
      <c r="L374" s="32" t="str">
        <f>'13. Input desinvesteringen'!E287</f>
        <v>Nee</v>
      </c>
      <c r="M374" s="32" t="str">
        <f>'13. Input desinvesteringen'!F287</f>
        <v>GAW ultimo 2000 Stedin - HS Eneco Classic (Zuid-Holland)</v>
      </c>
      <c r="N374" s="82">
        <f>'13. Input desinvesteringen'!G287</f>
        <v>2015</v>
      </c>
      <c r="O374" s="82"/>
      <c r="P374" s="82"/>
      <c r="Q374" s="32">
        <f>'13. Input desinvesteringen'!H287</f>
        <v>18203</v>
      </c>
      <c r="R374" s="82">
        <f>'13. Input desinvesteringen'!I287</f>
        <v>2024</v>
      </c>
      <c r="S374" s="32">
        <f>'13. Input desinvesteringen'!J287</f>
        <v>1</v>
      </c>
      <c r="U374" s="76">
        <f t="shared" si="15"/>
        <v>0.8732220164530794</v>
      </c>
      <c r="V374" s="76">
        <f t="shared" si="16"/>
        <v>0.1267779835469206</v>
      </c>
      <c r="X374" s="33" cm="1">
        <f t="array" ref="X374">((X$102=$R374)*((13-$S374)/12)+(X$102&gt;$R374))*$Q374*INDEX($J$13:$O$39,$N374-1999,X$102-2020)</f>
        <v>0</v>
      </c>
      <c r="Y374" s="33" cm="1">
        <f t="array" ref="Y374">((Y$102=$R374)*((13-$S374)/12)+(Y$102&gt;$R374))*$Q374*INDEX($J$13:$O$39,$N374-1999,Y$102-2020)</f>
        <v>0</v>
      </c>
      <c r="Z374" s="33" cm="1">
        <f t="array" ref="Z374">((Z$102=$R374)*((13-$S374)/12)+(Z$102&gt;$R374))*$Q374*INDEX($J$13:$O$39,$N374-1999,Z$102-2020)</f>
        <v>0</v>
      </c>
      <c r="AA374" s="33" cm="1">
        <f t="array" ref="AA374">((AA$102=$R374)*((13-$S374)/12)+(AA$102&gt;$R374))*$Q374*INDEX($J$13:$O$39,$N374-1999,AA$102-2020)</f>
        <v>23276.233703105718</v>
      </c>
      <c r="AB374" s="33" cm="1">
        <f t="array" ref="AB374">((AB$102=$R374)*((13-$S374)/12)+(AB$102&gt;$R374))*$Q374*INDEX($J$13:$O$39,$N374-1999,AB$102-2020)</f>
        <v>24114.178116417523</v>
      </c>
      <c r="AC374" s="33" cm="1">
        <f t="array" ref="AC374">((AC$102=$R374)*((13-$S374)/12)+(AC$102&gt;$R374))*$Q374*INDEX($J$13:$O$39,$N374-1999,AC$102-2020)</f>
        <v>24789.375103677216</v>
      </c>
    </row>
    <row r="375" spans="2:29" x14ac:dyDescent="0.2">
      <c r="B375" s="32">
        <f>'13. Input desinvesteringen'!B288</f>
        <v>272</v>
      </c>
      <c r="J375" s="32" t="str">
        <f>'13. Input desinvesteringen'!C288</f>
        <v>Transport</v>
      </c>
      <c r="K375" s="32" t="str">
        <f>'13. Input desinvesteringen'!D288</f>
        <v>HS</v>
      </c>
      <c r="L375" s="32" t="str">
        <f>'13. Input desinvesteringen'!E288</f>
        <v>Nee</v>
      </c>
      <c r="M375" s="32" t="str">
        <f>'13. Input desinvesteringen'!F288</f>
        <v>GAW ultimo 2000 TZH</v>
      </c>
      <c r="N375" s="82">
        <f>'13. Input desinvesteringen'!G288</f>
        <v>2008</v>
      </c>
      <c r="O375" s="82"/>
      <c r="P375" s="82"/>
      <c r="Q375" s="32">
        <f>'13. Input desinvesteringen'!H288</f>
        <v>190275</v>
      </c>
      <c r="R375" s="82">
        <f>'13. Input desinvesteringen'!I288</f>
        <v>2024</v>
      </c>
      <c r="S375" s="32">
        <f>'13. Input desinvesteringen'!J288</f>
        <v>7</v>
      </c>
      <c r="U375" s="76">
        <f t="shared" si="15"/>
        <v>0.9501178320392909</v>
      </c>
      <c r="V375" s="76">
        <f t="shared" si="16"/>
        <v>4.9882167960709101E-2</v>
      </c>
      <c r="X375" s="33" cm="1">
        <f t="array" ref="X375">((X$102=$R375)*((13-$S375)/12)+(X$102&gt;$R375))*$Q375*INDEX($J$13:$O$39,$N375-1999,X$102-2020)</f>
        <v>0</v>
      </c>
      <c r="Y375" s="33" cm="1">
        <f t="array" ref="Y375">((Y$102=$R375)*((13-$S375)/12)+(Y$102&gt;$R375))*$Q375*INDEX($J$13:$O$39,$N375-1999,Y$102-2020)</f>
        <v>0</v>
      </c>
      <c r="Z375" s="33" cm="1">
        <f t="array" ref="Z375">((Z$102=$R375)*((13-$S375)/12)+(Z$102&gt;$R375))*$Q375*INDEX($J$13:$O$39,$N375-1999,Z$102-2020)</f>
        <v>0</v>
      </c>
      <c r="AA375" s="33" cm="1">
        <f t="array" ref="AA375">((AA$102=$R375)*((13-$S375)/12)+(AA$102&gt;$R375))*$Q375*INDEX($J$13:$O$39,$N375-1999,AA$102-2020)</f>
        <v>139285.41111491108</v>
      </c>
      <c r="AB375" s="33" cm="1">
        <f t="array" ref="AB375">((AB$102=$R375)*((13-$S375)/12)+(AB$102&gt;$R375))*$Q375*INDEX($J$13:$O$39,$N375-1999,AB$102-2020)</f>
        <v>288599.37183009583</v>
      </c>
      <c r="AC375" s="33" cm="1">
        <f t="array" ref="AC375">((AC$102=$R375)*((13-$S375)/12)+(AC$102&gt;$R375))*$Q375*INDEX($J$13:$O$39,$N375-1999,AC$102-2020)</f>
        <v>296680.15424133849</v>
      </c>
    </row>
    <row r="376" spans="2:29" x14ac:dyDescent="0.2">
      <c r="B376" s="32">
        <f>'13. Input desinvesteringen'!B289</f>
        <v>273</v>
      </c>
      <c r="J376" s="32" t="str">
        <f>'13. Input desinvesteringen'!C289</f>
        <v>Transport</v>
      </c>
      <c r="K376" s="32" t="str">
        <f>'13. Input desinvesteringen'!D289</f>
        <v>HS</v>
      </c>
      <c r="L376" s="32" t="str">
        <f>'13. Input desinvesteringen'!E289</f>
        <v>Nee</v>
      </c>
      <c r="M376" s="32" t="str">
        <f>'13. Input desinvesteringen'!F289</f>
        <v>GAW ultimo 2000 TZH</v>
      </c>
      <c r="N376" s="82">
        <f>'13. Input desinvesteringen'!G289</f>
        <v>2008</v>
      </c>
      <c r="O376" s="82"/>
      <c r="P376" s="82"/>
      <c r="Q376" s="32">
        <f>'13. Input desinvesteringen'!H289</f>
        <v>430908</v>
      </c>
      <c r="R376" s="82">
        <f>'13. Input desinvesteringen'!I289</f>
        <v>2024</v>
      </c>
      <c r="S376" s="32">
        <f>'13. Input desinvesteringen'!J289</f>
        <v>11</v>
      </c>
      <c r="U376" s="76">
        <f t="shared" si="15"/>
        <v>0.9501178320392909</v>
      </c>
      <c r="V376" s="76">
        <f t="shared" si="16"/>
        <v>4.9882167960709101E-2</v>
      </c>
      <c r="X376" s="33" cm="1">
        <f t="array" ref="X376">((X$102=$R376)*((13-$S376)/12)+(X$102&gt;$R376))*$Q376*INDEX($J$13:$O$39,$N376-1999,X$102-2020)</f>
        <v>0</v>
      </c>
      <c r="Y376" s="33" cm="1">
        <f t="array" ref="Y376">((Y$102=$R376)*((13-$S376)/12)+(Y$102&gt;$R376))*$Q376*INDEX($J$13:$O$39,$N376-1999,Y$102-2020)</f>
        <v>0</v>
      </c>
      <c r="Z376" s="33" cm="1">
        <f t="array" ref="Z376">((Z$102=$R376)*((13-$S376)/12)+(Z$102&gt;$R376))*$Q376*INDEX($J$13:$O$39,$N376-1999,Z$102-2020)</f>
        <v>0</v>
      </c>
      <c r="AA376" s="33" cm="1">
        <f t="array" ref="AA376">((AA$102=$R376)*((13-$S376)/12)+(AA$102&gt;$R376))*$Q376*INDEX($J$13:$O$39,$N376-1999,AA$102-2020)</f>
        <v>105144.65542452435</v>
      </c>
      <c r="AB376" s="33" cm="1">
        <f t="array" ref="AB376">((AB$102=$R376)*((13-$S376)/12)+(AB$102&gt;$R376))*$Q376*INDEX($J$13:$O$39,$N376-1999,AB$102-2020)</f>
        <v>653579.17811884335</v>
      </c>
      <c r="AC376" s="33" cm="1">
        <f t="array" ref="AC376">((AC$102=$R376)*((13-$S376)/12)+(AC$102&gt;$R376))*$Q376*INDEX($J$13:$O$39,$N376-1999,AC$102-2020)</f>
        <v>671879.39510617102</v>
      </c>
    </row>
    <row r="377" spans="2:29" x14ac:dyDescent="0.2">
      <c r="B377" s="32">
        <f>'13. Input desinvesteringen'!B290</f>
        <v>274</v>
      </c>
      <c r="J377" s="32" t="str">
        <f>'13. Input desinvesteringen'!C290</f>
        <v>Transport</v>
      </c>
      <c r="K377" s="32" t="str">
        <f>'13. Input desinvesteringen'!D290</f>
        <v>HS</v>
      </c>
      <c r="L377" s="32" t="str">
        <f>'13. Input desinvesteringen'!E290</f>
        <v>Nee</v>
      </c>
      <c r="M377" s="32" t="str">
        <f>'13. Input desinvesteringen'!F290</f>
        <v>GAW ultimo 2000 TZH</v>
      </c>
      <c r="N377" s="82">
        <f>'13. Input desinvesteringen'!G290</f>
        <v>2008</v>
      </c>
      <c r="O377" s="82"/>
      <c r="P377" s="82"/>
      <c r="Q377" s="32">
        <f>'13. Input desinvesteringen'!H290</f>
        <v>69755</v>
      </c>
      <c r="R377" s="82">
        <f>'13. Input desinvesteringen'!I290</f>
        <v>2024</v>
      </c>
      <c r="S377" s="32">
        <f>'13. Input desinvesteringen'!J290</f>
        <v>12</v>
      </c>
      <c r="U377" s="76">
        <f t="shared" si="15"/>
        <v>0.9501178320392909</v>
      </c>
      <c r="V377" s="76">
        <f t="shared" si="16"/>
        <v>4.9882167960709101E-2</v>
      </c>
      <c r="X377" s="33" cm="1">
        <f t="array" ref="X377">((X$102=$R377)*((13-$S377)/12)+(X$102&gt;$R377))*$Q377*INDEX($J$13:$O$39,$N377-1999,X$102-2020)</f>
        <v>0</v>
      </c>
      <c r="Y377" s="33" cm="1">
        <f t="array" ref="Y377">((Y$102=$R377)*((13-$S377)/12)+(Y$102&gt;$R377))*$Q377*INDEX($J$13:$O$39,$N377-1999,Y$102-2020)</f>
        <v>0</v>
      </c>
      <c r="Z377" s="33" cm="1">
        <f t="array" ref="Z377">((Z$102=$R377)*((13-$S377)/12)+(Z$102&gt;$R377))*$Q377*INDEX($J$13:$O$39,$N377-1999,Z$102-2020)</f>
        <v>0</v>
      </c>
      <c r="AA377" s="33" cm="1">
        <f t="array" ref="AA377">((AA$102=$R377)*((13-$S377)/12)+(AA$102&gt;$R377))*$Q377*INDEX($J$13:$O$39,$N377-1999,AA$102-2020)</f>
        <v>8510.3611897872579</v>
      </c>
      <c r="AB377" s="33" cm="1">
        <f t="array" ref="AB377">((AB$102=$R377)*((13-$S377)/12)+(AB$102&gt;$R377))*$Q377*INDEX($J$13:$O$39,$N377-1999,AB$102-2020)</f>
        <v>105800.8103114352</v>
      </c>
      <c r="AC377" s="33" cm="1">
        <f t="array" ref="AC377">((AC$102=$R377)*((13-$S377)/12)+(AC$102&gt;$R377))*$Q377*INDEX($J$13:$O$39,$N377-1999,AC$102-2020)</f>
        <v>108763.23300015539</v>
      </c>
    </row>
    <row r="378" spans="2:29" x14ac:dyDescent="0.2">
      <c r="B378" s="32">
        <f>'13. Input desinvesteringen'!B291</f>
        <v>275</v>
      </c>
      <c r="J378" s="32" t="str">
        <f>'13. Input desinvesteringen'!C291</f>
        <v>Transport</v>
      </c>
      <c r="K378" s="32" t="str">
        <f>'13. Input desinvesteringen'!D291</f>
        <v>EHS</v>
      </c>
      <c r="L378" s="32" t="str">
        <f>'13. Input desinvesteringen'!E291</f>
        <v>Nee</v>
      </c>
      <c r="M378" s="32" t="str">
        <f>'13. Input desinvesteringen'!F291</f>
        <v>GAW ultimo 2000 EHS OUD</v>
      </c>
      <c r="N378" s="82">
        <f>'13. Input desinvesteringen'!G291</f>
        <v>2000</v>
      </c>
      <c r="O378" s="82"/>
      <c r="P378" s="82"/>
      <c r="Q378" s="32">
        <f>'13. Input desinvesteringen'!H291</f>
        <v>4606094</v>
      </c>
      <c r="R378" s="82">
        <f>'13. Input desinvesteringen'!I291</f>
        <v>2024</v>
      </c>
      <c r="S378" s="32">
        <f>'13. Input desinvesteringen'!J291</f>
        <v>7</v>
      </c>
      <c r="U378" s="76">
        <f t="shared" si="15"/>
        <v>0.97443793491415276</v>
      </c>
      <c r="V378" s="76">
        <f t="shared" si="16"/>
        <v>2.5562065085847241E-2</v>
      </c>
      <c r="X378" s="33" cm="1">
        <f t="array" ref="X378">((X$102=$R378)*((13-$S378)/12)+(X$102&gt;$R378))*$Q378*INDEX($J$13:$O$39,$N378-1999,X$102-2020)</f>
        <v>0</v>
      </c>
      <c r="Y378" s="33" cm="1">
        <f t="array" ref="Y378">((Y$102=$R378)*((13-$S378)/12)+(Y$102&gt;$R378))*$Q378*INDEX($J$13:$O$39,$N378-1999,Y$102-2020)</f>
        <v>0</v>
      </c>
      <c r="Z378" s="33" cm="1">
        <f t="array" ref="Z378">((Z$102=$R378)*((13-$S378)/12)+(Z$102&gt;$R378))*$Q378*INDEX($J$13:$O$39,$N378-1999,Z$102-2020)</f>
        <v>0</v>
      </c>
      <c r="AA378" s="33" cm="1">
        <f t="array" ref="AA378">((AA$102=$R378)*((13-$S378)/12)+(AA$102&gt;$R378))*$Q378*INDEX($J$13:$O$39,$N378-1999,AA$102-2020)</f>
        <v>4026626.5365572516</v>
      </c>
      <c r="AB378" s="33" cm="1">
        <f t="array" ref="AB378">((AB$102=$R378)*((13-$S378)/12)+(AB$102&gt;$R378))*$Q378*INDEX($J$13:$O$39,$N378-1999,AB$102-2020)</f>
        <v>8343170.1837466247</v>
      </c>
      <c r="AC378" s="33" cm="1">
        <f t="array" ref="AC378">((AC$102=$R378)*((13-$S378)/12)+(AC$102&gt;$R378))*$Q378*INDEX($J$13:$O$39,$N378-1999,AC$102-2020)</f>
        <v>8576778.9488915298</v>
      </c>
    </row>
    <row r="379" spans="2:29" x14ac:dyDescent="0.2">
      <c r="B379" s="32">
        <f>'13. Input desinvesteringen'!B292</f>
        <v>276</v>
      </c>
      <c r="J379" s="32" t="str">
        <f>'13. Input desinvesteringen'!C292</f>
        <v>Transport</v>
      </c>
      <c r="K379" s="32" t="str">
        <f>'13. Input desinvesteringen'!D292</f>
        <v>EHS</v>
      </c>
      <c r="L379" s="32" t="str">
        <f>'13. Input desinvesteringen'!E292</f>
        <v>Nee</v>
      </c>
      <c r="M379" s="32" t="str">
        <f>'13. Input desinvesteringen'!F292</f>
        <v>GAW ultimo 2000 EHS OUD</v>
      </c>
      <c r="N379" s="82">
        <f>'13. Input desinvesteringen'!G292</f>
        <v>2000</v>
      </c>
      <c r="O379" s="82"/>
      <c r="P379" s="82"/>
      <c r="Q379" s="32">
        <f>'13. Input desinvesteringen'!H292</f>
        <v>43786</v>
      </c>
      <c r="R379" s="82">
        <f>'13. Input desinvesteringen'!I292</f>
        <v>2024</v>
      </c>
      <c r="S379" s="32">
        <f>'13. Input desinvesteringen'!J292</f>
        <v>10</v>
      </c>
      <c r="U379" s="76">
        <f t="shared" si="15"/>
        <v>0.97443793491415276</v>
      </c>
      <c r="V379" s="76">
        <f t="shared" si="16"/>
        <v>2.5562065085847241E-2</v>
      </c>
      <c r="X379" s="33" cm="1">
        <f t="array" ref="X379">((X$102=$R379)*((13-$S379)/12)+(X$102&gt;$R379))*$Q379*INDEX($J$13:$O$39,$N379-1999,X$102-2020)</f>
        <v>0</v>
      </c>
      <c r="Y379" s="33" cm="1">
        <f t="array" ref="Y379">((Y$102=$R379)*((13-$S379)/12)+(Y$102&gt;$R379))*$Q379*INDEX($J$13:$O$39,$N379-1999,Y$102-2020)</f>
        <v>0</v>
      </c>
      <c r="Z379" s="33" cm="1">
        <f t="array" ref="Z379">((Z$102=$R379)*((13-$S379)/12)+(Z$102&gt;$R379))*$Q379*INDEX($J$13:$O$39,$N379-1999,Z$102-2020)</f>
        <v>0</v>
      </c>
      <c r="AA379" s="33" cm="1">
        <f t="array" ref="AA379">((AA$102=$R379)*((13-$S379)/12)+(AA$102&gt;$R379))*$Q379*INDEX($J$13:$O$39,$N379-1999,AA$102-2020)</f>
        <v>19138.761554768076</v>
      </c>
      <c r="AB379" s="33" cm="1">
        <f t="array" ref="AB379">((AB$102=$R379)*((13-$S379)/12)+(AB$102&gt;$R379))*$Q379*INDEX($J$13:$O$39,$N379-1999,AB$102-2020)</f>
        <v>79311.027882958908</v>
      </c>
      <c r="AC379" s="33" cm="1">
        <f t="array" ref="AC379">((AC$102=$R379)*((13-$S379)/12)+(AC$102&gt;$R379))*$Q379*INDEX($J$13:$O$39,$N379-1999,AC$102-2020)</f>
        <v>81531.736663681761</v>
      </c>
    </row>
    <row r="380" spans="2:29" x14ac:dyDescent="0.2">
      <c r="B380" s="32">
        <f>'13. Input desinvesteringen'!B293</f>
        <v>277</v>
      </c>
      <c r="J380" s="32" t="str">
        <f>'13. Input desinvesteringen'!C293</f>
        <v>Transport</v>
      </c>
      <c r="K380" s="32" t="str">
        <f>'13. Input desinvesteringen'!D293</f>
        <v>EHS</v>
      </c>
      <c r="L380" s="32" t="str">
        <f>'13. Input desinvesteringen'!E293</f>
        <v>Nee</v>
      </c>
      <c r="M380" s="32" t="str">
        <f>'13. Input desinvesteringen'!F293</f>
        <v>GAW ultimo 2000 EHS OUD</v>
      </c>
      <c r="N380" s="82">
        <f>'13. Input desinvesteringen'!G293</f>
        <v>2000</v>
      </c>
      <c r="O380" s="82"/>
      <c r="P380" s="82"/>
      <c r="Q380" s="32">
        <f>'13. Input desinvesteringen'!H293</f>
        <v>235728</v>
      </c>
      <c r="R380" s="82">
        <f>'13. Input desinvesteringen'!I293</f>
        <v>2024</v>
      </c>
      <c r="S380" s="32">
        <f>'13. Input desinvesteringen'!J293</f>
        <v>11</v>
      </c>
      <c r="U380" s="76">
        <f t="shared" si="15"/>
        <v>0.97443793491415276</v>
      </c>
      <c r="V380" s="76">
        <f t="shared" si="16"/>
        <v>2.5562065085847241E-2</v>
      </c>
      <c r="X380" s="33" cm="1">
        <f t="array" ref="X380">((X$102=$R380)*((13-$S380)/12)+(X$102&gt;$R380))*$Q380*INDEX($J$13:$O$39,$N380-1999,X$102-2020)</f>
        <v>0</v>
      </c>
      <c r="Y380" s="33" cm="1">
        <f t="array" ref="Y380">((Y$102=$R380)*((13-$S380)/12)+(Y$102&gt;$R380))*$Q380*INDEX($J$13:$O$39,$N380-1999,Y$102-2020)</f>
        <v>0</v>
      </c>
      <c r="Z380" s="33" cm="1">
        <f t="array" ref="Z380">((Z$102=$R380)*((13-$S380)/12)+(Z$102&gt;$R380))*$Q380*INDEX($J$13:$O$39,$N380-1999,Z$102-2020)</f>
        <v>0</v>
      </c>
      <c r="AA380" s="33" cm="1">
        <f t="array" ref="AA380">((AA$102=$R380)*((13-$S380)/12)+(AA$102&gt;$R380))*$Q380*INDEX($J$13:$O$39,$N380-1999,AA$102-2020)</f>
        <v>68690.783717510451</v>
      </c>
      <c r="AB380" s="33" cm="1">
        <f t="array" ref="AB380">((AB$102=$R380)*((13-$S380)/12)+(AB$102&gt;$R380))*$Q380*INDEX($J$13:$O$39,$N380-1999,AB$102-2020)</f>
        <v>426981.91158804495</v>
      </c>
      <c r="AC380" s="33" cm="1">
        <f t="array" ref="AC380">((AC$102=$R380)*((13-$S380)/12)+(AC$102&gt;$R380))*$Q380*INDEX($J$13:$O$39,$N380-1999,AC$102-2020)</f>
        <v>438937.40511251026</v>
      </c>
    </row>
    <row r="381" spans="2:29" x14ac:dyDescent="0.2">
      <c r="B381" s="32">
        <f>'13. Input desinvesteringen'!B294</f>
        <v>278</v>
      </c>
      <c r="J381" s="32" t="str">
        <f>'13. Input desinvesteringen'!C294</f>
        <v>Transport</v>
      </c>
      <c r="K381" s="32" t="str">
        <f>'13. Input desinvesteringen'!D294</f>
        <v>EHS</v>
      </c>
      <c r="L381" s="32" t="str">
        <f>'13. Input desinvesteringen'!E294</f>
        <v>Nee</v>
      </c>
      <c r="M381" s="32" t="str">
        <f>'13. Input desinvesteringen'!F294</f>
        <v>GAW ultimo 2000 EHS OUD</v>
      </c>
      <c r="N381" s="82">
        <f>'13. Input desinvesteringen'!G294</f>
        <v>2000</v>
      </c>
      <c r="O381" s="82"/>
      <c r="P381" s="82"/>
      <c r="Q381" s="32">
        <f>'13. Input desinvesteringen'!H294</f>
        <v>2525776</v>
      </c>
      <c r="R381" s="82">
        <f>'13. Input desinvesteringen'!I294</f>
        <v>2024</v>
      </c>
      <c r="S381" s="32">
        <f>'13. Input desinvesteringen'!J294</f>
        <v>12</v>
      </c>
      <c r="U381" s="76">
        <f t="shared" si="15"/>
        <v>0.97443793491415276</v>
      </c>
      <c r="V381" s="76">
        <f t="shared" si="16"/>
        <v>2.5562065085847241E-2</v>
      </c>
      <c r="X381" s="33" cm="1">
        <f t="array" ref="X381">((X$102=$R381)*((13-$S381)/12)+(X$102&gt;$R381))*$Q381*INDEX($J$13:$O$39,$N381-1999,X$102-2020)</f>
        <v>0</v>
      </c>
      <c r="Y381" s="33" cm="1">
        <f t="array" ref="Y381">((Y$102=$R381)*((13-$S381)/12)+(Y$102&gt;$R381))*$Q381*INDEX($J$13:$O$39,$N381-1999,Y$102-2020)</f>
        <v>0</v>
      </c>
      <c r="Z381" s="33" cm="1">
        <f t="array" ref="Z381">((Z$102=$R381)*((13-$S381)/12)+(Z$102&gt;$R381))*$Q381*INDEX($J$13:$O$39,$N381-1999,Z$102-2020)</f>
        <v>0</v>
      </c>
      <c r="AA381" s="33" cm="1">
        <f t="array" ref="AA381">((AA$102=$R381)*((13-$S381)/12)+(AA$102&gt;$R381))*$Q381*INDEX($J$13:$O$39,$N381-1999,AA$102-2020)</f>
        <v>368003.6587399008</v>
      </c>
      <c r="AB381" s="33" cm="1">
        <f t="array" ref="AB381">((AB$102=$R381)*((13-$S381)/12)+(AB$102&gt;$R381))*$Q381*INDEX($J$13:$O$39,$N381-1999,AB$102-2020)</f>
        <v>4575021.4854544466</v>
      </c>
      <c r="AC381" s="33" cm="1">
        <f t="array" ref="AC381">((AC$102=$R381)*((13-$S381)/12)+(AC$102&gt;$R381))*$Q381*INDEX($J$13:$O$39,$N381-1999,AC$102-2020)</f>
        <v>4703122.0870471718</v>
      </c>
    </row>
    <row r="382" spans="2:29" x14ac:dyDescent="0.2">
      <c r="B382" s="32">
        <f>'13. Input desinvesteringen'!B295</f>
        <v>279</v>
      </c>
      <c r="J382" s="32" t="str">
        <f>'13. Input desinvesteringen'!C295</f>
        <v>Transport</v>
      </c>
      <c r="K382" s="32" t="str">
        <f>'13. Input desinvesteringen'!D295</f>
        <v>HS</v>
      </c>
      <c r="L382" s="32" t="str">
        <f>'13. Input desinvesteringen'!E295</f>
        <v>Nee</v>
      </c>
      <c r="M382" s="32" t="str">
        <f>'13. Input desinvesteringen'!F295</f>
        <v>GAW ultimo 2000 Enexis</v>
      </c>
      <c r="N382" s="82">
        <f>'13. Input desinvesteringen'!G295</f>
        <v>2008</v>
      </c>
      <c r="O382" s="82"/>
      <c r="P382" s="82"/>
      <c r="Q382" s="32">
        <f>'13. Input desinvesteringen'!H295</f>
        <v>68684</v>
      </c>
      <c r="R382" s="82">
        <f>'13. Input desinvesteringen'!I295</f>
        <v>2024</v>
      </c>
      <c r="S382" s="32">
        <f>'13. Input desinvesteringen'!J295</f>
        <v>6</v>
      </c>
      <c r="U382" s="76">
        <f t="shared" si="15"/>
        <v>0.9501178320392909</v>
      </c>
      <c r="V382" s="76">
        <f t="shared" si="16"/>
        <v>4.9882167960709101E-2</v>
      </c>
      <c r="X382" s="33" cm="1">
        <f t="array" ref="X382">((X$102=$R382)*((13-$S382)/12)+(X$102&gt;$R382))*$Q382*INDEX($J$13:$O$39,$N382-1999,X$102-2020)</f>
        <v>0</v>
      </c>
      <c r="Y382" s="33" cm="1">
        <f t="array" ref="Y382">((Y$102=$R382)*((13-$S382)/12)+(Y$102&gt;$R382))*$Q382*INDEX($J$13:$O$39,$N382-1999,Y$102-2020)</f>
        <v>0</v>
      </c>
      <c r="Z382" s="33" cm="1">
        <f t="array" ref="Z382">((Z$102=$R382)*((13-$S382)/12)+(Z$102&gt;$R382))*$Q382*INDEX($J$13:$O$39,$N382-1999,Z$102-2020)</f>
        <v>0</v>
      </c>
      <c r="AA382" s="33" cm="1">
        <f t="array" ref="AA382">((AA$102=$R382)*((13-$S382)/12)+(AA$102&gt;$R382))*$Q382*INDEX($J$13:$O$39,$N382-1999,AA$102-2020)</f>
        <v>58657.867331595393</v>
      </c>
      <c r="AB382" s="33" cm="1">
        <f t="array" ref="AB382">((AB$102=$R382)*((13-$S382)/12)+(AB$102&gt;$R382))*$Q382*INDEX($J$13:$O$39,$N382-1999,AB$102-2020)</f>
        <v>104176.37238091342</v>
      </c>
      <c r="AC382" s="33" cm="1">
        <f t="array" ref="AC382">((AC$102=$R382)*((13-$S382)/12)+(AC$102&gt;$R382))*$Q382*INDEX($J$13:$O$39,$N382-1999,AC$102-2020)</f>
        <v>107093.31080757899</v>
      </c>
    </row>
    <row r="383" spans="2:29" x14ac:dyDescent="0.2">
      <c r="B383" s="32">
        <f>'13. Input desinvesteringen'!B296</f>
        <v>280</v>
      </c>
      <c r="J383" s="32" t="str">
        <f>'13. Input desinvesteringen'!C296</f>
        <v>Transport</v>
      </c>
      <c r="K383" s="32" t="str">
        <f>'13. Input desinvesteringen'!D296</f>
        <v>HS</v>
      </c>
      <c r="L383" s="32" t="str">
        <f>'13. Input desinvesteringen'!E296</f>
        <v>Nee</v>
      </c>
      <c r="M383" s="32" t="str">
        <f>'13. Input desinvesteringen'!F296</f>
        <v>GAW ultimo 2000 Enexis</v>
      </c>
      <c r="N383" s="82">
        <f>'13. Input desinvesteringen'!G296</f>
        <v>2008</v>
      </c>
      <c r="O383" s="82"/>
      <c r="P383" s="82"/>
      <c r="Q383" s="32">
        <f>'13. Input desinvesteringen'!H296</f>
        <v>29559</v>
      </c>
      <c r="R383" s="82">
        <f>'13. Input desinvesteringen'!I296</f>
        <v>2024</v>
      </c>
      <c r="S383" s="32">
        <f>'13. Input desinvesteringen'!J296</f>
        <v>12</v>
      </c>
      <c r="U383" s="76">
        <f t="shared" si="15"/>
        <v>0.9501178320392909</v>
      </c>
      <c r="V383" s="76">
        <f t="shared" si="16"/>
        <v>4.9882167960709101E-2</v>
      </c>
      <c r="X383" s="33" cm="1">
        <f t="array" ref="X383">((X$102=$R383)*((13-$S383)/12)+(X$102&gt;$R383))*$Q383*INDEX($J$13:$O$39,$N383-1999,X$102-2020)</f>
        <v>0</v>
      </c>
      <c r="Y383" s="33" cm="1">
        <f t="array" ref="Y383">((Y$102=$R383)*((13-$S383)/12)+(Y$102&gt;$R383))*$Q383*INDEX($J$13:$O$39,$N383-1999,Y$102-2020)</f>
        <v>0</v>
      </c>
      <c r="Z383" s="33" cm="1">
        <f t="array" ref="Z383">((Z$102=$R383)*((13-$S383)/12)+(Z$102&gt;$R383))*$Q383*INDEX($J$13:$O$39,$N383-1999,Z$102-2020)</f>
        <v>0</v>
      </c>
      <c r="AA383" s="33" cm="1">
        <f t="array" ref="AA383">((AA$102=$R383)*((13-$S383)/12)+(AA$102&gt;$R383))*$Q383*INDEX($J$13:$O$39,$N383-1999,AA$102-2020)</f>
        <v>3606.3044428201788</v>
      </c>
      <c r="AB383" s="33" cm="1">
        <f t="array" ref="AB383">((AB$102=$R383)*((13-$S383)/12)+(AB$102&gt;$R383))*$Q383*INDEX($J$13:$O$39,$N383-1999,AB$102-2020)</f>
        <v>44833.576833140469</v>
      </c>
      <c r="AC383" s="33" cm="1">
        <f t="array" ref="AC383">((AC$102=$R383)*((13-$S383)/12)+(AC$102&gt;$R383))*$Q383*INDEX($J$13:$O$39,$N383-1999,AC$102-2020)</f>
        <v>46088.9169844684</v>
      </c>
    </row>
    <row r="384" spans="2:29" x14ac:dyDescent="0.2">
      <c r="B384" s="32">
        <f>'13. Input desinvesteringen'!B297</f>
        <v>281</v>
      </c>
      <c r="J384" s="32" t="str">
        <f>'13. Input desinvesteringen'!C297</f>
        <v>Transport</v>
      </c>
      <c r="K384" s="32" t="str">
        <f>'13. Input desinvesteringen'!D297</f>
        <v>HS</v>
      </c>
      <c r="L384" s="32" t="str">
        <f>'13. Input desinvesteringen'!E297</f>
        <v>Nee</v>
      </c>
      <c r="M384" s="32" t="str">
        <f>'13. Input desinvesteringen'!F297</f>
        <v>GAW ultimo 2000 Liander (overname: 2008)</v>
      </c>
      <c r="N384" s="82">
        <f>'13. Input desinvesteringen'!G297</f>
        <v>2008</v>
      </c>
      <c r="O384" s="82"/>
      <c r="P384" s="82"/>
      <c r="Q384" s="32">
        <f>'13. Input desinvesteringen'!H297</f>
        <v>10863</v>
      </c>
      <c r="R384" s="82">
        <f>'13. Input desinvesteringen'!I297</f>
        <v>2024</v>
      </c>
      <c r="S384" s="32">
        <f>'13. Input desinvesteringen'!J297</f>
        <v>12</v>
      </c>
      <c r="U384" s="76">
        <f t="shared" si="15"/>
        <v>0.9501178320392909</v>
      </c>
      <c r="V384" s="76">
        <f t="shared" si="16"/>
        <v>4.9882167960709101E-2</v>
      </c>
      <c r="X384" s="33" cm="1">
        <f t="array" ref="X384">((X$102=$R384)*((13-$S384)/12)+(X$102&gt;$R384))*$Q384*INDEX($J$13:$O$39,$N384-1999,X$102-2020)</f>
        <v>0</v>
      </c>
      <c r="Y384" s="33" cm="1">
        <f t="array" ref="Y384">((Y$102=$R384)*((13-$S384)/12)+(Y$102&gt;$R384))*$Q384*INDEX($J$13:$O$39,$N384-1999,Y$102-2020)</f>
        <v>0</v>
      </c>
      <c r="Z384" s="33" cm="1">
        <f t="array" ref="Z384">((Z$102=$R384)*((13-$S384)/12)+(Z$102&gt;$R384))*$Q384*INDEX($J$13:$O$39,$N384-1999,Z$102-2020)</f>
        <v>0</v>
      </c>
      <c r="AA384" s="33" cm="1">
        <f t="array" ref="AA384">((AA$102=$R384)*((13-$S384)/12)+(AA$102&gt;$R384))*$Q384*INDEX($J$13:$O$39,$N384-1999,AA$102-2020)</f>
        <v>1325.3251179794852</v>
      </c>
      <c r="AB384" s="33" cm="1">
        <f t="array" ref="AB384">((AB$102=$R384)*((13-$S384)/12)+(AB$102&gt;$R384))*$Q384*INDEX($J$13:$O$39,$N384-1999,AB$102-2020)</f>
        <v>16476.441866720961</v>
      </c>
      <c r="AC384" s="33" cm="1">
        <f t="array" ref="AC384">((AC$102=$R384)*((13-$S384)/12)+(AC$102&gt;$R384))*$Q384*INDEX($J$13:$O$39,$N384-1999,AC$102-2020)</f>
        <v>16937.782238989148</v>
      </c>
    </row>
    <row r="385" spans="2:29" x14ac:dyDescent="0.2">
      <c r="B385" s="32">
        <f>'13. Input desinvesteringen'!B298</f>
        <v>282</v>
      </c>
      <c r="J385" s="32" t="str">
        <f>'13. Input desinvesteringen'!C298</f>
        <v>Systeem</v>
      </c>
      <c r="K385" s="32" t="str">
        <f>'13. Input desinvesteringen'!D298</f>
        <v>EHS</v>
      </c>
      <c r="L385" s="32" t="str">
        <f>'13. Input desinvesteringen'!E298</f>
        <v>Nee</v>
      </c>
      <c r="M385" s="32" t="str">
        <f>'13. Input desinvesteringen'!F298</f>
        <v>(Proces)automatisering</v>
      </c>
      <c r="N385" s="82">
        <f>'13. Input desinvesteringen'!G298</f>
        <v>2011</v>
      </c>
      <c r="O385" s="82"/>
      <c r="P385" s="82"/>
      <c r="Q385" s="32">
        <f>'13. Input desinvesteringen'!H298</f>
        <v>5204494</v>
      </c>
      <c r="R385" s="82">
        <f>'13. Input desinvesteringen'!I298</f>
        <v>2024</v>
      </c>
      <c r="S385" s="32">
        <f>'13. Input desinvesteringen'!J298</f>
        <v>6</v>
      </c>
      <c r="U385" s="76">
        <f t="shared" si="15"/>
        <v>0</v>
      </c>
      <c r="V385" s="76">
        <f t="shared" si="16"/>
        <v>1</v>
      </c>
      <c r="X385" s="33" cm="1">
        <f t="array" ref="X385">((X$102=$R385)*((13-$S385)/12)+(X$102&gt;$R385))*$Q385*INDEX($J$13:$O$39,$N385-1999,X$102-2020)</f>
        <v>0</v>
      </c>
      <c r="Y385" s="33" cm="1">
        <f t="array" ref="Y385">((Y$102=$R385)*((13-$S385)/12)+(Y$102&gt;$R385))*$Q385*INDEX($J$13:$O$39,$N385-1999,Y$102-2020)</f>
        <v>0</v>
      </c>
      <c r="Z385" s="33" cm="1">
        <f t="array" ref="Z385">((Z$102=$R385)*((13-$S385)/12)+(Z$102&gt;$R385))*$Q385*INDEX($J$13:$O$39,$N385-1999,Z$102-2020)</f>
        <v>0</v>
      </c>
      <c r="AA385" s="33" cm="1">
        <f t="array" ref="AA385">((AA$102=$R385)*((13-$S385)/12)+(AA$102&gt;$R385))*$Q385*INDEX($J$13:$O$39,$N385-1999,AA$102-2020)</f>
        <v>4230605.4939600034</v>
      </c>
      <c r="AB385" s="33" cm="1">
        <f t="array" ref="AB385">((AB$102=$R385)*((13-$S385)/12)+(AB$102&gt;$R385))*$Q385*INDEX($J$13:$O$39,$N385-1999,AB$102-2020)</f>
        <v>7513555.3572729649</v>
      </c>
      <c r="AC385" s="33" cm="1">
        <f t="array" ref="AC385">((AC$102=$R385)*((13-$S385)/12)+(AC$102&gt;$R385))*$Q385*INDEX($J$13:$O$39,$N385-1999,AC$102-2020)</f>
        <v>7723934.907276608</v>
      </c>
    </row>
    <row r="386" spans="2:29" x14ac:dyDescent="0.2">
      <c r="B386" s="32">
        <f>'13. Input desinvesteringen'!B299</f>
        <v>283</v>
      </c>
      <c r="J386" s="32" t="str">
        <f>'13. Input desinvesteringen'!C299</f>
        <v>Systeem</v>
      </c>
      <c r="K386" s="32" t="str">
        <f>'13. Input desinvesteringen'!D299</f>
        <v>EHS</v>
      </c>
      <c r="L386" s="32" t="str">
        <f>'13. Input desinvesteringen'!E299</f>
        <v>Nee</v>
      </c>
      <c r="M386" s="32" t="str">
        <f>'13. Input desinvesteringen'!F299</f>
        <v>Overige bedrijfsmiddelen</v>
      </c>
      <c r="N386" s="82">
        <f>'13. Input desinvesteringen'!G299</f>
        <v>2005</v>
      </c>
      <c r="O386" s="82"/>
      <c r="P386" s="82"/>
      <c r="Q386" s="32">
        <f>'13. Input desinvesteringen'!H299</f>
        <v>12021</v>
      </c>
      <c r="R386" s="82">
        <f>'13. Input desinvesteringen'!I299</f>
        <v>2024</v>
      </c>
      <c r="S386" s="32">
        <f>'13. Input desinvesteringen'!J299</f>
        <v>12</v>
      </c>
      <c r="U386" s="76">
        <f t="shared" si="15"/>
        <v>0</v>
      </c>
      <c r="V386" s="76">
        <f t="shared" si="16"/>
        <v>1</v>
      </c>
      <c r="X386" s="33" cm="1">
        <f t="array" ref="X386">((X$102=$R386)*((13-$S386)/12)+(X$102&gt;$R386))*$Q386*INDEX($J$13:$O$39,$N386-1999,X$102-2020)</f>
        <v>0</v>
      </c>
      <c r="Y386" s="33" cm="1">
        <f t="array" ref="Y386">((Y$102=$R386)*((13-$S386)/12)+(Y$102&gt;$R386))*$Q386*INDEX($J$13:$O$39,$N386-1999,Y$102-2020)</f>
        <v>0</v>
      </c>
      <c r="Z386" s="33" cm="1">
        <f t="array" ref="Z386">((Z$102=$R386)*((13-$S386)/12)+(Z$102&gt;$R386))*$Q386*INDEX($J$13:$O$39,$N386-1999,Z$102-2020)</f>
        <v>0</v>
      </c>
      <c r="AA386" s="33" cm="1">
        <f t="array" ref="AA386">((AA$102=$R386)*((13-$S386)/12)+(AA$102&gt;$R386))*$Q386*INDEX($J$13:$O$39,$N386-1999,AA$102-2020)</f>
        <v>1530.5592103777778</v>
      </c>
      <c r="AB386" s="33" cm="1">
        <f t="array" ref="AB386">((AB$102=$R386)*((13-$S386)/12)+(AB$102&gt;$R386))*$Q386*INDEX($J$13:$O$39,$N386-1999,AB$102-2020)</f>
        <v>19027.912103416536</v>
      </c>
      <c r="AC386" s="33" cm="1">
        <f t="array" ref="AC386">((AC$102=$R386)*((13-$S386)/12)+(AC$102&gt;$R386))*$Q386*INDEX($J$13:$O$39,$N386-1999,AC$102-2020)</f>
        <v>19560.693642312199</v>
      </c>
    </row>
    <row r="387" spans="2:29" x14ac:dyDescent="0.2">
      <c r="B387" s="32">
        <f>'13. Input desinvesteringen'!B300</f>
        <v>284</v>
      </c>
      <c r="J387" s="32" t="str">
        <f>'13. Input desinvesteringen'!C300</f>
        <v>Systeem</v>
      </c>
      <c r="K387" s="32" t="str">
        <f>'13. Input desinvesteringen'!D300</f>
        <v>EHS</v>
      </c>
      <c r="L387" s="32" t="str">
        <f>'13. Input desinvesteringen'!E300</f>
        <v>Nee</v>
      </c>
      <c r="M387" s="32" t="str">
        <f>'13. Input desinvesteringen'!F300</f>
        <v>Overige bedrijfsmiddelen</v>
      </c>
      <c r="N387" s="82">
        <f>'13. Input desinvesteringen'!G300</f>
        <v>2005</v>
      </c>
      <c r="O387" s="82"/>
      <c r="P387" s="82"/>
      <c r="Q387" s="32">
        <f>'13. Input desinvesteringen'!H300</f>
        <v>126811</v>
      </c>
      <c r="R387" s="82">
        <f>'13. Input desinvesteringen'!I300</f>
        <v>2024</v>
      </c>
      <c r="S387" s="32">
        <f>'13. Input desinvesteringen'!J300</f>
        <v>12</v>
      </c>
      <c r="U387" s="76">
        <f t="shared" si="15"/>
        <v>0</v>
      </c>
      <c r="V387" s="76">
        <f t="shared" si="16"/>
        <v>1</v>
      </c>
      <c r="X387" s="33" cm="1">
        <f t="array" ref="X387">((X$102=$R387)*((13-$S387)/12)+(X$102&gt;$R387))*$Q387*INDEX($J$13:$O$39,$N387-1999,X$102-2020)</f>
        <v>0</v>
      </c>
      <c r="Y387" s="33" cm="1">
        <f t="array" ref="Y387">((Y$102=$R387)*((13-$S387)/12)+(Y$102&gt;$R387))*$Q387*INDEX($J$13:$O$39,$N387-1999,Y$102-2020)</f>
        <v>0</v>
      </c>
      <c r="Z387" s="33" cm="1">
        <f t="array" ref="Z387">((Z$102=$R387)*((13-$S387)/12)+(Z$102&gt;$R387))*$Q387*INDEX($J$13:$O$39,$N387-1999,Z$102-2020)</f>
        <v>0</v>
      </c>
      <c r="AA387" s="33" cm="1">
        <f t="array" ref="AA387">((AA$102=$R387)*((13-$S387)/12)+(AA$102&gt;$R387))*$Q387*INDEX($J$13:$O$39,$N387-1999,AA$102-2020)</f>
        <v>16146.056403561797</v>
      </c>
      <c r="AB387" s="33" cm="1">
        <f t="array" ref="AB387">((AB$102=$R387)*((13-$S387)/12)+(AB$102&gt;$R387))*$Q387*INDEX($J$13:$O$39,$N387-1999,AB$102-2020)</f>
        <v>200727.7732090803</v>
      </c>
      <c r="AC387" s="33" cm="1">
        <f t="array" ref="AC387">((AC$102=$R387)*((13-$S387)/12)+(AC$102&gt;$R387))*$Q387*INDEX($J$13:$O$39,$N387-1999,AC$102-2020)</f>
        <v>206348.15085893453</v>
      </c>
    </row>
    <row r="388" spans="2:29" x14ac:dyDescent="0.2">
      <c r="B388" s="32">
        <f>'13. Input desinvesteringen'!B301</f>
        <v>285</v>
      </c>
      <c r="J388" s="32" t="str">
        <f>'13. Input desinvesteringen'!C301</f>
        <v>Systeem</v>
      </c>
      <c r="K388" s="32" t="str">
        <f>'13. Input desinvesteringen'!D301</f>
        <v>EHS</v>
      </c>
      <c r="L388" s="32" t="str">
        <f>'13. Input desinvesteringen'!E301</f>
        <v>Nee</v>
      </c>
      <c r="M388" s="32" t="str">
        <f>'13. Input desinvesteringen'!F301</f>
        <v>(Proces)automatisering</v>
      </c>
      <c r="N388" s="82">
        <f>'13. Input desinvesteringen'!G301</f>
        <v>2015</v>
      </c>
      <c r="O388" s="82"/>
      <c r="P388" s="82"/>
      <c r="Q388" s="32">
        <f>'13. Input desinvesteringen'!H301</f>
        <v>6510694</v>
      </c>
      <c r="R388" s="82">
        <f>'13. Input desinvesteringen'!I301</f>
        <v>2024</v>
      </c>
      <c r="S388" s="32">
        <f>'13. Input desinvesteringen'!J301</f>
        <v>6</v>
      </c>
      <c r="U388" s="76">
        <f t="shared" si="15"/>
        <v>0</v>
      </c>
      <c r="V388" s="76">
        <f t="shared" si="16"/>
        <v>1</v>
      </c>
      <c r="X388" s="33" cm="1">
        <f t="array" ref="X388">((X$102=$R388)*((13-$S388)/12)+(X$102&gt;$R388))*$Q388*INDEX($J$13:$O$39,$N388-1999,X$102-2020)</f>
        <v>0</v>
      </c>
      <c r="Y388" s="33" cm="1">
        <f t="array" ref="Y388">((Y$102=$R388)*((13-$S388)/12)+(Y$102&gt;$R388))*$Q388*INDEX($J$13:$O$39,$N388-1999,Y$102-2020)</f>
        <v>0</v>
      </c>
      <c r="Z388" s="33" cm="1">
        <f t="array" ref="Z388">((Z$102=$R388)*((13-$S388)/12)+(Z$102&gt;$R388))*$Q388*INDEX($J$13:$O$39,$N388-1999,Z$102-2020)</f>
        <v>0</v>
      </c>
      <c r="AA388" s="33" cm="1">
        <f t="array" ref="AA388">((AA$102=$R388)*((13-$S388)/12)+(AA$102&gt;$R388))*$Q388*INDEX($J$13:$O$39,$N388-1999,AA$102-2020)</f>
        <v>4856392.9287931351</v>
      </c>
      <c r="AB388" s="33" cm="1">
        <f t="array" ref="AB388">((AB$102=$R388)*((13-$S388)/12)+(AB$102&gt;$R388))*$Q388*INDEX($J$13:$O$39,$N388-1999,AB$102-2020)</f>
        <v>8624953.8415366076</v>
      </c>
      <c r="AC388" s="33" cm="1">
        <f t="array" ref="AC388">((AC$102=$R388)*((13-$S388)/12)+(AC$102&gt;$R388))*$Q388*INDEX($J$13:$O$39,$N388-1999,AC$102-2020)</f>
        <v>8866452.5490996335</v>
      </c>
    </row>
    <row r="389" spans="2:29" x14ac:dyDescent="0.2">
      <c r="B389" s="32">
        <f>'13. Input desinvesteringen'!B302</f>
        <v>286</v>
      </c>
      <c r="J389" s="32" t="str">
        <f>'13. Input desinvesteringen'!C302</f>
        <v>Systeem</v>
      </c>
      <c r="K389" s="32" t="str">
        <f>'13. Input desinvesteringen'!D302</f>
        <v>EHS</v>
      </c>
      <c r="L389" s="32" t="str">
        <f>'13. Input desinvesteringen'!E302</f>
        <v>Nee</v>
      </c>
      <c r="M389" s="32" t="str">
        <f>'13. Input desinvesteringen'!F302</f>
        <v>(Proces)automatisering</v>
      </c>
      <c r="N389" s="82">
        <f>'13. Input desinvesteringen'!G302</f>
        <v>2015</v>
      </c>
      <c r="O389" s="82"/>
      <c r="P389" s="82"/>
      <c r="Q389" s="32">
        <f>'13. Input desinvesteringen'!H302</f>
        <v>3615292</v>
      </c>
      <c r="R389" s="82">
        <f>'13. Input desinvesteringen'!I302</f>
        <v>2024</v>
      </c>
      <c r="S389" s="32">
        <f>'13. Input desinvesteringen'!J302</f>
        <v>6</v>
      </c>
      <c r="U389" s="76">
        <f t="shared" si="15"/>
        <v>0</v>
      </c>
      <c r="V389" s="76">
        <f t="shared" si="16"/>
        <v>1</v>
      </c>
      <c r="X389" s="33" cm="1">
        <f t="array" ref="X389">((X$102=$R389)*((13-$S389)/12)+(X$102&gt;$R389))*$Q389*INDEX($J$13:$O$39,$N389-1999,X$102-2020)</f>
        <v>0</v>
      </c>
      <c r="Y389" s="33" cm="1">
        <f t="array" ref="Y389">((Y$102=$R389)*((13-$S389)/12)+(Y$102&gt;$R389))*$Q389*INDEX($J$13:$O$39,$N389-1999,Y$102-2020)</f>
        <v>0</v>
      </c>
      <c r="Z389" s="33" cm="1">
        <f t="array" ref="Z389">((Z$102=$R389)*((13-$S389)/12)+(Z$102&gt;$R389))*$Q389*INDEX($J$13:$O$39,$N389-1999,Z$102-2020)</f>
        <v>0</v>
      </c>
      <c r="AA389" s="33" cm="1">
        <f t="array" ref="AA389">((AA$102=$R389)*((13-$S389)/12)+(AA$102&gt;$R389))*$Q389*INDEX($J$13:$O$39,$N389-1999,AA$102-2020)</f>
        <v>2696683.1038783873</v>
      </c>
      <c r="AB389" s="33" cm="1">
        <f t="array" ref="AB389">((AB$102=$R389)*((13-$S389)/12)+(AB$102&gt;$R389))*$Q389*INDEX($J$13:$O$39,$N389-1999,AB$102-2020)</f>
        <v>4789309.1924880156</v>
      </c>
      <c r="AC389" s="33" cm="1">
        <f t="array" ref="AC389">((AC$102=$R389)*((13-$S389)/12)+(AC$102&gt;$R389))*$Q389*INDEX($J$13:$O$39,$N389-1999,AC$102-2020)</f>
        <v>4923409.8498776797</v>
      </c>
    </row>
    <row r="390" spans="2:29" x14ac:dyDescent="0.2">
      <c r="B390" s="32">
        <f>'13. Input desinvesteringen'!B303</f>
        <v>287</v>
      </c>
      <c r="J390" s="32" t="str">
        <f>'13. Input desinvesteringen'!C303</f>
        <v>Transport</v>
      </c>
      <c r="K390" s="32" t="str">
        <f>'13. Input desinvesteringen'!D303</f>
        <v>EHS</v>
      </c>
      <c r="L390" s="32" t="str">
        <f>'13. Input desinvesteringen'!E303</f>
        <v>Nee</v>
      </c>
      <c r="M390" s="32" t="str">
        <f>'13. Input desinvesteringen'!F303</f>
        <v>Hoogspanningsstations primair</v>
      </c>
      <c r="N390" s="82">
        <f>'13. Input desinvesteringen'!G303</f>
        <v>2001</v>
      </c>
      <c r="O390" s="82"/>
      <c r="P390" s="82"/>
      <c r="Q390" s="32">
        <f>'13. Input desinvesteringen'!H303</f>
        <v>193892</v>
      </c>
      <c r="R390" s="82">
        <f>'13. Input desinvesteringen'!I303</f>
        <v>2024</v>
      </c>
      <c r="S390" s="32">
        <f>'13. Input desinvesteringen'!J303</f>
        <v>1</v>
      </c>
      <c r="U390" s="76">
        <f t="shared" si="15"/>
        <v>1</v>
      </c>
      <c r="V390" s="76">
        <f t="shared" si="16"/>
        <v>0</v>
      </c>
      <c r="X390" s="33" cm="1">
        <f t="array" ref="X390">((X$102=$R390)*((13-$S390)/12)+(X$102&gt;$R390))*$Q390*INDEX($J$13:$O$39,$N390-1999,X$102-2020)</f>
        <v>0</v>
      </c>
      <c r="Y390" s="33" cm="1">
        <f t="array" ref="Y390">((Y$102=$R390)*((13-$S390)/12)+(Y$102&gt;$R390))*$Q390*INDEX($J$13:$O$39,$N390-1999,Y$102-2020)</f>
        <v>0</v>
      </c>
      <c r="Z390" s="33" cm="1">
        <f t="array" ref="Z390">((Z$102=$R390)*((13-$S390)/12)+(Z$102&gt;$R390))*$Q390*INDEX($J$13:$O$39,$N390-1999,Z$102-2020)</f>
        <v>0</v>
      </c>
      <c r="AA390" s="33" cm="1">
        <f t="array" ref="AA390">((AA$102=$R390)*((13-$S390)/12)+(AA$102&gt;$R390))*$Q390*INDEX($J$13:$O$39,$N390-1999,AA$102-2020)</f>
        <v>330730.74969966739</v>
      </c>
      <c r="AB390" s="33" cm="1">
        <f t="array" ref="AB390">((AB$102=$R390)*((13-$S390)/12)+(AB$102&gt;$R390))*$Q390*INDEX($J$13:$O$39,$N390-1999,AB$102-2020)</f>
        <v>342637.05668885546</v>
      </c>
      <c r="AC390" s="33" cm="1">
        <f t="array" ref="AC390">((AC$102=$R390)*((13-$S390)/12)+(AC$102&gt;$R390))*$Q390*INDEX($J$13:$O$39,$N390-1999,AC$102-2020)</f>
        <v>352230.8942761434</v>
      </c>
    </row>
    <row r="391" spans="2:29" x14ac:dyDescent="0.2">
      <c r="B391" s="32">
        <f>'13. Input desinvesteringen'!B304</f>
        <v>288</v>
      </c>
      <c r="J391" s="32" t="str">
        <f>'13. Input desinvesteringen'!C304</f>
        <v>Transport</v>
      </c>
      <c r="K391" s="32" t="str">
        <f>'13. Input desinvesteringen'!D304</f>
        <v>EHS</v>
      </c>
      <c r="L391" s="32" t="str">
        <f>'13. Input desinvesteringen'!E304</f>
        <v>Nee</v>
      </c>
      <c r="M391" s="32" t="str">
        <f>'13. Input desinvesteringen'!F304</f>
        <v>Hoogspanningsstations secundair</v>
      </c>
      <c r="N391" s="82">
        <f>'13. Input desinvesteringen'!G304</f>
        <v>2005</v>
      </c>
      <c r="O391" s="82"/>
      <c r="P391" s="82"/>
      <c r="Q391" s="32">
        <f>'13. Input desinvesteringen'!H304</f>
        <v>19683</v>
      </c>
      <c r="R391" s="82">
        <f>'13. Input desinvesteringen'!I304</f>
        <v>2024</v>
      </c>
      <c r="S391" s="32">
        <f>'13. Input desinvesteringen'!J304</f>
        <v>8</v>
      </c>
      <c r="U391" s="76">
        <f t="shared" si="15"/>
        <v>1</v>
      </c>
      <c r="V391" s="76">
        <f t="shared" si="16"/>
        <v>0</v>
      </c>
      <c r="X391" s="33" cm="1">
        <f t="array" ref="X391">((X$102=$R391)*((13-$S391)/12)+(X$102&gt;$R391))*$Q391*INDEX($J$13:$O$39,$N391-1999,X$102-2020)</f>
        <v>0</v>
      </c>
      <c r="Y391" s="33" cm="1">
        <f t="array" ref="Y391">((Y$102=$R391)*((13-$S391)/12)+(Y$102&gt;$R391))*$Q391*INDEX($J$13:$O$39,$N391-1999,Y$102-2020)</f>
        <v>0</v>
      </c>
      <c r="Z391" s="33" cm="1">
        <f t="array" ref="Z391">((Z$102=$R391)*((13-$S391)/12)+(Z$102&gt;$R391))*$Q391*INDEX($J$13:$O$39,$N391-1999,Z$102-2020)</f>
        <v>0</v>
      </c>
      <c r="AA391" s="33" cm="1">
        <f t="array" ref="AA391">((AA$102=$R391)*((13-$S391)/12)+(AA$102&gt;$R391))*$Q391*INDEX($J$13:$O$39,$N391-1999,AA$102-2020)</f>
        <v>12530.570226214875</v>
      </c>
      <c r="AB391" s="33" cm="1">
        <f t="array" ref="AB391">((AB$102=$R391)*((13-$S391)/12)+(AB$102&gt;$R391))*$Q391*INDEX($J$13:$O$39,$N391-1999,AB$102-2020)</f>
        <v>31156.009810460666</v>
      </c>
      <c r="AC391" s="33" cm="1">
        <f t="array" ref="AC391">((AC$102=$R391)*((13-$S391)/12)+(AC$102&gt;$R391))*$Q391*INDEX($J$13:$O$39,$N391-1999,AC$102-2020)</f>
        <v>32028.378085153563</v>
      </c>
    </row>
    <row r="392" spans="2:29" x14ac:dyDescent="0.2">
      <c r="B392" s="32">
        <f>'13. Input desinvesteringen'!B305</f>
        <v>289</v>
      </c>
      <c r="J392" s="32" t="str">
        <f>'13. Input desinvesteringen'!C305</f>
        <v>Transport</v>
      </c>
      <c r="K392" s="32" t="str">
        <f>'13. Input desinvesteringen'!D305</f>
        <v>EHS</v>
      </c>
      <c r="L392" s="32" t="str">
        <f>'13. Input desinvesteringen'!E305</f>
        <v>Nee</v>
      </c>
      <c r="M392" s="32" t="str">
        <f>'13. Input desinvesteringen'!F305</f>
        <v>Hoogspanningsstations secundair</v>
      </c>
      <c r="N392" s="82">
        <f>'13. Input desinvesteringen'!G305</f>
        <v>2009</v>
      </c>
      <c r="O392" s="82"/>
      <c r="P392" s="82"/>
      <c r="Q392" s="32">
        <f>'13. Input desinvesteringen'!H305</f>
        <v>46550</v>
      </c>
      <c r="R392" s="82">
        <f>'13. Input desinvesteringen'!I305</f>
        <v>2024</v>
      </c>
      <c r="S392" s="32">
        <f>'13. Input desinvesteringen'!J305</f>
        <v>8</v>
      </c>
      <c r="U392" s="76">
        <f t="shared" si="15"/>
        <v>1</v>
      </c>
      <c r="V392" s="76">
        <f t="shared" si="16"/>
        <v>0</v>
      </c>
      <c r="X392" s="33" cm="1">
        <f t="array" ref="X392">((X$102=$R392)*((13-$S392)/12)+(X$102&gt;$R392))*$Q392*INDEX($J$13:$O$39,$N392-1999,X$102-2020)</f>
        <v>0</v>
      </c>
      <c r="Y392" s="33" cm="1">
        <f t="array" ref="Y392">((Y$102=$R392)*((13-$S392)/12)+(Y$102&gt;$R392))*$Q392*INDEX($J$13:$O$39,$N392-1999,Y$102-2020)</f>
        <v>0</v>
      </c>
      <c r="Z392" s="33" cm="1">
        <f t="array" ref="Z392">((Z$102=$R392)*((13-$S392)/12)+(Z$102&gt;$R392))*$Q392*INDEX($J$13:$O$39,$N392-1999,Z$102-2020)</f>
        <v>0</v>
      </c>
      <c r="AA392" s="33" cm="1">
        <f t="array" ref="AA392">((AA$102=$R392)*((13-$S392)/12)+(AA$102&gt;$R392))*$Q392*INDEX($J$13:$O$39,$N392-1999,AA$102-2020)</f>
        <v>27515.831530553296</v>
      </c>
      <c r="AB392" s="33" cm="1">
        <f t="array" ref="AB392">((AB$102=$R392)*((13-$S392)/12)+(AB$102&gt;$R392))*$Q392*INDEX($J$13:$O$39,$N392-1999,AB$102-2020)</f>
        <v>68415.363517567719</v>
      </c>
      <c r="AC392" s="33" cm="1">
        <f t="array" ref="AC392">((AC$102=$R392)*((13-$S392)/12)+(AC$102&gt;$R392))*$Q392*INDEX($J$13:$O$39,$N392-1999,AC$102-2020)</f>
        <v>70330.99369605961</v>
      </c>
    </row>
    <row r="393" spans="2:29" x14ac:dyDescent="0.2">
      <c r="B393" s="32">
        <f>'13. Input desinvesteringen'!B306</f>
        <v>290</v>
      </c>
      <c r="J393" s="32" t="str">
        <f>'13. Input desinvesteringen'!C306</f>
        <v>Transport</v>
      </c>
      <c r="K393" s="32" t="str">
        <f>'13. Input desinvesteringen'!D306</f>
        <v>EHS</v>
      </c>
      <c r="L393" s="32" t="str">
        <f>'13. Input desinvesteringen'!E306</f>
        <v>Nee</v>
      </c>
      <c r="M393" s="32" t="str">
        <f>'13. Input desinvesteringen'!F306</f>
        <v>Overige bedrijfsmiddelen</v>
      </c>
      <c r="N393" s="82">
        <f>'13. Input desinvesteringen'!G306</f>
        <v>2005</v>
      </c>
      <c r="O393" s="82"/>
      <c r="P393" s="82"/>
      <c r="Q393" s="32">
        <f>'13. Input desinvesteringen'!H306</f>
        <v>22858</v>
      </c>
      <c r="R393" s="82">
        <f>'13. Input desinvesteringen'!I306</f>
        <v>2024</v>
      </c>
      <c r="S393" s="32">
        <f>'13. Input desinvesteringen'!J306</f>
        <v>12</v>
      </c>
      <c r="U393" s="76">
        <f t="shared" si="15"/>
        <v>1</v>
      </c>
      <c r="V393" s="76">
        <f t="shared" si="16"/>
        <v>0</v>
      </c>
      <c r="X393" s="33" cm="1">
        <f t="array" ref="X393">((X$102=$R393)*((13-$S393)/12)+(X$102&gt;$R393))*$Q393*INDEX($J$13:$O$39,$N393-1999,X$102-2020)</f>
        <v>0</v>
      </c>
      <c r="Y393" s="33" cm="1">
        <f t="array" ref="Y393">((Y$102=$R393)*((13-$S393)/12)+(Y$102&gt;$R393))*$Q393*INDEX($J$13:$O$39,$N393-1999,Y$102-2020)</f>
        <v>0</v>
      </c>
      <c r="Z393" s="33" cm="1">
        <f t="array" ref="Z393">((Z$102=$R393)*((13-$S393)/12)+(Z$102&gt;$R393))*$Q393*INDEX($J$13:$O$39,$N393-1999,Z$102-2020)</f>
        <v>0</v>
      </c>
      <c r="AA393" s="33" cm="1">
        <f t="array" ref="AA393">((AA$102=$R393)*((13-$S393)/12)+(AA$102&gt;$R393))*$Q393*INDEX($J$13:$O$39,$N393-1999,AA$102-2020)</f>
        <v>2910.3670602125653</v>
      </c>
      <c r="AB393" s="33" cm="1">
        <f t="array" ref="AB393">((AB$102=$R393)*((13-$S393)/12)+(AB$102&gt;$R393))*$Q393*INDEX($J$13:$O$39,$N393-1999,AB$102-2020)</f>
        <v>36181.683292562615</v>
      </c>
      <c r="AC393" s="33" cm="1">
        <f t="array" ref="AC393">((AC$102=$R393)*((13-$S393)/12)+(AC$102&gt;$R393))*$Q393*INDEX($J$13:$O$39,$N393-1999,AC$102-2020)</f>
        <v>37194.770424754366</v>
      </c>
    </row>
    <row r="394" spans="2:29" x14ac:dyDescent="0.2">
      <c r="B394" s="32">
        <f>'13. Input desinvesteringen'!B307</f>
        <v>291</v>
      </c>
      <c r="J394" s="32" t="str">
        <f>'13. Input desinvesteringen'!C307</f>
        <v>Transport</v>
      </c>
      <c r="K394" s="32" t="str">
        <f>'13. Input desinvesteringen'!D307</f>
        <v>EHS</v>
      </c>
      <c r="L394" s="32" t="str">
        <f>'13. Input desinvesteringen'!E307</f>
        <v>Nee</v>
      </c>
      <c r="M394" s="32" t="str">
        <f>'13. Input desinvesteringen'!F307</f>
        <v>Overige bedrijfsmiddelen</v>
      </c>
      <c r="N394" s="82">
        <f>'13. Input desinvesteringen'!G307</f>
        <v>2005</v>
      </c>
      <c r="O394" s="82"/>
      <c r="P394" s="82"/>
      <c r="Q394" s="32">
        <f>'13. Input desinvesteringen'!H307</f>
        <v>643</v>
      </c>
      <c r="R394" s="82">
        <f>'13. Input desinvesteringen'!I307</f>
        <v>2024</v>
      </c>
      <c r="S394" s="32">
        <f>'13. Input desinvesteringen'!J307</f>
        <v>12</v>
      </c>
      <c r="U394" s="76">
        <f t="shared" si="15"/>
        <v>1</v>
      </c>
      <c r="V394" s="76">
        <f t="shared" si="16"/>
        <v>0</v>
      </c>
      <c r="X394" s="33" cm="1">
        <f t="array" ref="X394">((X$102=$R394)*((13-$S394)/12)+(X$102&gt;$R394))*$Q394*INDEX($J$13:$O$39,$N394-1999,X$102-2020)</f>
        <v>0</v>
      </c>
      <c r="Y394" s="33" cm="1">
        <f t="array" ref="Y394">((Y$102=$R394)*((13-$S394)/12)+(Y$102&gt;$R394))*$Q394*INDEX($J$13:$O$39,$N394-1999,Y$102-2020)</f>
        <v>0</v>
      </c>
      <c r="Z394" s="33" cm="1">
        <f t="array" ref="Z394">((Z$102=$R394)*((13-$S394)/12)+(Z$102&gt;$R394))*$Q394*INDEX($J$13:$O$39,$N394-1999,Z$102-2020)</f>
        <v>0</v>
      </c>
      <c r="AA394" s="33" cm="1">
        <f t="array" ref="AA394">((AA$102=$R394)*((13-$S394)/12)+(AA$102&gt;$R394))*$Q394*INDEX($J$13:$O$39,$N394-1999,AA$102-2020)</f>
        <v>81.86919326785717</v>
      </c>
      <c r="AB394" s="33" cm="1">
        <f t="array" ref="AB394">((AB$102=$R394)*((13-$S394)/12)+(AB$102&gt;$R394))*$Q394*INDEX($J$13:$O$39,$N394-1999,AB$102-2020)</f>
        <v>1017.7978107060005</v>
      </c>
      <c r="AC394" s="33" cm="1">
        <f t="array" ref="AC394">((AC$102=$R394)*((13-$S394)/12)+(AC$102&gt;$R394))*$Q394*INDEX($J$13:$O$39,$N394-1999,AC$102-2020)</f>
        <v>1046.2961494057686</v>
      </c>
    </row>
    <row r="395" spans="2:29" x14ac:dyDescent="0.2">
      <c r="B395" s="32">
        <f>'13. Input desinvesteringen'!B308</f>
        <v>292</v>
      </c>
      <c r="J395" s="32" t="str">
        <f>'13. Input desinvesteringen'!C308</f>
        <v>Transport</v>
      </c>
      <c r="K395" s="32" t="str">
        <f>'13. Input desinvesteringen'!D308</f>
        <v>EHS</v>
      </c>
      <c r="L395" s="32" t="str">
        <f>'13. Input desinvesteringen'!E308</f>
        <v>Nee</v>
      </c>
      <c r="M395" s="32" t="str">
        <f>'13. Input desinvesteringen'!F308</f>
        <v>Overige bedrijfsmiddelen</v>
      </c>
      <c r="N395" s="82">
        <f>'13. Input desinvesteringen'!G308</f>
        <v>2005</v>
      </c>
      <c r="O395" s="82"/>
      <c r="P395" s="82"/>
      <c r="Q395" s="32">
        <f>'13. Input desinvesteringen'!H308</f>
        <v>241126</v>
      </c>
      <c r="R395" s="82">
        <f>'13. Input desinvesteringen'!I308</f>
        <v>2024</v>
      </c>
      <c r="S395" s="32">
        <f>'13. Input desinvesteringen'!J308</f>
        <v>12</v>
      </c>
      <c r="U395" s="76">
        <f t="shared" si="15"/>
        <v>1</v>
      </c>
      <c r="V395" s="76">
        <f t="shared" si="16"/>
        <v>0</v>
      </c>
      <c r="X395" s="33" cm="1">
        <f t="array" ref="X395">((X$102=$R395)*((13-$S395)/12)+(X$102&gt;$R395))*$Q395*INDEX($J$13:$O$39,$N395-1999,X$102-2020)</f>
        <v>0</v>
      </c>
      <c r="Y395" s="33" cm="1">
        <f t="array" ref="Y395">((Y$102=$R395)*((13-$S395)/12)+(Y$102&gt;$R395))*$Q395*INDEX($J$13:$O$39,$N395-1999,Y$102-2020)</f>
        <v>0</v>
      </c>
      <c r="Z395" s="33" cm="1">
        <f t="array" ref="Z395">((Z$102=$R395)*((13-$S395)/12)+(Z$102&gt;$R395))*$Q395*INDEX($J$13:$O$39,$N395-1999,Z$102-2020)</f>
        <v>0</v>
      </c>
      <c r="AA395" s="33" cm="1">
        <f t="array" ref="AA395">((AA$102=$R395)*((13-$S395)/12)+(AA$102&gt;$R395))*$Q395*INDEX($J$13:$O$39,$N395-1999,AA$102-2020)</f>
        <v>30701.074799230682</v>
      </c>
      <c r="AB395" s="33" cm="1">
        <f t="array" ref="AB395">((AB$102=$R395)*((13-$S395)/12)+(AB$102&gt;$R395))*$Q395*INDEX($J$13:$O$39,$N395-1999,AB$102-2020)</f>
        <v>381675.76190403593</v>
      </c>
      <c r="AC395" s="33" cm="1">
        <f t="array" ref="AC395">((AC$102=$R395)*((13-$S395)/12)+(AC$102&gt;$R395))*$Q395*INDEX($J$13:$O$39,$N395-1999,AC$102-2020)</f>
        <v>392362.68323734892</v>
      </c>
    </row>
    <row r="396" spans="2:29" x14ac:dyDescent="0.2">
      <c r="B396" s="32">
        <f>'13. Input desinvesteringen'!B309</f>
        <v>293</v>
      </c>
      <c r="J396" s="32" t="str">
        <f>'13. Input desinvesteringen'!C309</f>
        <v>Transport</v>
      </c>
      <c r="K396" s="32" t="str">
        <f>'13. Input desinvesteringen'!D309</f>
        <v>EHS</v>
      </c>
      <c r="L396" s="32" t="str">
        <f>'13. Input desinvesteringen'!E309</f>
        <v>Nee</v>
      </c>
      <c r="M396" s="32" t="str">
        <f>'13. Input desinvesteringen'!F309</f>
        <v>Hoogspanningsstations secundair</v>
      </c>
      <c r="N396" s="82">
        <f>'13. Input desinvesteringen'!G309</f>
        <v>2017</v>
      </c>
      <c r="O396" s="82"/>
      <c r="P396" s="82"/>
      <c r="Q396" s="32">
        <f>'13. Input desinvesteringen'!H309</f>
        <v>136881</v>
      </c>
      <c r="R396" s="82">
        <f>'13. Input desinvesteringen'!I309</f>
        <v>2024</v>
      </c>
      <c r="S396" s="32">
        <f>'13. Input desinvesteringen'!J309</f>
        <v>8</v>
      </c>
      <c r="U396" s="76">
        <f t="shared" si="15"/>
        <v>1</v>
      </c>
      <c r="V396" s="76">
        <f t="shared" si="16"/>
        <v>0</v>
      </c>
      <c r="X396" s="33" cm="1">
        <f t="array" ref="X396">((X$102=$R396)*((13-$S396)/12)+(X$102&gt;$R396))*$Q396*INDEX($J$13:$O$39,$N396-1999,X$102-2020)</f>
        <v>0</v>
      </c>
      <c r="Y396" s="33" cm="1">
        <f t="array" ref="Y396">((Y$102=$R396)*((13-$S396)/12)+(Y$102&gt;$R396))*$Q396*INDEX($J$13:$O$39,$N396-1999,Y$102-2020)</f>
        <v>0</v>
      </c>
      <c r="Z396" s="33" cm="1">
        <f t="array" ref="Z396">((Z$102=$R396)*((13-$S396)/12)+(Z$102&gt;$R396))*$Q396*INDEX($J$13:$O$39,$N396-1999,Z$102-2020)</f>
        <v>0</v>
      </c>
      <c r="AA396" s="33" cm="1">
        <f t="array" ref="AA396">((AA$102=$R396)*((13-$S396)/12)+(AA$102&gt;$R396))*$Q396*INDEX($J$13:$O$39,$N396-1999,AA$102-2020)</f>
        <v>72206.021100061989</v>
      </c>
      <c r="AB396" s="33" cm="1">
        <f t="array" ref="AB396">((AB$102=$R396)*((13-$S396)/12)+(AB$102&gt;$R396))*$Q396*INDEX($J$13:$O$39,$N396-1999,AB$102-2020)</f>
        <v>179533.05086319413</v>
      </c>
      <c r="AC396" s="33" cm="1">
        <f t="array" ref="AC396">((AC$102=$R396)*((13-$S396)/12)+(AC$102&gt;$R396))*$Q396*INDEX($J$13:$O$39,$N396-1999,AC$102-2020)</f>
        <v>184559.97628736356</v>
      </c>
    </row>
    <row r="397" spans="2:29" x14ac:dyDescent="0.2">
      <c r="B397" s="32">
        <f>'13. Input desinvesteringen'!B310</f>
        <v>294</v>
      </c>
      <c r="J397" s="32" t="str">
        <f>'13. Input desinvesteringen'!C310</f>
        <v>Transport</v>
      </c>
      <c r="K397" s="32" t="str">
        <f>'13. Input desinvesteringen'!D310</f>
        <v>EHS</v>
      </c>
      <c r="L397" s="32" t="str">
        <f>'13. Input desinvesteringen'!E310</f>
        <v>Nee</v>
      </c>
      <c r="M397" s="32" t="str">
        <f>'13. Input desinvesteringen'!F310</f>
        <v>Hoogspanningsstations secundair</v>
      </c>
      <c r="N397" s="82">
        <f>'13. Input desinvesteringen'!G310</f>
        <v>2017</v>
      </c>
      <c r="O397" s="82"/>
      <c r="P397" s="82"/>
      <c r="Q397" s="32">
        <f>'13. Input desinvesteringen'!H310</f>
        <v>792370</v>
      </c>
      <c r="R397" s="82">
        <f>'13. Input desinvesteringen'!I310</f>
        <v>2024</v>
      </c>
      <c r="S397" s="32">
        <f>'13. Input desinvesteringen'!J310</f>
        <v>8</v>
      </c>
      <c r="U397" s="76">
        <f t="shared" si="15"/>
        <v>1</v>
      </c>
      <c r="V397" s="76">
        <f t="shared" si="16"/>
        <v>0</v>
      </c>
      <c r="X397" s="33" cm="1">
        <f t="array" ref="X397">((X$102=$R397)*((13-$S397)/12)+(X$102&gt;$R397))*$Q397*INDEX($J$13:$O$39,$N397-1999,X$102-2020)</f>
        <v>0</v>
      </c>
      <c r="Y397" s="33" cm="1">
        <f t="array" ref="Y397">((Y$102=$R397)*((13-$S397)/12)+(Y$102&gt;$R397))*$Q397*INDEX($J$13:$O$39,$N397-1999,Y$102-2020)</f>
        <v>0</v>
      </c>
      <c r="Z397" s="33" cm="1">
        <f t="array" ref="Z397">((Z$102=$R397)*((13-$S397)/12)+(Z$102&gt;$R397))*$Q397*INDEX($J$13:$O$39,$N397-1999,Z$102-2020)</f>
        <v>0</v>
      </c>
      <c r="AA397" s="33" cm="1">
        <f t="array" ref="AA397">((AA$102=$R397)*((13-$S397)/12)+(AA$102&gt;$R397))*$Q397*INDEX($J$13:$O$39,$N397-1999,AA$102-2020)</f>
        <v>417982.66332841024</v>
      </c>
      <c r="AB397" s="33" cm="1">
        <f t="array" ref="AB397">((AB$102=$R397)*((13-$S397)/12)+(AB$102&gt;$R397))*$Q397*INDEX($J$13:$O$39,$N397-1999,AB$102-2020)</f>
        <v>1039272.0940997591</v>
      </c>
      <c r="AC397" s="33" cm="1">
        <f t="array" ref="AC397">((AC$102=$R397)*((13-$S397)/12)+(AC$102&gt;$R397))*$Q397*INDEX($J$13:$O$39,$N397-1999,AC$102-2020)</f>
        <v>1068371.7127345523</v>
      </c>
    </row>
    <row r="398" spans="2:29" x14ac:dyDescent="0.2">
      <c r="B398" s="32">
        <f>'13. Input desinvesteringen'!B311</f>
        <v>295</v>
      </c>
      <c r="J398" s="32" t="str">
        <f>'13. Input desinvesteringen'!C311</f>
        <v>Transport</v>
      </c>
      <c r="K398" s="32" t="str">
        <f>'13. Input desinvesteringen'!D311</f>
        <v>EHS</v>
      </c>
      <c r="L398" s="32" t="str">
        <f>'13. Input desinvesteringen'!E311</f>
        <v>Nee</v>
      </c>
      <c r="M398" s="32" t="str">
        <f>'13. Input desinvesteringen'!F311</f>
        <v>Computerapparatuur</v>
      </c>
      <c r="N398" s="82">
        <f>'13. Input desinvesteringen'!G311</f>
        <v>2019</v>
      </c>
      <c r="O398" s="82"/>
      <c r="P398" s="82"/>
      <c r="Q398" s="32">
        <f>'13. Input desinvesteringen'!H311</f>
        <v>250528</v>
      </c>
      <c r="R398" s="82">
        <f>'13. Input desinvesteringen'!I311</f>
        <v>2024</v>
      </c>
      <c r="S398" s="32">
        <f>'13. Input desinvesteringen'!J311</f>
        <v>12</v>
      </c>
      <c r="U398" s="76">
        <f t="shared" si="15"/>
        <v>1</v>
      </c>
      <c r="V398" s="76">
        <f t="shared" si="16"/>
        <v>0</v>
      </c>
      <c r="X398" s="33" cm="1">
        <f t="array" ref="X398">((X$102=$R398)*((13-$S398)/12)+(X$102&gt;$R398))*$Q398*INDEX($J$13:$O$39,$N398-1999,X$102-2020)</f>
        <v>0</v>
      </c>
      <c r="Y398" s="33" cm="1">
        <f t="array" ref="Y398">((Y$102=$R398)*((13-$S398)/12)+(Y$102&gt;$R398))*$Q398*INDEX($J$13:$O$39,$N398-1999,Y$102-2020)</f>
        <v>0</v>
      </c>
      <c r="Z398" s="33" cm="1">
        <f t="array" ref="Z398">((Z$102=$R398)*((13-$S398)/12)+(Z$102&gt;$R398))*$Q398*INDEX($J$13:$O$39,$N398-1999,Z$102-2020)</f>
        <v>0</v>
      </c>
      <c r="AA398" s="33" cm="1">
        <f t="array" ref="AA398">((AA$102=$R398)*((13-$S398)/12)+(AA$102&gt;$R398))*$Q398*INDEX($J$13:$O$39,$N398-1999,AA$102-2020)</f>
        <v>25530.117556203244</v>
      </c>
      <c r="AB398" s="33" cm="1">
        <f t="array" ref="AB398">((AB$102=$R398)*((13-$S398)/12)+(AB$102&gt;$R398))*$Q398*INDEX($J$13:$O$39,$N398-1999,AB$102-2020)</f>
        <v>317390.42145871877</v>
      </c>
      <c r="AC398" s="33" cm="1">
        <f t="array" ref="AC398">((AC$102=$R398)*((13-$S398)/12)+(AC$102&gt;$R398))*$Q398*INDEX($J$13:$O$39,$N398-1999,AC$102-2020)</f>
        <v>326277.35325956292</v>
      </c>
    </row>
    <row r="399" spans="2:29" x14ac:dyDescent="0.2">
      <c r="B399" s="32">
        <f>'13. Input desinvesteringen'!B312</f>
        <v>296</v>
      </c>
      <c r="J399" s="32" t="str">
        <f>'13. Input desinvesteringen'!C312</f>
        <v>Transport</v>
      </c>
      <c r="K399" s="32" t="str">
        <f>'13. Input desinvesteringen'!D312</f>
        <v>EHS</v>
      </c>
      <c r="L399" s="32" t="str">
        <f>'13. Input desinvesteringen'!E312</f>
        <v>Nee</v>
      </c>
      <c r="M399" s="32" t="str">
        <f>'13. Input desinvesteringen'!F312</f>
        <v>Hoogspanningsstations secundair</v>
      </c>
      <c r="N399" s="82">
        <f>'13. Input desinvesteringen'!G312</f>
        <v>2011</v>
      </c>
      <c r="O399" s="82"/>
      <c r="P399" s="82"/>
      <c r="Q399" s="32">
        <f>'13. Input desinvesteringen'!H312</f>
        <v>5275</v>
      </c>
      <c r="R399" s="82">
        <f>'13. Input desinvesteringen'!I312</f>
        <v>2024</v>
      </c>
      <c r="S399" s="32">
        <f>'13. Input desinvesteringen'!J312</f>
        <v>8</v>
      </c>
      <c r="U399" s="76">
        <f t="shared" si="15"/>
        <v>1</v>
      </c>
      <c r="V399" s="76">
        <f t="shared" si="16"/>
        <v>0</v>
      </c>
      <c r="X399" s="33" cm="1">
        <f t="array" ref="X399">((X$102=$R399)*((13-$S399)/12)+(X$102&gt;$R399))*$Q399*INDEX($J$13:$O$39,$N399-1999,X$102-2020)</f>
        <v>0</v>
      </c>
      <c r="Y399" s="33" cm="1">
        <f t="array" ref="Y399">((Y$102=$R399)*((13-$S399)/12)+(Y$102&gt;$R399))*$Q399*INDEX($J$13:$O$39,$N399-1999,Y$102-2020)</f>
        <v>0</v>
      </c>
      <c r="Z399" s="33" cm="1">
        <f t="array" ref="Z399">((Z$102=$R399)*((13-$S399)/12)+(Z$102&gt;$R399))*$Q399*INDEX($J$13:$O$39,$N399-1999,Z$102-2020)</f>
        <v>0</v>
      </c>
      <c r="AA399" s="33" cm="1">
        <f t="array" ref="AA399">((AA$102=$R399)*((13-$S399)/12)+(AA$102&gt;$R399))*$Q399*INDEX($J$13:$O$39,$N399-1999,AA$102-2020)</f>
        <v>3062.7986369141495</v>
      </c>
      <c r="AB399" s="33" cm="1">
        <f t="array" ref="AB399">((AB$102=$R399)*((13-$S399)/12)+(AB$102&gt;$R399))*$Q399*INDEX($J$13:$O$39,$N399-1999,AB$102-2020)</f>
        <v>7615.3425308233409</v>
      </c>
      <c r="AC399" s="33" cm="1">
        <f t="array" ref="AC399">((AC$102=$R399)*((13-$S399)/12)+(AC$102&gt;$R399))*$Q399*INDEX($J$13:$O$39,$N399-1999,AC$102-2020)</f>
        <v>7828.572121686394</v>
      </c>
    </row>
    <row r="400" spans="2:29" x14ac:dyDescent="0.2">
      <c r="B400" s="32">
        <f>'13. Input desinvesteringen'!B313</f>
        <v>297</v>
      </c>
      <c r="J400" s="32" t="str">
        <f>'13. Input desinvesteringen'!C313</f>
        <v>Transport</v>
      </c>
      <c r="K400" s="32" t="str">
        <f>'13. Input desinvesteringen'!D313</f>
        <v>EHS</v>
      </c>
      <c r="L400" s="32" t="str">
        <f>'13. Input desinvesteringen'!E313</f>
        <v>Nee</v>
      </c>
      <c r="M400" s="32" t="str">
        <f>'13. Input desinvesteringen'!F313</f>
        <v>Hoogspanningsstations secundair</v>
      </c>
      <c r="N400" s="82">
        <f>'13. Input desinvesteringen'!G313</f>
        <v>2015</v>
      </c>
      <c r="O400" s="82"/>
      <c r="P400" s="82"/>
      <c r="Q400" s="32">
        <f>'13. Input desinvesteringen'!H313</f>
        <v>83625</v>
      </c>
      <c r="R400" s="82">
        <f>'13. Input desinvesteringen'!I313</f>
        <v>2024</v>
      </c>
      <c r="S400" s="32">
        <f>'13. Input desinvesteringen'!J313</f>
        <v>8</v>
      </c>
      <c r="U400" s="76">
        <f t="shared" si="15"/>
        <v>1</v>
      </c>
      <c r="V400" s="76">
        <f t="shared" si="16"/>
        <v>0</v>
      </c>
      <c r="X400" s="33" cm="1">
        <f t="array" ref="X400">((X$102=$R400)*((13-$S400)/12)+(X$102&gt;$R400))*$Q400*INDEX($J$13:$O$39,$N400-1999,X$102-2020)</f>
        <v>0</v>
      </c>
      <c r="Y400" s="33" cm="1">
        <f t="array" ref="Y400">((Y$102=$R400)*((13-$S400)/12)+(Y$102&gt;$R400))*$Q400*INDEX($J$13:$O$39,$N400-1999,Y$102-2020)</f>
        <v>0</v>
      </c>
      <c r="Z400" s="33" cm="1">
        <f t="array" ref="Z400">((Z$102=$R400)*((13-$S400)/12)+(Z$102&gt;$R400))*$Q400*INDEX($J$13:$O$39,$N400-1999,Z$102-2020)</f>
        <v>0</v>
      </c>
      <c r="AA400" s="33" cm="1">
        <f t="array" ref="AA400">((AA$102=$R400)*((13-$S400)/12)+(AA$102&gt;$R400))*$Q400*INDEX($J$13:$O$39,$N400-1999,AA$102-2020)</f>
        <v>44554.813387496011</v>
      </c>
      <c r="AB400" s="33" cm="1">
        <f t="array" ref="AB400">((AB$102=$R400)*((13-$S400)/12)+(AB$102&gt;$R400))*$Q400*INDEX($J$13:$O$39,$N400-1999,AB$102-2020)</f>
        <v>110781.08800667008</v>
      </c>
      <c r="AC400" s="33" cm="1">
        <f t="array" ref="AC400">((AC$102=$R400)*((13-$S400)/12)+(AC$102&gt;$R400))*$Q400*INDEX($J$13:$O$39,$N400-1999,AC$102-2020)</f>
        <v>113882.95847085684</v>
      </c>
    </row>
    <row r="401" spans="2:29" x14ac:dyDescent="0.2">
      <c r="B401" s="32">
        <f>'13. Input desinvesteringen'!B314</f>
        <v>298</v>
      </c>
      <c r="J401" s="32" t="str">
        <f>'13. Input desinvesteringen'!C314</f>
        <v>Transport</v>
      </c>
      <c r="K401" s="32" t="str">
        <f>'13. Input desinvesteringen'!D314</f>
        <v>HS</v>
      </c>
      <c r="L401" s="32" t="str">
        <f>'13. Input desinvesteringen'!E314</f>
        <v>Nee</v>
      </c>
      <c r="M401" s="32" t="str">
        <f>'13. Input desinvesteringen'!F314</f>
        <v>Overige bedrijfsmiddelen</v>
      </c>
      <c r="N401" s="82">
        <f>'13. Input desinvesteringen'!G314</f>
        <v>2005</v>
      </c>
      <c r="O401" s="82"/>
      <c r="P401" s="82"/>
      <c r="Q401" s="32">
        <f>'13. Input desinvesteringen'!H314</f>
        <v>8994</v>
      </c>
      <c r="R401" s="82">
        <f>'13. Input desinvesteringen'!I314</f>
        <v>2024</v>
      </c>
      <c r="S401" s="32">
        <f>'13. Input desinvesteringen'!J314</f>
        <v>12</v>
      </c>
      <c r="U401" s="76">
        <f t="shared" si="15"/>
        <v>1</v>
      </c>
      <c r="V401" s="76">
        <f t="shared" si="16"/>
        <v>0</v>
      </c>
      <c r="X401" s="33" cm="1">
        <f t="array" ref="X401">((X$102=$R401)*((13-$S401)/12)+(X$102&gt;$R401))*$Q401*INDEX($J$13:$O$39,$N401-1999,X$102-2020)</f>
        <v>0</v>
      </c>
      <c r="Y401" s="33" cm="1">
        <f t="array" ref="Y401">((Y$102=$R401)*((13-$S401)/12)+(Y$102&gt;$R401))*$Q401*INDEX($J$13:$O$39,$N401-1999,Y$102-2020)</f>
        <v>0</v>
      </c>
      <c r="Z401" s="33" cm="1">
        <f t="array" ref="Z401">((Z$102=$R401)*((13-$S401)/12)+(Z$102&gt;$R401))*$Q401*INDEX($J$13:$O$39,$N401-1999,Z$102-2020)</f>
        <v>0</v>
      </c>
      <c r="AA401" s="33" cm="1">
        <f t="array" ref="AA401">((AA$102=$R401)*((13-$S401)/12)+(AA$102&gt;$R401))*$Q401*INDEX($J$13:$O$39,$N401-1999,AA$102-2020)</f>
        <v>1145.1501154760615</v>
      </c>
      <c r="AB401" s="33" cm="1">
        <f t="array" ref="AB401">((AB$102=$R401)*((13-$S401)/12)+(AB$102&gt;$R401))*$Q401*INDEX($J$13:$O$39,$N401-1999,AB$102-2020)</f>
        <v>14236.506235598396</v>
      </c>
      <c r="AC401" s="33" cm="1">
        <f t="array" ref="AC401">((AC$102=$R401)*((13-$S401)/12)+(AC$102&gt;$R401))*$Q401*INDEX($J$13:$O$39,$N401-1999,AC$102-2020)</f>
        <v>14635.128410195151</v>
      </c>
    </row>
    <row r="402" spans="2:29" x14ac:dyDescent="0.2">
      <c r="B402" s="32">
        <f>'13. Input desinvesteringen'!B315</f>
        <v>299</v>
      </c>
      <c r="J402" s="32" t="str">
        <f>'13. Input desinvesteringen'!C315</f>
        <v>Transport</v>
      </c>
      <c r="K402" s="32" t="str">
        <f>'13. Input desinvesteringen'!D315</f>
        <v>HS</v>
      </c>
      <c r="L402" s="32" t="str">
        <f>'13. Input desinvesteringen'!E315</f>
        <v>Nee</v>
      </c>
      <c r="M402" s="32" t="str">
        <f>'13. Input desinvesteringen'!F315</f>
        <v>Overige bedrijfsmiddelen</v>
      </c>
      <c r="N402" s="82">
        <f>'13. Input desinvesteringen'!G315</f>
        <v>2005</v>
      </c>
      <c r="O402" s="82"/>
      <c r="P402" s="82"/>
      <c r="Q402" s="32">
        <f>'13. Input desinvesteringen'!H315</f>
        <v>94877</v>
      </c>
      <c r="R402" s="82">
        <f>'13. Input desinvesteringen'!I315</f>
        <v>2024</v>
      </c>
      <c r="S402" s="32">
        <f>'13. Input desinvesteringen'!J315</f>
        <v>12</v>
      </c>
      <c r="U402" s="76">
        <f t="shared" si="15"/>
        <v>1</v>
      </c>
      <c r="V402" s="76">
        <f t="shared" si="16"/>
        <v>0</v>
      </c>
      <c r="X402" s="33" cm="1">
        <f t="array" ref="X402">((X$102=$R402)*((13-$S402)/12)+(X$102&gt;$R402))*$Q402*INDEX($J$13:$O$39,$N402-1999,X$102-2020)</f>
        <v>0</v>
      </c>
      <c r="Y402" s="33" cm="1">
        <f t="array" ref="Y402">((Y$102=$R402)*((13-$S402)/12)+(Y$102&gt;$R402))*$Q402*INDEX($J$13:$O$39,$N402-1999,Y$102-2020)</f>
        <v>0</v>
      </c>
      <c r="Z402" s="33" cm="1">
        <f t="array" ref="Z402">((Z$102=$R402)*((13-$S402)/12)+(Z$102&gt;$R402))*$Q402*INDEX($J$13:$O$39,$N402-1999,Z$102-2020)</f>
        <v>0</v>
      </c>
      <c r="AA402" s="33" cm="1">
        <f t="array" ref="AA402">((AA$102=$R402)*((13-$S402)/12)+(AA$102&gt;$R402))*$Q402*INDEX($J$13:$O$39,$N402-1999,AA$102-2020)</f>
        <v>12080.098677565296</v>
      </c>
      <c r="AB402" s="33" cm="1">
        <f t="array" ref="AB402">((AB$102=$R402)*((13-$S402)/12)+(AB$102&gt;$R402))*$Q402*INDEX($J$13:$O$39,$N402-1999,AB$102-2020)</f>
        <v>150179.78675949178</v>
      </c>
      <c r="AC402" s="33" cm="1">
        <f t="array" ref="AC402">((AC$102=$R402)*((13-$S402)/12)+(AC$102&gt;$R402))*$Q402*INDEX($J$13:$O$39,$N402-1999,AC$102-2020)</f>
        <v>154384.82078875756</v>
      </c>
    </row>
    <row r="403" spans="2:29" x14ac:dyDescent="0.2">
      <c r="B403" s="32">
        <f>'13. Input desinvesteringen'!B316</f>
        <v>300</v>
      </c>
      <c r="J403" s="32" t="str">
        <f>'13. Input desinvesteringen'!C316</f>
        <v>Transport</v>
      </c>
      <c r="K403" s="32" t="str">
        <f>'13. Input desinvesteringen'!D316</f>
        <v>HS</v>
      </c>
      <c r="L403" s="32" t="str">
        <f>'13. Input desinvesteringen'!E316</f>
        <v>Nee</v>
      </c>
      <c r="M403" s="32" t="str">
        <f>'13. Input desinvesteringen'!F316</f>
        <v>Gebouwen bij de stations</v>
      </c>
      <c r="N403" s="82">
        <f>'13. Input desinvesteringen'!G316</f>
        <v>2017</v>
      </c>
      <c r="O403" s="82"/>
      <c r="P403" s="82"/>
      <c r="Q403" s="32">
        <f>'13. Input desinvesteringen'!H316</f>
        <v>300179</v>
      </c>
      <c r="R403" s="82">
        <f>'13. Input desinvesteringen'!I316</f>
        <v>2024</v>
      </c>
      <c r="S403" s="32">
        <f>'13. Input desinvesteringen'!J316</f>
        <v>7</v>
      </c>
      <c r="U403" s="76">
        <f t="shared" si="15"/>
        <v>0</v>
      </c>
      <c r="V403" s="76">
        <f t="shared" si="16"/>
        <v>1</v>
      </c>
      <c r="X403" s="33" cm="1">
        <f t="array" ref="X403">((X$102=$R403)*((13-$S403)/12)+(X$102&gt;$R403))*$Q403*INDEX($J$13:$O$39,$N403-1999,X$102-2020)</f>
        <v>0</v>
      </c>
      <c r="Y403" s="33" cm="1">
        <f t="array" ref="Y403">((Y$102=$R403)*((13-$S403)/12)+(Y$102&gt;$R403))*$Q403*INDEX($J$13:$O$39,$N403-1999,Y$102-2020)</f>
        <v>0</v>
      </c>
      <c r="Z403" s="33" cm="1">
        <f t="array" ref="Z403">((Z$102=$R403)*((13-$S403)/12)+(Z$102&gt;$R403))*$Q403*INDEX($J$13:$O$39,$N403-1999,Z$102-2020)</f>
        <v>0</v>
      </c>
      <c r="AA403" s="33" cm="1">
        <f t="array" ref="AA403">((AA$102=$R403)*((13-$S403)/12)+(AA$102&gt;$R403))*$Q403*INDEX($J$13:$O$39,$N403-1999,AA$102-2020)</f>
        <v>190016.71122620822</v>
      </c>
      <c r="AB403" s="33" cm="1">
        <f t="array" ref="AB403">((AB$102=$R403)*((13-$S403)/12)+(AB$102&gt;$R403))*$Q403*INDEX($J$13:$O$39,$N403-1999,AB$102-2020)</f>
        <v>393714.62566070346</v>
      </c>
      <c r="AC403" s="33" cm="1">
        <f t="array" ref="AC403">((AC$102=$R403)*((13-$S403)/12)+(AC$102&gt;$R403))*$Q403*INDEX($J$13:$O$39,$N403-1999,AC$102-2020)</f>
        <v>404738.63517920318</v>
      </c>
    </row>
    <row r="404" spans="2:29" x14ac:dyDescent="0.2">
      <c r="B404" s="32">
        <f>'13. Input desinvesteringen'!B317</f>
        <v>301</v>
      </c>
      <c r="J404" s="32" t="str">
        <f>'13. Input desinvesteringen'!C317</f>
        <v>Transport</v>
      </c>
      <c r="K404" s="32" t="str">
        <f>'13. Input desinvesteringen'!D317</f>
        <v>HS</v>
      </c>
      <c r="L404" s="32" t="str">
        <f>'13. Input desinvesteringen'!E317</f>
        <v>Nee</v>
      </c>
      <c r="M404" s="32" t="str">
        <f>'13. Input desinvesteringen'!F317</f>
        <v>Hoogspanningsstations primair</v>
      </c>
      <c r="N404" s="82">
        <f>'13. Input desinvesteringen'!G317</f>
        <v>2015</v>
      </c>
      <c r="O404" s="82"/>
      <c r="P404" s="82"/>
      <c r="Q404" s="32">
        <f>'13. Input desinvesteringen'!H317</f>
        <v>112533</v>
      </c>
      <c r="R404" s="82">
        <f>'13. Input desinvesteringen'!I317</f>
        <v>2024</v>
      </c>
      <c r="S404" s="32">
        <f>'13. Input desinvesteringen'!J317</f>
        <v>5</v>
      </c>
      <c r="U404" s="76">
        <f t="shared" si="15"/>
        <v>1</v>
      </c>
      <c r="V404" s="76">
        <f t="shared" si="16"/>
        <v>0</v>
      </c>
      <c r="X404" s="33" cm="1">
        <f t="array" ref="X404">((X$102=$R404)*((13-$S404)/12)+(X$102&gt;$R404))*$Q404*INDEX($J$13:$O$39,$N404-1999,X$102-2020)</f>
        <v>0</v>
      </c>
      <c r="Y404" s="33" cm="1">
        <f t="array" ref="Y404">((Y$102=$R404)*((13-$S404)/12)+(Y$102&gt;$R404))*$Q404*INDEX($J$13:$O$39,$N404-1999,Y$102-2020)</f>
        <v>0</v>
      </c>
      <c r="Z404" s="33" cm="1">
        <f t="array" ref="Z404">((Z$102=$R404)*((13-$S404)/12)+(Z$102&gt;$R404))*$Q404*INDEX($J$13:$O$39,$N404-1999,Z$102-2020)</f>
        <v>0</v>
      </c>
      <c r="AA404" s="33" cm="1">
        <f t="array" ref="AA404">((AA$102=$R404)*((13-$S404)/12)+(AA$102&gt;$R404))*$Q404*INDEX($J$13:$O$39,$N404-1999,AA$102-2020)</f>
        <v>95930.868805932929</v>
      </c>
      <c r="AB404" s="33" cm="1">
        <f t="array" ref="AB404">((AB$102=$R404)*((13-$S404)/12)+(AB$102&gt;$R404))*$Q404*INDEX($J$13:$O$39,$N404-1999,AB$102-2020)</f>
        <v>149076.57012441978</v>
      </c>
      <c r="AC404" s="33" cm="1">
        <f t="array" ref="AC404">((AC$102=$R404)*((13-$S404)/12)+(AC$102&gt;$R404))*$Q404*INDEX($J$13:$O$39,$N404-1999,AC$102-2020)</f>
        <v>153250.71408790356</v>
      </c>
    </row>
    <row r="405" spans="2:29" x14ac:dyDescent="0.2">
      <c r="B405" s="32">
        <f>'13. Input desinvesteringen'!B318</f>
        <v>302</v>
      </c>
      <c r="J405" s="32" t="str">
        <f>'13. Input desinvesteringen'!C318</f>
        <v>Transport</v>
      </c>
      <c r="K405" s="32" t="str">
        <f>'13. Input desinvesteringen'!D318</f>
        <v>HS</v>
      </c>
      <c r="L405" s="32" t="str">
        <f>'13. Input desinvesteringen'!E318</f>
        <v>Nee</v>
      </c>
      <c r="M405" s="32" t="str">
        <f>'13. Input desinvesteringen'!F318</f>
        <v>Hoogspanningsstations primair</v>
      </c>
      <c r="N405" s="82">
        <f>'13. Input desinvesteringen'!G318</f>
        <v>2018</v>
      </c>
      <c r="O405" s="82"/>
      <c r="P405" s="82"/>
      <c r="Q405" s="32">
        <f>'13. Input desinvesteringen'!H318</f>
        <v>273</v>
      </c>
      <c r="R405" s="82">
        <f>'13. Input desinvesteringen'!I318</f>
        <v>2024</v>
      </c>
      <c r="S405" s="32">
        <f>'13. Input desinvesteringen'!J318</f>
        <v>4</v>
      </c>
      <c r="U405" s="76">
        <f t="shared" ref="U405:U431" si="17">(J405="Transport")*(L405="Nee")*(VLOOKUP($M405,$B$64:$H$97,7,FALSE))</f>
        <v>1</v>
      </c>
      <c r="V405" s="76">
        <f t="shared" ref="V405:V431" si="18">1-U405</f>
        <v>0</v>
      </c>
      <c r="X405" s="33" cm="1">
        <f t="array" ref="X405">((X$102=$R405)*((13-$S405)/12)+(X$102&gt;$R405))*$Q405*INDEX($J$13:$O$39,$N405-1999,X$102-2020)</f>
        <v>0</v>
      </c>
      <c r="Y405" s="33" cm="1">
        <f t="array" ref="Y405">((Y$102=$R405)*((13-$S405)/12)+(Y$102&gt;$R405))*$Q405*INDEX($J$13:$O$39,$N405-1999,Y$102-2020)</f>
        <v>0</v>
      </c>
      <c r="Z405" s="33" cm="1">
        <f t="array" ref="Z405">((Z$102=$R405)*((13-$S405)/12)+(Z$102&gt;$R405))*$Q405*INDEX($J$13:$O$39,$N405-1999,Z$102-2020)</f>
        <v>0</v>
      </c>
      <c r="AA405" s="33" cm="1">
        <f t="array" ref="AA405">((AA$102=$R405)*((13-$S405)/12)+(AA$102&gt;$R405))*$Q405*INDEX($J$13:$O$39,$N405-1999,AA$102-2020)</f>
        <v>255.63919526415728</v>
      </c>
      <c r="AB405" s="33" cm="1">
        <f t="array" ref="AB405">((AB$102=$R405)*((13-$S405)/12)+(AB$102&gt;$R405))*$Q405*INDEX($J$13:$O$39,$N405-1999,AB$102-2020)</f>
        <v>353.12294172488924</v>
      </c>
      <c r="AC405" s="33" cm="1">
        <f t="array" ref="AC405">((AC$102=$R405)*((13-$S405)/12)+(AC$102&gt;$R405))*$Q405*INDEX($J$13:$O$39,$N405-1999,AC$102-2020)</f>
        <v>363.01038409318619</v>
      </c>
    </row>
    <row r="406" spans="2:29" x14ac:dyDescent="0.2">
      <c r="B406" s="32">
        <f>'13. Input desinvesteringen'!B319</f>
        <v>303</v>
      </c>
      <c r="J406" s="32" t="str">
        <f>'13. Input desinvesteringen'!C319</f>
        <v>Transport</v>
      </c>
      <c r="K406" s="32" t="str">
        <f>'13. Input desinvesteringen'!D319</f>
        <v>HS</v>
      </c>
      <c r="L406" s="32" t="str">
        <f>'13. Input desinvesteringen'!E319</f>
        <v>Nee</v>
      </c>
      <c r="M406" s="32" t="str">
        <f>'13. Input desinvesteringen'!F319</f>
        <v>Telecommunicatienet</v>
      </c>
      <c r="N406" s="82">
        <f>'13. Input desinvesteringen'!G319</f>
        <v>2015</v>
      </c>
      <c r="O406" s="82"/>
      <c r="P406" s="82"/>
      <c r="Q406" s="32">
        <f>'13. Input desinvesteringen'!H319</f>
        <v>77048</v>
      </c>
      <c r="R406" s="82">
        <f>'13. Input desinvesteringen'!I319</f>
        <v>2024</v>
      </c>
      <c r="S406" s="32">
        <f>'13. Input desinvesteringen'!J319</f>
        <v>10</v>
      </c>
      <c r="U406" s="76">
        <f t="shared" si="17"/>
        <v>1</v>
      </c>
      <c r="V406" s="76">
        <f t="shared" si="18"/>
        <v>0</v>
      </c>
      <c r="X406" s="33" cm="1">
        <f t="array" ref="X406">((X$102=$R406)*((13-$S406)/12)+(X$102&gt;$R406))*$Q406*INDEX($J$13:$O$39,$N406-1999,X$102-2020)</f>
        <v>0</v>
      </c>
      <c r="Y406" s="33" cm="1">
        <f t="array" ref="Y406">((Y$102=$R406)*((13-$S406)/12)+(Y$102&gt;$R406))*$Q406*INDEX($J$13:$O$39,$N406-1999,Y$102-2020)</f>
        <v>0</v>
      </c>
      <c r="Z406" s="33" cm="1">
        <f t="array" ref="Z406">((Z$102=$R406)*((13-$S406)/12)+(Z$102&gt;$R406))*$Q406*INDEX($J$13:$O$39,$N406-1999,Z$102-2020)</f>
        <v>0</v>
      </c>
      <c r="AA406" s="33" cm="1">
        <f t="array" ref="AA406">((AA$102=$R406)*((13-$S406)/12)+(AA$102&gt;$R406))*$Q406*INDEX($J$13:$O$39,$N406-1999,AA$102-2020)</f>
        <v>24630.380354294477</v>
      </c>
      <c r="AB406" s="33" cm="1">
        <f t="array" ref="AB406">((AB$102=$R406)*((13-$S406)/12)+(AB$102&gt;$R406))*$Q406*INDEX($J$13:$O$39,$N406-1999,AB$102-2020)</f>
        <v>102068.29618819631</v>
      </c>
      <c r="AC406" s="33" cm="1">
        <f t="array" ref="AC406">((AC$102=$R406)*((13-$S406)/12)+(AC$102&gt;$R406))*$Q406*INDEX($J$13:$O$39,$N406-1999,AC$102-2020)</f>
        <v>104926.20848146582</v>
      </c>
    </row>
    <row r="407" spans="2:29" x14ac:dyDescent="0.2">
      <c r="B407" s="32">
        <f>'13. Input desinvesteringen'!B320</f>
        <v>304</v>
      </c>
      <c r="J407" s="32" t="str">
        <f>'13. Input desinvesteringen'!C320</f>
        <v>Transport</v>
      </c>
      <c r="K407" s="32" t="str">
        <f>'13. Input desinvesteringen'!D320</f>
        <v>HS</v>
      </c>
      <c r="L407" s="32" t="str">
        <f>'13. Input desinvesteringen'!E320</f>
        <v>Nee</v>
      </c>
      <c r="M407" s="32" t="str">
        <f>'13. Input desinvesteringen'!F320</f>
        <v>Telecommunicatienet</v>
      </c>
      <c r="N407" s="82">
        <f>'13. Input desinvesteringen'!G320</f>
        <v>2015</v>
      </c>
      <c r="O407" s="82"/>
      <c r="P407" s="82"/>
      <c r="Q407" s="32">
        <f>'13. Input desinvesteringen'!H320</f>
        <v>70171</v>
      </c>
      <c r="R407" s="82">
        <f>'13. Input desinvesteringen'!I320</f>
        <v>2024</v>
      </c>
      <c r="S407" s="32">
        <f>'13. Input desinvesteringen'!J320</f>
        <v>7</v>
      </c>
      <c r="U407" s="76">
        <f t="shared" si="17"/>
        <v>1</v>
      </c>
      <c r="V407" s="76">
        <f t="shared" si="18"/>
        <v>0</v>
      </c>
      <c r="X407" s="33" cm="1">
        <f t="array" ref="X407">((X$102=$R407)*((13-$S407)/12)+(X$102&gt;$R407))*$Q407*INDEX($J$13:$O$39,$N407-1999,X$102-2020)</f>
        <v>0</v>
      </c>
      <c r="Y407" s="33" cm="1">
        <f t="array" ref="Y407">((Y$102=$R407)*((13-$S407)/12)+(Y$102&gt;$R407))*$Q407*INDEX($J$13:$O$39,$N407-1999,Y$102-2020)</f>
        <v>0</v>
      </c>
      <c r="Z407" s="33" cm="1">
        <f t="array" ref="Z407">((Z$102=$R407)*((13-$S407)/12)+(Z$102&gt;$R407))*$Q407*INDEX($J$13:$O$39,$N407-1999,Z$102-2020)</f>
        <v>0</v>
      </c>
      <c r="AA407" s="33" cm="1">
        <f t="array" ref="AA407">((AA$102=$R407)*((13-$S407)/12)+(AA$102&gt;$R407))*$Q407*INDEX($J$13:$O$39,$N407-1999,AA$102-2020)</f>
        <v>44863.939877510064</v>
      </c>
      <c r="AB407" s="33" cm="1">
        <f t="array" ref="AB407">((AB$102=$R407)*((13-$S407)/12)+(AB$102&gt;$R407))*$Q407*INDEX($J$13:$O$39,$N407-1999,AB$102-2020)</f>
        <v>92958.083426200843</v>
      </c>
      <c r="AC407" s="33" cm="1">
        <f t="array" ref="AC407">((AC$102=$R407)*((13-$S407)/12)+(AC$102&gt;$R407))*$Q407*INDEX($J$13:$O$39,$N407-1999,AC$102-2020)</f>
        <v>95560.909762134484</v>
      </c>
    </row>
    <row r="408" spans="2:29" x14ac:dyDescent="0.2">
      <c r="B408" s="32">
        <f>'13. Input desinvesteringen'!B321</f>
        <v>305</v>
      </c>
      <c r="J408" s="32" t="str">
        <f>'13. Input desinvesteringen'!C321</f>
        <v>Transport</v>
      </c>
      <c r="K408" s="32" t="str">
        <f>'13. Input desinvesteringen'!D321</f>
        <v>HS</v>
      </c>
      <c r="L408" s="32" t="str">
        <f>'13. Input desinvesteringen'!E321</f>
        <v>Nee</v>
      </c>
      <c r="M408" s="32" t="str">
        <f>'13. Input desinvesteringen'!F321</f>
        <v>Telecommunicatienet</v>
      </c>
      <c r="N408" s="82">
        <f>'13. Input desinvesteringen'!G321</f>
        <v>2018</v>
      </c>
      <c r="O408" s="82"/>
      <c r="P408" s="82"/>
      <c r="Q408" s="32">
        <f>'13. Input desinvesteringen'!H321</f>
        <v>84</v>
      </c>
      <c r="R408" s="82">
        <f>'13. Input desinvesteringen'!I321</f>
        <v>2024</v>
      </c>
      <c r="S408" s="32">
        <f>'13. Input desinvesteringen'!J321</f>
        <v>4</v>
      </c>
      <c r="U408" s="76">
        <f t="shared" si="17"/>
        <v>1</v>
      </c>
      <c r="V408" s="76">
        <f t="shared" si="18"/>
        <v>0</v>
      </c>
      <c r="X408" s="33" cm="1">
        <f t="array" ref="X408">((X$102=$R408)*((13-$S408)/12)+(X$102&gt;$R408))*$Q408*INDEX($J$13:$O$39,$N408-1999,X$102-2020)</f>
        <v>0</v>
      </c>
      <c r="Y408" s="33" cm="1">
        <f t="array" ref="Y408">((Y$102=$R408)*((13-$S408)/12)+(Y$102&gt;$R408))*$Q408*INDEX($J$13:$O$39,$N408-1999,Y$102-2020)</f>
        <v>0</v>
      </c>
      <c r="Z408" s="33" cm="1">
        <f t="array" ref="Z408">((Z$102=$R408)*((13-$S408)/12)+(Z$102&gt;$R408))*$Q408*INDEX($J$13:$O$39,$N408-1999,Z$102-2020)</f>
        <v>0</v>
      </c>
      <c r="AA408" s="33" cm="1">
        <f t="array" ref="AA408">((AA$102=$R408)*((13-$S408)/12)+(AA$102&gt;$R408))*$Q408*INDEX($J$13:$O$39,$N408-1999,AA$102-2020)</f>
        <v>78.65821392743301</v>
      </c>
      <c r="AB408" s="33" cm="1">
        <f t="array" ref="AB408">((AB$102=$R408)*((13-$S408)/12)+(AB$102&gt;$R408))*$Q408*INDEX($J$13:$O$39,$N408-1999,AB$102-2020)</f>
        <v>108.65321283842746</v>
      </c>
      <c r="AC408" s="33" cm="1">
        <f t="array" ref="AC408">((AC$102=$R408)*((13-$S408)/12)+(AC$102&gt;$R408))*$Q408*INDEX($J$13:$O$39,$N408-1999,AC$102-2020)</f>
        <v>111.69550279790343</v>
      </c>
    </row>
    <row r="409" spans="2:29" x14ac:dyDescent="0.2">
      <c r="B409" s="32">
        <f>'13. Input desinvesteringen'!B322</f>
        <v>306</v>
      </c>
      <c r="J409" s="32" t="str">
        <f>'13. Input desinvesteringen'!C322</f>
        <v>Transport</v>
      </c>
      <c r="K409" s="32" t="str">
        <f>'13. Input desinvesteringen'!D322</f>
        <v>HS</v>
      </c>
      <c r="L409" s="32" t="str">
        <f>'13. Input desinvesteringen'!E322</f>
        <v>Nee</v>
      </c>
      <c r="M409" s="32" t="str">
        <f>'13. Input desinvesteringen'!F322</f>
        <v>(Proces)automatisering</v>
      </c>
      <c r="N409" s="82">
        <f>'13. Input desinvesteringen'!G322</f>
        <v>2015</v>
      </c>
      <c r="O409" s="82"/>
      <c r="P409" s="82"/>
      <c r="Q409" s="32">
        <f>'13. Input desinvesteringen'!H322</f>
        <v>1020846</v>
      </c>
      <c r="R409" s="82">
        <f>'13. Input desinvesteringen'!I322</f>
        <v>2024</v>
      </c>
      <c r="S409" s="32">
        <f>'13. Input desinvesteringen'!J322</f>
        <v>6</v>
      </c>
      <c r="U409" s="76">
        <f t="shared" si="17"/>
        <v>0</v>
      </c>
      <c r="V409" s="76">
        <f t="shared" si="18"/>
        <v>1</v>
      </c>
      <c r="X409" s="33" cm="1">
        <f t="array" ref="X409">((X$102=$R409)*((13-$S409)/12)+(X$102&gt;$R409))*$Q409*INDEX($J$13:$O$39,$N409-1999,X$102-2020)</f>
        <v>0</v>
      </c>
      <c r="Y409" s="33" cm="1">
        <f t="array" ref="Y409">((Y$102=$R409)*((13-$S409)/12)+(Y$102&gt;$R409))*$Q409*INDEX($J$13:$O$39,$N409-1999,Y$102-2020)</f>
        <v>0</v>
      </c>
      <c r="Z409" s="33" cm="1">
        <f t="array" ref="Z409">((Z$102=$R409)*((13-$S409)/12)+(Z$102&gt;$R409))*$Q409*INDEX($J$13:$O$39,$N409-1999,Z$102-2020)</f>
        <v>0</v>
      </c>
      <c r="AA409" s="33" cm="1">
        <f t="array" ref="AA409">((AA$102=$R409)*((13-$S409)/12)+(AA$102&gt;$R409))*$Q409*INDEX($J$13:$O$39,$N409-1999,AA$102-2020)</f>
        <v>761459.42287976621</v>
      </c>
      <c r="AB409" s="33" cm="1">
        <f t="array" ref="AB409">((AB$102=$R409)*((13-$S409)/12)+(AB$102&gt;$R409))*$Q409*INDEX($J$13:$O$39,$N409-1999,AB$102-2020)</f>
        <v>1352351.9350344648</v>
      </c>
      <c r="AC409" s="33" cm="1">
        <f t="array" ref="AC409">((AC$102=$R409)*((13-$S409)/12)+(AC$102&gt;$R409))*$Q409*INDEX($J$13:$O$39,$N409-1999,AC$102-2020)</f>
        <v>1390217.7892154299</v>
      </c>
    </row>
    <row r="410" spans="2:29" x14ac:dyDescent="0.2">
      <c r="B410" s="32">
        <f>'13. Input desinvesteringen'!B323</f>
        <v>307</v>
      </c>
      <c r="J410" s="32" t="str">
        <f>'13. Input desinvesteringen'!C323</f>
        <v>Transport</v>
      </c>
      <c r="K410" s="32" t="str">
        <f>'13. Input desinvesteringen'!D323</f>
        <v>HS</v>
      </c>
      <c r="L410" s="32" t="str">
        <f>'13. Input desinvesteringen'!E323</f>
        <v>Nee</v>
      </c>
      <c r="M410" s="32" t="str">
        <f>'13. Input desinvesteringen'!F323</f>
        <v>Computerapparatuur</v>
      </c>
      <c r="N410" s="82">
        <f>'13. Input desinvesteringen'!G323</f>
        <v>2019</v>
      </c>
      <c r="O410" s="82"/>
      <c r="P410" s="82"/>
      <c r="Q410" s="32">
        <f>'13. Input desinvesteringen'!H323</f>
        <v>3709638</v>
      </c>
      <c r="R410" s="82">
        <f>'13. Input desinvesteringen'!I323</f>
        <v>2024</v>
      </c>
      <c r="S410" s="32">
        <f>'13. Input desinvesteringen'!J323</f>
        <v>12</v>
      </c>
      <c r="U410" s="76">
        <f t="shared" si="17"/>
        <v>1</v>
      </c>
      <c r="V410" s="76">
        <f t="shared" si="18"/>
        <v>0</v>
      </c>
      <c r="X410" s="33" cm="1">
        <f t="array" ref="X410">((X$102=$R410)*((13-$S410)/12)+(X$102&gt;$R410))*$Q410*INDEX($J$13:$O$39,$N410-1999,X$102-2020)</f>
        <v>0</v>
      </c>
      <c r="Y410" s="33" cm="1">
        <f t="array" ref="Y410">((Y$102=$R410)*((13-$S410)/12)+(Y$102&gt;$R410))*$Q410*INDEX($J$13:$O$39,$N410-1999,Y$102-2020)</f>
        <v>0</v>
      </c>
      <c r="Z410" s="33" cm="1">
        <f t="array" ref="Z410">((Z$102=$R410)*((13-$S410)/12)+(Z$102&gt;$R410))*$Q410*INDEX($J$13:$O$39,$N410-1999,Z$102-2020)</f>
        <v>0</v>
      </c>
      <c r="AA410" s="33" cm="1">
        <f t="array" ref="AA410">((AA$102=$R410)*((13-$S410)/12)+(AA$102&gt;$R410))*$Q410*INDEX($J$13:$O$39,$N410-1999,AA$102-2020)</f>
        <v>378031.57423904195</v>
      </c>
      <c r="AB410" s="33" cm="1">
        <f t="array" ref="AB410">((AB$102=$R410)*((13-$S410)/12)+(AB$102&gt;$R410))*$Q410*INDEX($J$13:$O$39,$N410-1999,AB$102-2020)</f>
        <v>4699688.5309397699</v>
      </c>
      <c r="AC410" s="33" cm="1">
        <f t="array" ref="AC410">((AC$102=$R410)*((13-$S410)/12)+(AC$102&gt;$R410))*$Q410*INDEX($J$13:$O$39,$N410-1999,AC$102-2020)</f>
        <v>4831279.8098060843</v>
      </c>
    </row>
    <row r="411" spans="2:29" x14ac:dyDescent="0.2">
      <c r="B411" s="32">
        <f>'13. Input desinvesteringen'!B324</f>
        <v>308</v>
      </c>
      <c r="J411" s="32" t="str">
        <f>'13. Input desinvesteringen'!C324</f>
        <v>Transport</v>
      </c>
      <c r="K411" s="32" t="str">
        <f>'13. Input desinvesteringen'!D324</f>
        <v>HS</v>
      </c>
      <c r="L411" s="32" t="str">
        <f>'13. Input desinvesteringen'!E324</f>
        <v>Nee</v>
      </c>
      <c r="M411" s="32" t="str">
        <f>'13. Input desinvesteringen'!F324</f>
        <v>Computerapparatuur</v>
      </c>
      <c r="N411" s="82">
        <f>'13. Input desinvesteringen'!G324</f>
        <v>2020</v>
      </c>
      <c r="O411" s="82"/>
      <c r="P411" s="82"/>
      <c r="Q411" s="32">
        <f>'13. Input desinvesteringen'!H324</f>
        <v>2861016</v>
      </c>
      <c r="R411" s="82">
        <f>'13. Input desinvesteringen'!I324</f>
        <v>2024</v>
      </c>
      <c r="S411" s="32">
        <f>'13. Input desinvesteringen'!J324</f>
        <v>6</v>
      </c>
      <c r="U411" s="76">
        <f t="shared" si="17"/>
        <v>1</v>
      </c>
      <c r="V411" s="76">
        <f t="shared" si="18"/>
        <v>0</v>
      </c>
      <c r="X411" s="33" cm="1">
        <f t="array" ref="X411">((X$102=$R411)*((13-$S411)/12)+(X$102&gt;$R411))*$Q411*INDEX($J$13:$O$39,$N411-1999,X$102-2020)</f>
        <v>0</v>
      </c>
      <c r="Y411" s="33" cm="1">
        <f t="array" ref="Y411">((Y$102=$R411)*((13-$S411)/12)+(Y$102&gt;$R411))*$Q411*INDEX($J$13:$O$39,$N411-1999,Y$102-2020)</f>
        <v>0</v>
      </c>
      <c r="Z411" s="33" cm="1">
        <f t="array" ref="Z411">((Z$102=$R411)*((13-$S411)/12)+(Z$102&gt;$R411))*$Q411*INDEX($J$13:$O$39,$N411-1999,Z$102-2020)</f>
        <v>0</v>
      </c>
      <c r="AA411" s="33" cm="1">
        <f t="array" ref="AA411">((AA$102=$R411)*((13-$S411)/12)+(AA$102&gt;$R411))*$Q411*INDEX($J$13:$O$39,$N411-1999,AA$102-2020)</f>
        <v>1985279.9435112446</v>
      </c>
      <c r="AB411" s="33" cm="1">
        <f t="array" ref="AB411">((AB$102=$R411)*((13-$S411)/12)+(AB$102&gt;$R411))*$Q411*INDEX($J$13:$O$39,$N411-1999,AB$102-2020)</f>
        <v>3525857.1796759702</v>
      </c>
      <c r="AC411" s="33" cm="1">
        <f t="array" ref="AC411">((AC$102=$R411)*((13-$S411)/12)+(AC$102&gt;$R411))*$Q411*INDEX($J$13:$O$39,$N411-1999,AC$102-2020)</f>
        <v>3624581.1807068978</v>
      </c>
    </row>
    <row r="412" spans="2:29" x14ac:dyDescent="0.2">
      <c r="B412" s="32">
        <f>'13. Input desinvesteringen'!B325</f>
        <v>309</v>
      </c>
      <c r="J412" s="32" t="str">
        <f>'13. Input desinvesteringen'!C325</f>
        <v>Transport</v>
      </c>
      <c r="K412" s="32" t="str">
        <f>'13. Input desinvesteringen'!D325</f>
        <v>HS</v>
      </c>
      <c r="L412" s="32" t="str">
        <f>'13. Input desinvesteringen'!E325</f>
        <v>Nee</v>
      </c>
      <c r="M412" s="32" t="str">
        <f>'13. Input desinvesteringen'!F325</f>
        <v>Gebouwen bij de stations</v>
      </c>
      <c r="N412" s="82">
        <f>'13. Input desinvesteringen'!G325</f>
        <v>2015</v>
      </c>
      <c r="O412" s="82"/>
      <c r="P412" s="82"/>
      <c r="Q412" s="32">
        <f>'13. Input desinvesteringen'!H325</f>
        <v>340</v>
      </c>
      <c r="R412" s="82">
        <f>'13. Input desinvesteringen'!I325</f>
        <v>2024</v>
      </c>
      <c r="S412" s="32">
        <f>'13. Input desinvesteringen'!J325</f>
        <v>7</v>
      </c>
      <c r="U412" s="76">
        <f t="shared" si="17"/>
        <v>0</v>
      </c>
      <c r="V412" s="76">
        <f t="shared" si="18"/>
        <v>1</v>
      </c>
      <c r="X412" s="33" cm="1">
        <f t="array" ref="X412">((X$102=$R412)*((13-$S412)/12)+(X$102&gt;$R412))*$Q412*INDEX($J$13:$O$39,$N412-1999,X$102-2020)</f>
        <v>0</v>
      </c>
      <c r="Y412" s="33" cm="1">
        <f t="array" ref="Y412">((Y$102=$R412)*((13-$S412)/12)+(Y$102&gt;$R412))*$Q412*INDEX($J$13:$O$39,$N412-1999,Y$102-2020)</f>
        <v>0</v>
      </c>
      <c r="Z412" s="33" cm="1">
        <f t="array" ref="Z412">((Z$102=$R412)*((13-$S412)/12)+(Z$102&gt;$R412))*$Q412*INDEX($J$13:$O$39,$N412-1999,Z$102-2020)</f>
        <v>0</v>
      </c>
      <c r="AA412" s="33" cm="1">
        <f t="array" ref="AA412">((AA$102=$R412)*((13-$S412)/12)+(AA$102&gt;$R412))*$Q412*INDEX($J$13:$O$39,$N412-1999,AA$102-2020)</f>
        <v>217.37953796231238</v>
      </c>
      <c r="AB412" s="33" cm="1">
        <f t="array" ref="AB412">((AB$102=$R412)*((13-$S412)/12)+(AB$102&gt;$R412))*$Q412*INDEX($J$13:$O$39,$N412-1999,AB$102-2020)</f>
        <v>450.41040265791122</v>
      </c>
      <c r="AC412" s="33" cm="1">
        <f t="array" ref="AC412">((AC$102=$R412)*((13-$S412)/12)+(AC$102&gt;$R412))*$Q412*INDEX($J$13:$O$39,$N412-1999,AC$102-2020)</f>
        <v>463.02189393233277</v>
      </c>
    </row>
    <row r="413" spans="2:29" x14ac:dyDescent="0.2">
      <c r="B413" s="32">
        <f>'13. Input desinvesteringen'!B326</f>
        <v>310</v>
      </c>
      <c r="J413" s="32" t="str">
        <f>'13. Input desinvesteringen'!C326</f>
        <v>Transport</v>
      </c>
      <c r="K413" s="32" t="str">
        <f>'13. Input desinvesteringen'!D326</f>
        <v>HS</v>
      </c>
      <c r="L413" s="32" t="str">
        <f>'13. Input desinvesteringen'!E326</f>
        <v>Nee</v>
      </c>
      <c r="M413" s="32" t="str">
        <f>'13. Input desinvesteringen'!F326</f>
        <v>Gebouwen bij de stations</v>
      </c>
      <c r="N413" s="82">
        <f>'13. Input desinvesteringen'!G326</f>
        <v>2015</v>
      </c>
      <c r="O413" s="82"/>
      <c r="P413" s="82"/>
      <c r="Q413" s="32">
        <f>'13. Input desinvesteringen'!H326</f>
        <v>3665</v>
      </c>
      <c r="R413" s="82">
        <f>'13. Input desinvesteringen'!I326</f>
        <v>2024</v>
      </c>
      <c r="S413" s="32">
        <f>'13. Input desinvesteringen'!J326</f>
        <v>10</v>
      </c>
      <c r="U413" s="76">
        <f t="shared" si="17"/>
        <v>0</v>
      </c>
      <c r="V413" s="76">
        <f t="shared" si="18"/>
        <v>1</v>
      </c>
      <c r="X413" s="33" cm="1">
        <f t="array" ref="X413">((X$102=$R413)*((13-$S413)/12)+(X$102&gt;$R413))*$Q413*INDEX($J$13:$O$39,$N413-1999,X$102-2020)</f>
        <v>0</v>
      </c>
      <c r="Y413" s="33" cm="1">
        <f t="array" ref="Y413">((Y$102=$R413)*((13-$S413)/12)+(Y$102&gt;$R413))*$Q413*INDEX($J$13:$O$39,$N413-1999,Y$102-2020)</f>
        <v>0</v>
      </c>
      <c r="Z413" s="33" cm="1">
        <f t="array" ref="Z413">((Z$102=$R413)*((13-$S413)/12)+(Z$102&gt;$R413))*$Q413*INDEX($J$13:$O$39,$N413-1999,Z$102-2020)</f>
        <v>0</v>
      </c>
      <c r="AA413" s="33" cm="1">
        <f t="array" ref="AA413">((AA$102=$R413)*((13-$S413)/12)+(AA$102&gt;$R413))*$Q413*INDEX($J$13:$O$39,$N413-1999,AA$102-2020)</f>
        <v>1171.6117744586395</v>
      </c>
      <c r="AB413" s="33" cm="1">
        <f t="array" ref="AB413">((AB$102=$R413)*((13-$S413)/12)+(AB$102&gt;$R413))*$Q413*INDEX($J$13:$O$39,$N413-1999,AB$102-2020)</f>
        <v>4855.1591933566015</v>
      </c>
      <c r="AC413" s="33" cm="1">
        <f t="array" ref="AC413">((AC$102=$R413)*((13-$S413)/12)+(AC$102&gt;$R413))*$Q413*INDEX($J$13:$O$39,$N413-1999,AC$102-2020)</f>
        <v>4991.1036507705876</v>
      </c>
    </row>
    <row r="414" spans="2:29" x14ac:dyDescent="0.2">
      <c r="B414" s="32">
        <f>'13. Input desinvesteringen'!B327</f>
        <v>311</v>
      </c>
      <c r="J414" s="32" t="str">
        <f>'13. Input desinvesteringen'!C327</f>
        <v>Transport</v>
      </c>
      <c r="K414" s="32" t="str">
        <f>'13. Input desinvesteringen'!D327</f>
        <v>HS</v>
      </c>
      <c r="L414" s="32" t="str">
        <f>'13. Input desinvesteringen'!E327</f>
        <v>Nee</v>
      </c>
      <c r="M414" s="32" t="str">
        <f>'13. Input desinvesteringen'!F327</f>
        <v>Gebouwen bij de stations</v>
      </c>
      <c r="N414" s="82">
        <f>'13. Input desinvesteringen'!G327</f>
        <v>2015</v>
      </c>
      <c r="O414" s="82"/>
      <c r="P414" s="82"/>
      <c r="Q414" s="32">
        <f>'13. Input desinvesteringen'!H327</f>
        <v>2823</v>
      </c>
      <c r="R414" s="82">
        <f>'13. Input desinvesteringen'!I327</f>
        <v>2024</v>
      </c>
      <c r="S414" s="32">
        <f>'13. Input desinvesteringen'!J327</f>
        <v>7</v>
      </c>
      <c r="U414" s="76">
        <f t="shared" si="17"/>
        <v>0</v>
      </c>
      <c r="V414" s="76">
        <f t="shared" si="18"/>
        <v>1</v>
      </c>
      <c r="X414" s="33" cm="1">
        <f t="array" ref="X414">((X$102=$R414)*((13-$S414)/12)+(X$102&gt;$R414))*$Q414*INDEX($J$13:$O$39,$N414-1999,X$102-2020)</f>
        <v>0</v>
      </c>
      <c r="Y414" s="33" cm="1">
        <f t="array" ref="Y414">((Y$102=$R414)*((13-$S414)/12)+(Y$102&gt;$R414))*$Q414*INDEX($J$13:$O$39,$N414-1999,Y$102-2020)</f>
        <v>0</v>
      </c>
      <c r="Z414" s="33" cm="1">
        <f t="array" ref="Z414">((Z$102=$R414)*((13-$S414)/12)+(Z$102&gt;$R414))*$Q414*INDEX($J$13:$O$39,$N414-1999,Z$102-2020)</f>
        <v>0</v>
      </c>
      <c r="AA414" s="33" cm="1">
        <f t="array" ref="AA414">((AA$102=$R414)*((13-$S414)/12)+(AA$102&gt;$R414))*$Q414*INDEX($J$13:$O$39,$N414-1999,AA$102-2020)</f>
        <v>1804.8895166694347</v>
      </c>
      <c r="AB414" s="33" cm="1">
        <f t="array" ref="AB414">((AB$102=$R414)*((13-$S414)/12)+(AB$102&gt;$R414))*$Q414*INDEX($J$13:$O$39,$N414-1999,AB$102-2020)</f>
        <v>3739.7310785390687</v>
      </c>
      <c r="AC414" s="33" cm="1">
        <f t="array" ref="AC414">((AC$102=$R414)*((13-$S414)/12)+(AC$102&gt;$R414))*$Q414*INDEX($J$13:$O$39,$N414-1999,AC$102-2020)</f>
        <v>3844.4435487381629</v>
      </c>
    </row>
    <row r="415" spans="2:29" x14ac:dyDescent="0.2">
      <c r="B415" s="32">
        <f>'13. Input desinvesteringen'!B328</f>
        <v>312</v>
      </c>
      <c r="J415" s="32" t="str">
        <f>'13. Input desinvesteringen'!C328</f>
        <v>Transport</v>
      </c>
      <c r="K415" s="32" t="str">
        <f>'13. Input desinvesteringen'!D328</f>
        <v>HS</v>
      </c>
      <c r="L415" s="32" t="str">
        <f>'13. Input desinvesteringen'!E328</f>
        <v>Nee</v>
      </c>
      <c r="M415" s="32" t="str">
        <f>'13. Input desinvesteringen'!F328</f>
        <v>Gebouwen bij de stations</v>
      </c>
      <c r="N415" s="82">
        <f>'13. Input desinvesteringen'!G328</f>
        <v>2016</v>
      </c>
      <c r="O415" s="82"/>
      <c r="P415" s="82"/>
      <c r="Q415" s="32">
        <f>'13. Input desinvesteringen'!H328</f>
        <v>155812</v>
      </c>
      <c r="R415" s="82">
        <f>'13. Input desinvesteringen'!I328</f>
        <v>2024</v>
      </c>
      <c r="S415" s="32">
        <f>'13. Input desinvesteringen'!J328</f>
        <v>12</v>
      </c>
      <c r="U415" s="76">
        <f t="shared" si="17"/>
        <v>0</v>
      </c>
      <c r="V415" s="76">
        <f t="shared" si="18"/>
        <v>1</v>
      </c>
      <c r="X415" s="33" cm="1">
        <f t="array" ref="X415">((X$102=$R415)*((13-$S415)/12)+(X$102&gt;$R415))*$Q415*INDEX($J$13:$O$39,$N415-1999,X$102-2020)</f>
        <v>0</v>
      </c>
      <c r="Y415" s="33" cm="1">
        <f t="array" ref="Y415">((Y$102=$R415)*((13-$S415)/12)+(Y$102&gt;$R415))*$Q415*INDEX($J$13:$O$39,$N415-1999,Y$102-2020)</f>
        <v>0</v>
      </c>
      <c r="Z415" s="33" cm="1">
        <f t="array" ref="Z415">((Z$102=$R415)*((13-$S415)/12)+(Z$102&gt;$R415))*$Q415*INDEX($J$13:$O$39,$N415-1999,Z$102-2020)</f>
        <v>0</v>
      </c>
      <c r="AA415" s="33" cm="1">
        <f t="array" ref="AA415">((AA$102=$R415)*((13-$S415)/12)+(AA$102&gt;$R415))*$Q415*INDEX($J$13:$O$39,$N415-1999,AA$102-2020)</f>
        <v>16471.337422669527</v>
      </c>
      <c r="AB415" s="33" cm="1">
        <f t="array" ref="AB415">((AB$102=$R415)*((13-$S415)/12)+(AB$102&gt;$R415))*$Q415*INDEX($J$13:$O$39,$N415-1999,AB$102-2020)</f>
        <v>204771.6668386276</v>
      </c>
      <c r="AC415" s="33" cm="1">
        <f t="array" ref="AC415">((AC$102=$R415)*((13-$S415)/12)+(AC$102&gt;$R415))*$Q415*INDEX($J$13:$O$39,$N415-1999,AC$102-2020)</f>
        <v>210505.27351010917</v>
      </c>
    </row>
    <row r="416" spans="2:29" x14ac:dyDescent="0.2">
      <c r="B416" s="32">
        <f>'13. Input desinvesteringen'!B329</f>
        <v>313</v>
      </c>
      <c r="J416" s="32" t="str">
        <f>'13. Input desinvesteringen'!C329</f>
        <v>Transport</v>
      </c>
      <c r="K416" s="32" t="str">
        <f>'13. Input desinvesteringen'!D329</f>
        <v>HS</v>
      </c>
      <c r="L416" s="32" t="str">
        <f>'13. Input desinvesteringen'!E329</f>
        <v>Nee</v>
      </c>
      <c r="M416" s="32" t="str">
        <f>'13. Input desinvesteringen'!F329</f>
        <v>Gebouwen bij de stations</v>
      </c>
      <c r="N416" s="82">
        <f>'13. Input desinvesteringen'!G329</f>
        <v>2017</v>
      </c>
      <c r="O416" s="82"/>
      <c r="P416" s="82"/>
      <c r="Q416" s="32">
        <f>'13. Input desinvesteringen'!H329</f>
        <v>3289</v>
      </c>
      <c r="R416" s="82">
        <f>'13. Input desinvesteringen'!I329</f>
        <v>2024</v>
      </c>
      <c r="S416" s="32">
        <f>'13. Input desinvesteringen'!J329</f>
        <v>7</v>
      </c>
      <c r="U416" s="76">
        <f t="shared" si="17"/>
        <v>0</v>
      </c>
      <c r="V416" s="76">
        <f t="shared" si="18"/>
        <v>1</v>
      </c>
      <c r="X416" s="33" cm="1">
        <f t="array" ref="X416">((X$102=$R416)*((13-$S416)/12)+(X$102&gt;$R416))*$Q416*INDEX($J$13:$O$39,$N416-1999,X$102-2020)</f>
        <v>0</v>
      </c>
      <c r="Y416" s="33" cm="1">
        <f t="array" ref="Y416">((Y$102=$R416)*((13-$S416)/12)+(Y$102&gt;$R416))*$Q416*INDEX($J$13:$O$39,$N416-1999,Y$102-2020)</f>
        <v>0</v>
      </c>
      <c r="Z416" s="33" cm="1">
        <f t="array" ref="Z416">((Z$102=$R416)*((13-$S416)/12)+(Z$102&gt;$R416))*$Q416*INDEX($J$13:$O$39,$N416-1999,Z$102-2020)</f>
        <v>0</v>
      </c>
      <c r="AA416" s="33" cm="1">
        <f t="array" ref="AA416">((AA$102=$R416)*((13-$S416)/12)+(AA$102&gt;$R416))*$Q416*INDEX($J$13:$O$39,$N416-1999,AA$102-2020)</f>
        <v>2081.9742994113476</v>
      </c>
      <c r="AB416" s="33" cm="1">
        <f t="array" ref="AB416">((AB$102=$R416)*((13-$S416)/12)+(AB$102&gt;$R416))*$Q416*INDEX($J$13:$O$39,$N416-1999,AB$102-2020)</f>
        <v>4313.8507483803123</v>
      </c>
      <c r="AC416" s="33" cm="1">
        <f t="array" ref="AC416">((AC$102=$R416)*((13-$S416)/12)+(AC$102&gt;$R416))*$Q416*INDEX($J$13:$O$39,$N416-1999,AC$102-2020)</f>
        <v>4434.6385693349603</v>
      </c>
    </row>
    <row r="417" spans="2:29" x14ac:dyDescent="0.2">
      <c r="B417" s="32">
        <f>'13. Input desinvesteringen'!B330</f>
        <v>314</v>
      </c>
      <c r="J417" s="32" t="str">
        <f>'13. Input desinvesteringen'!C330</f>
        <v>Transport</v>
      </c>
      <c r="K417" s="32" t="str">
        <f>'13. Input desinvesteringen'!D330</f>
        <v>HS</v>
      </c>
      <c r="L417" s="32" t="str">
        <f>'13. Input desinvesteringen'!E330</f>
        <v>Nee</v>
      </c>
      <c r="M417" s="32" t="str">
        <f>'13. Input desinvesteringen'!F330</f>
        <v>Gebouwen bij de stations</v>
      </c>
      <c r="N417" s="82">
        <f>'13. Input desinvesteringen'!G330</f>
        <v>2020</v>
      </c>
      <c r="O417" s="82"/>
      <c r="P417" s="82"/>
      <c r="Q417" s="32">
        <f>'13. Input desinvesteringen'!H330</f>
        <v>32480</v>
      </c>
      <c r="R417" s="82">
        <f>'13. Input desinvesteringen'!I330</f>
        <v>2024</v>
      </c>
      <c r="S417" s="32">
        <f>'13. Input desinvesteringen'!J330</f>
        <v>10</v>
      </c>
      <c r="U417" s="76">
        <f t="shared" si="17"/>
        <v>0</v>
      </c>
      <c r="V417" s="76">
        <f t="shared" si="18"/>
        <v>1</v>
      </c>
      <c r="X417" s="33" cm="1">
        <f t="array" ref="X417">((X$102=$R417)*((13-$S417)/12)+(X$102&gt;$R417))*$Q417*INDEX($J$13:$O$39,$N417-1999,X$102-2020)</f>
        <v>0</v>
      </c>
      <c r="Y417" s="33" cm="1">
        <f t="array" ref="Y417">((Y$102=$R417)*((13-$S417)/12)+(Y$102&gt;$R417))*$Q417*INDEX($J$13:$O$39,$N417-1999,Y$102-2020)</f>
        <v>0</v>
      </c>
      <c r="Z417" s="33" cm="1">
        <f t="array" ref="Z417">((Z$102=$R417)*((13-$S417)/12)+(Z$102&gt;$R417))*$Q417*INDEX($J$13:$O$39,$N417-1999,Z$102-2020)</f>
        <v>0</v>
      </c>
      <c r="AA417" s="33" cm="1">
        <f t="array" ref="AA417">((AA$102=$R417)*((13-$S417)/12)+(AA$102&gt;$R417))*$Q417*INDEX($J$13:$O$39,$N417-1999,AA$102-2020)</f>
        <v>9659.1898869759989</v>
      </c>
      <c r="AB417" s="33" cm="1">
        <f t="array" ref="AB417">((AB$102=$R417)*((13-$S417)/12)+(AB$102&gt;$R417))*$Q417*INDEX($J$13:$O$39,$N417-1999,AB$102-2020)</f>
        <v>40027.682891628538</v>
      </c>
      <c r="AC417" s="33" cm="1">
        <f t="array" ref="AC417">((AC$102=$R417)*((13-$S417)/12)+(AC$102&gt;$R417))*$Q417*INDEX($J$13:$O$39,$N417-1999,AC$102-2020)</f>
        <v>41148.458012594143</v>
      </c>
    </row>
    <row r="418" spans="2:29" x14ac:dyDescent="0.2">
      <c r="B418" s="32">
        <f>'13. Input desinvesteringen'!B331</f>
        <v>315</v>
      </c>
      <c r="J418" s="32" t="str">
        <f>'13. Input desinvesteringen'!C331</f>
        <v>Transport</v>
      </c>
      <c r="K418" s="32" t="str">
        <f>'13. Input desinvesteringen'!D331</f>
        <v>HS</v>
      </c>
      <c r="L418" s="32" t="str">
        <f>'13. Input desinvesteringen'!E331</f>
        <v>Nee</v>
      </c>
      <c r="M418" s="32" t="str">
        <f>'13. Input desinvesteringen'!F331</f>
        <v>Hoogspanningsstations primair</v>
      </c>
      <c r="N418" s="82">
        <f>'13. Input desinvesteringen'!G331</f>
        <v>2012</v>
      </c>
      <c r="O418" s="82"/>
      <c r="P418" s="82"/>
      <c r="Q418" s="32">
        <f>'13. Input desinvesteringen'!H331</f>
        <v>220267</v>
      </c>
      <c r="R418" s="82">
        <f>'13. Input desinvesteringen'!I331</f>
        <v>2024</v>
      </c>
      <c r="S418" s="32">
        <f>'13. Input desinvesteringen'!J331</f>
        <v>12</v>
      </c>
      <c r="U418" s="76">
        <f t="shared" si="17"/>
        <v>1</v>
      </c>
      <c r="V418" s="76">
        <f t="shared" si="18"/>
        <v>0</v>
      </c>
      <c r="X418" s="33" cm="1">
        <f t="array" ref="X418">((X$102=$R418)*((13-$S418)/12)+(X$102&gt;$R418))*$Q418*INDEX($J$13:$O$39,$N418-1999,X$102-2020)</f>
        <v>0</v>
      </c>
      <c r="Y418" s="33" cm="1">
        <f t="array" ref="Y418">((Y$102=$R418)*((13-$S418)/12)+(Y$102&gt;$R418))*$Q418*INDEX($J$13:$O$39,$N418-1999,Y$102-2020)</f>
        <v>0</v>
      </c>
      <c r="Z418" s="33" cm="1">
        <f t="array" ref="Z418">((Z$102=$R418)*((13-$S418)/12)+(Z$102&gt;$R418))*$Q418*INDEX($J$13:$O$39,$N418-1999,Z$102-2020)</f>
        <v>0</v>
      </c>
      <c r="AA418" s="33" cm="1">
        <f t="array" ref="AA418">((AA$102=$R418)*((13-$S418)/12)+(AA$102&gt;$R418))*$Q418*INDEX($J$13:$O$39,$N418-1999,AA$102-2020)</f>
        <v>24930.331471122139</v>
      </c>
      <c r="AB418" s="33" cm="1">
        <f t="array" ref="AB418">((AB$102=$R418)*((13-$S418)/12)+(AB$102&gt;$R418))*$Q418*INDEX($J$13:$O$39,$N418-1999,AB$102-2020)</f>
        <v>309933.88084899046</v>
      </c>
      <c r="AC418" s="33" cm="1">
        <f t="array" ref="AC418">((AC$102=$R418)*((13-$S418)/12)+(AC$102&gt;$R418))*$Q418*INDEX($J$13:$O$39,$N418-1999,AC$102-2020)</f>
        <v>318612.02951276221</v>
      </c>
    </row>
    <row r="419" spans="2:29" x14ac:dyDescent="0.2">
      <c r="B419" s="32">
        <f>'13. Input desinvesteringen'!B332</f>
        <v>316</v>
      </c>
      <c r="J419" s="32" t="str">
        <f>'13. Input desinvesteringen'!C332</f>
        <v>Transport</v>
      </c>
      <c r="K419" s="32" t="str">
        <f>'13. Input desinvesteringen'!D332</f>
        <v>HS</v>
      </c>
      <c r="L419" s="32" t="str">
        <f>'13. Input desinvesteringen'!E332</f>
        <v>Nee</v>
      </c>
      <c r="M419" s="32" t="str">
        <f>'13. Input desinvesteringen'!F332</f>
        <v>Hoogspanningsstations primair</v>
      </c>
      <c r="N419" s="82">
        <f>'13. Input desinvesteringen'!G332</f>
        <v>2013</v>
      </c>
      <c r="O419" s="82"/>
      <c r="P419" s="82"/>
      <c r="Q419" s="32">
        <f>'13. Input desinvesteringen'!H332</f>
        <v>424332</v>
      </c>
      <c r="R419" s="82">
        <f>'13. Input desinvesteringen'!I332</f>
        <v>2024</v>
      </c>
      <c r="S419" s="32">
        <f>'13. Input desinvesteringen'!J332</f>
        <v>7</v>
      </c>
      <c r="U419" s="76">
        <f t="shared" si="17"/>
        <v>1</v>
      </c>
      <c r="V419" s="76">
        <f t="shared" si="18"/>
        <v>0</v>
      </c>
      <c r="X419" s="33" cm="1">
        <f t="array" ref="X419">((X$102=$R419)*((13-$S419)/12)+(X$102&gt;$R419))*$Q419*INDEX($J$13:$O$39,$N419-1999,X$102-2020)</f>
        <v>0</v>
      </c>
      <c r="Y419" s="33" cm="1">
        <f t="array" ref="Y419">((Y$102=$R419)*((13-$S419)/12)+(Y$102&gt;$R419))*$Q419*INDEX($J$13:$O$39,$N419-1999,Y$102-2020)</f>
        <v>0</v>
      </c>
      <c r="Z419" s="33" cm="1">
        <f t="array" ref="Z419">((Z$102=$R419)*((13-$S419)/12)+(Z$102&gt;$R419))*$Q419*INDEX($J$13:$O$39,$N419-1999,Z$102-2020)</f>
        <v>0</v>
      </c>
      <c r="AA419" s="33" cm="1">
        <f t="array" ref="AA419">((AA$102=$R419)*((13-$S419)/12)+(AA$102&gt;$R419))*$Q419*INDEX($J$13:$O$39,$N419-1999,AA$102-2020)</f>
        <v>281682.59760256595</v>
      </c>
      <c r="AB419" s="33" cm="1">
        <f t="array" ref="AB419">((AB$102=$R419)*((13-$S419)/12)+(AB$102&gt;$R419))*$Q419*INDEX($J$13:$O$39,$N419-1999,AB$102-2020)</f>
        <v>583646.34223251662</v>
      </c>
      <c r="AC419" s="33" cm="1">
        <f t="array" ref="AC419">((AC$102=$R419)*((13-$S419)/12)+(AC$102&gt;$R419))*$Q419*INDEX($J$13:$O$39,$N419-1999,AC$102-2020)</f>
        <v>599988.43981502706</v>
      </c>
    </row>
    <row r="420" spans="2:29" x14ac:dyDescent="0.2">
      <c r="B420" s="32">
        <f>'13. Input desinvesteringen'!B333</f>
        <v>317</v>
      </c>
      <c r="J420" s="32" t="str">
        <f>'13. Input desinvesteringen'!C333</f>
        <v>Transport</v>
      </c>
      <c r="K420" s="32" t="str">
        <f>'13. Input desinvesteringen'!D333</f>
        <v>HS</v>
      </c>
      <c r="L420" s="32" t="str">
        <f>'13. Input desinvesteringen'!E333</f>
        <v>Nee</v>
      </c>
      <c r="M420" s="32" t="str">
        <f>'13. Input desinvesteringen'!F333</f>
        <v>Hoogspanningsstations primair</v>
      </c>
      <c r="N420" s="82">
        <f>'13. Input desinvesteringen'!G333</f>
        <v>2014</v>
      </c>
      <c r="O420" s="82"/>
      <c r="P420" s="82"/>
      <c r="Q420" s="32">
        <f>'13. Input desinvesteringen'!H333</f>
        <v>54441</v>
      </c>
      <c r="R420" s="82">
        <f>'13. Input desinvesteringen'!I333</f>
        <v>2024</v>
      </c>
      <c r="S420" s="32">
        <f>'13. Input desinvesteringen'!J333</f>
        <v>4</v>
      </c>
      <c r="U420" s="76">
        <f t="shared" si="17"/>
        <v>1</v>
      </c>
      <c r="V420" s="76">
        <f t="shared" si="18"/>
        <v>0</v>
      </c>
      <c r="X420" s="33" cm="1">
        <f t="array" ref="X420">((X$102=$R420)*((13-$S420)/12)+(X$102&gt;$R420))*$Q420*INDEX($J$13:$O$39,$N420-1999,X$102-2020)</f>
        <v>0</v>
      </c>
      <c r="Y420" s="33" cm="1">
        <f t="array" ref="Y420">((Y$102=$R420)*((13-$S420)/12)+(Y$102&gt;$R420))*$Q420*INDEX($J$13:$O$39,$N420-1999,Y$102-2020)</f>
        <v>0</v>
      </c>
      <c r="Z420" s="33" cm="1">
        <f t="array" ref="Z420">((Z$102=$R420)*((13-$S420)/12)+(Z$102&gt;$R420))*$Q420*INDEX($J$13:$O$39,$N420-1999,Z$102-2020)</f>
        <v>0</v>
      </c>
      <c r="AA420" s="33" cm="1">
        <f t="array" ref="AA420">((AA$102=$R420)*((13-$S420)/12)+(AA$102&gt;$R420))*$Q420*INDEX($J$13:$O$39,$N420-1999,AA$102-2020)</f>
        <v>52732.513325595501</v>
      </c>
      <c r="AB420" s="33" cm="1">
        <f t="array" ref="AB420">((AB$102=$R420)*((13-$S420)/12)+(AB$102&gt;$R420))*$Q420*INDEX($J$13:$O$39,$N420-1999,AB$102-2020)</f>
        <v>72841.178407089246</v>
      </c>
      <c r="AC420" s="33" cm="1">
        <f t="array" ref="AC420">((AC$102=$R420)*((13-$S420)/12)+(AC$102&gt;$R420))*$Q420*INDEX($J$13:$O$39,$N420-1999,AC$102-2020)</f>
        <v>74880.731402487756</v>
      </c>
    </row>
    <row r="421" spans="2:29" x14ac:dyDescent="0.2">
      <c r="B421" s="32">
        <f>'13. Input desinvesteringen'!B334</f>
        <v>318</v>
      </c>
      <c r="J421" s="32" t="str">
        <f>'13. Input desinvesteringen'!C334</f>
        <v>Transport</v>
      </c>
      <c r="K421" s="32" t="str">
        <f>'13. Input desinvesteringen'!D334</f>
        <v>HS</v>
      </c>
      <c r="L421" s="32" t="str">
        <f>'13. Input desinvesteringen'!E334</f>
        <v>Nee</v>
      </c>
      <c r="M421" s="32" t="str">
        <f>'13. Input desinvesteringen'!F334</f>
        <v>Hoogspanningsstations primair</v>
      </c>
      <c r="N421" s="82">
        <f>'13. Input desinvesteringen'!G334</f>
        <v>2016</v>
      </c>
      <c r="O421" s="82"/>
      <c r="P421" s="82"/>
      <c r="Q421" s="32">
        <f>'13. Input desinvesteringen'!H334</f>
        <v>519560</v>
      </c>
      <c r="R421" s="82">
        <f>'13. Input desinvesteringen'!I334</f>
        <v>2024</v>
      </c>
      <c r="S421" s="32">
        <f>'13. Input desinvesteringen'!J334</f>
        <v>12</v>
      </c>
      <c r="U421" s="76">
        <f t="shared" si="17"/>
        <v>1</v>
      </c>
      <c r="V421" s="76">
        <f t="shared" si="18"/>
        <v>0</v>
      </c>
      <c r="X421" s="33" cm="1">
        <f t="array" ref="X421">((X$102=$R421)*((13-$S421)/12)+(X$102&gt;$R421))*$Q421*INDEX($J$13:$O$39,$N421-1999,X$102-2020)</f>
        <v>0</v>
      </c>
      <c r="Y421" s="33" cm="1">
        <f t="array" ref="Y421">((Y$102=$R421)*((13-$S421)/12)+(Y$102&gt;$R421))*$Q421*INDEX($J$13:$O$39,$N421-1999,Y$102-2020)</f>
        <v>0</v>
      </c>
      <c r="Z421" s="33" cm="1">
        <f t="array" ref="Z421">((Z$102=$R421)*((13-$S421)/12)+(Z$102&gt;$R421))*$Q421*INDEX($J$13:$O$39,$N421-1999,Z$102-2020)</f>
        <v>0</v>
      </c>
      <c r="AA421" s="33" cm="1">
        <f t="array" ref="AA421">((AA$102=$R421)*((13-$S421)/12)+(AA$102&gt;$R421))*$Q421*INDEX($J$13:$O$39,$N421-1999,AA$102-2020)</f>
        <v>54924.191149091086</v>
      </c>
      <c r="AB421" s="33" cm="1">
        <f t="array" ref="AB421">((AB$102=$R421)*((13-$S421)/12)+(AB$102&gt;$R421))*$Q421*INDEX($J$13:$O$39,$N421-1999,AB$102-2020)</f>
        <v>682817.54436550045</v>
      </c>
      <c r="AC421" s="33" cm="1">
        <f t="array" ref="AC421">((AC$102=$R421)*((13-$S421)/12)+(AC$102&gt;$R421))*$Q421*INDEX($J$13:$O$39,$N421-1999,AC$102-2020)</f>
        <v>701936.43560773449</v>
      </c>
    </row>
    <row r="422" spans="2:29" x14ac:dyDescent="0.2">
      <c r="B422" s="32">
        <f>'13. Input desinvesteringen'!B335</f>
        <v>319</v>
      </c>
      <c r="J422" s="32" t="str">
        <f>'13. Input desinvesteringen'!C335</f>
        <v>Transport</v>
      </c>
      <c r="K422" s="32" t="str">
        <f>'13. Input desinvesteringen'!D335</f>
        <v>HS</v>
      </c>
      <c r="L422" s="32" t="str">
        <f>'13. Input desinvesteringen'!E335</f>
        <v>Nee</v>
      </c>
      <c r="M422" s="32" t="str">
        <f>'13. Input desinvesteringen'!F335</f>
        <v>Hoogspanningsstations primair</v>
      </c>
      <c r="N422" s="82">
        <f>'13. Input desinvesteringen'!G335</f>
        <v>2016</v>
      </c>
      <c r="O422" s="82"/>
      <c r="P422" s="82"/>
      <c r="Q422" s="32">
        <f>'13. Input desinvesteringen'!H335</f>
        <v>273369</v>
      </c>
      <c r="R422" s="82">
        <f>'13. Input desinvesteringen'!I335</f>
        <v>2024</v>
      </c>
      <c r="S422" s="32">
        <f>'13. Input desinvesteringen'!J335</f>
        <v>7</v>
      </c>
      <c r="U422" s="76">
        <f t="shared" si="17"/>
        <v>1</v>
      </c>
      <c r="V422" s="76">
        <f t="shared" si="18"/>
        <v>0</v>
      </c>
      <c r="X422" s="33" cm="1">
        <f t="array" ref="X422">((X$102=$R422)*((13-$S422)/12)+(X$102&gt;$R422))*$Q422*INDEX($J$13:$O$39,$N422-1999,X$102-2020)</f>
        <v>0</v>
      </c>
      <c r="Y422" s="33" cm="1">
        <f t="array" ref="Y422">((Y$102=$R422)*((13-$S422)/12)+(Y$102&gt;$R422))*$Q422*INDEX($J$13:$O$39,$N422-1999,Y$102-2020)</f>
        <v>0</v>
      </c>
      <c r="Z422" s="33" cm="1">
        <f t="array" ref="Z422">((Z$102=$R422)*((13-$S422)/12)+(Z$102&gt;$R422))*$Q422*INDEX($J$13:$O$39,$N422-1999,Z$102-2020)</f>
        <v>0</v>
      </c>
      <c r="AA422" s="33" cm="1">
        <f t="array" ref="AA422">((AA$102=$R422)*((13-$S422)/12)+(AA$102&gt;$R422))*$Q422*INDEX($J$13:$O$39,$N422-1999,AA$102-2020)</f>
        <v>173391.76853763819</v>
      </c>
      <c r="AB422" s="33" cm="1">
        <f t="array" ref="AB422">((AB$102=$R422)*((13-$S422)/12)+(AB$102&gt;$R422))*$Q422*INDEX($J$13:$O$39,$N422-1999,AB$102-2020)</f>
        <v>359267.74440998631</v>
      </c>
      <c r="AC422" s="33" cm="1">
        <f t="array" ref="AC422">((AC$102=$R422)*((13-$S422)/12)+(AC$102&gt;$R422))*$Q422*INDEX($J$13:$O$39,$N422-1999,AC$102-2020)</f>
        <v>369327.24125346594</v>
      </c>
    </row>
    <row r="423" spans="2:29" x14ac:dyDescent="0.2">
      <c r="B423" s="32">
        <f>'13. Input desinvesteringen'!B336</f>
        <v>320</v>
      </c>
      <c r="J423" s="32" t="str">
        <f>'13. Input desinvesteringen'!C336</f>
        <v>Transport</v>
      </c>
      <c r="K423" s="32" t="str">
        <f>'13. Input desinvesteringen'!D336</f>
        <v>HS</v>
      </c>
      <c r="L423" s="32" t="str">
        <f>'13. Input desinvesteringen'!E336</f>
        <v>Nee</v>
      </c>
      <c r="M423" s="32" t="str">
        <f>'13. Input desinvesteringen'!F336</f>
        <v>Hoogspanningsstations primair</v>
      </c>
      <c r="N423" s="82">
        <f>'13. Input desinvesteringen'!G336</f>
        <v>2017</v>
      </c>
      <c r="O423" s="82"/>
      <c r="P423" s="82"/>
      <c r="Q423" s="32">
        <f>'13. Input desinvesteringen'!H336</f>
        <v>116820</v>
      </c>
      <c r="R423" s="82">
        <f>'13. Input desinvesteringen'!I336</f>
        <v>2024</v>
      </c>
      <c r="S423" s="32">
        <f>'13. Input desinvesteringen'!J336</f>
        <v>10</v>
      </c>
      <c r="U423" s="76">
        <f t="shared" si="17"/>
        <v>1</v>
      </c>
      <c r="V423" s="76">
        <f t="shared" si="18"/>
        <v>0</v>
      </c>
      <c r="X423" s="33" cm="1">
        <f t="array" ref="X423">((X$102=$R423)*((13-$S423)/12)+(X$102&gt;$R423))*$Q423*INDEX($J$13:$O$39,$N423-1999,X$102-2020)</f>
        <v>0</v>
      </c>
      <c r="Y423" s="33" cm="1">
        <f t="array" ref="Y423">((Y$102=$R423)*((13-$S423)/12)+(Y$102&gt;$R423))*$Q423*INDEX($J$13:$O$39,$N423-1999,Y$102-2020)</f>
        <v>0</v>
      </c>
      <c r="Z423" s="33" cm="1">
        <f t="array" ref="Z423">((Z$102=$R423)*((13-$S423)/12)+(Z$102&gt;$R423))*$Q423*INDEX($J$13:$O$39,$N423-1999,Z$102-2020)</f>
        <v>0</v>
      </c>
      <c r="AA423" s="33" cm="1">
        <f t="array" ref="AA423">((AA$102=$R423)*((13-$S423)/12)+(AA$102&gt;$R423))*$Q423*INDEX($J$13:$O$39,$N423-1999,AA$102-2020)</f>
        <v>36974.192407606206</v>
      </c>
      <c r="AB423" s="33" cm="1">
        <f t="array" ref="AB423">((AB$102=$R423)*((13-$S423)/12)+(AB$102&gt;$R423))*$Q423*INDEX($J$13:$O$39,$N423-1999,AB$102-2020)</f>
        <v>153221.0533371201</v>
      </c>
      <c r="AC423" s="33" cm="1">
        <f t="array" ref="AC423">((AC$102=$R423)*((13-$S423)/12)+(AC$102&gt;$R423))*$Q423*INDEX($J$13:$O$39,$N423-1999,AC$102-2020)</f>
        <v>157511.24283055947</v>
      </c>
    </row>
    <row r="424" spans="2:29" x14ac:dyDescent="0.2">
      <c r="B424" s="32">
        <f>'13. Input desinvesteringen'!B337</f>
        <v>321</v>
      </c>
      <c r="J424" s="32" t="str">
        <f>'13. Input desinvesteringen'!C337</f>
        <v>Transport</v>
      </c>
      <c r="K424" s="32" t="str">
        <f>'13. Input desinvesteringen'!D337</f>
        <v>HS</v>
      </c>
      <c r="L424" s="32" t="str">
        <f>'13. Input desinvesteringen'!E337</f>
        <v>Nee</v>
      </c>
      <c r="M424" s="32" t="str">
        <f>'13. Input desinvesteringen'!F337</f>
        <v>Hoogspanningsstations secundair</v>
      </c>
      <c r="N424" s="82">
        <f>'13. Input desinvesteringen'!G337</f>
        <v>2014</v>
      </c>
      <c r="O424" s="82"/>
      <c r="P424" s="82"/>
      <c r="Q424" s="32">
        <f>'13. Input desinvesteringen'!H337</f>
        <v>8114</v>
      </c>
      <c r="R424" s="82">
        <f>'13. Input desinvesteringen'!I337</f>
        <v>2024</v>
      </c>
      <c r="S424" s="32">
        <f>'13. Input desinvesteringen'!J337</f>
        <v>8</v>
      </c>
      <c r="U424" s="76">
        <f t="shared" si="17"/>
        <v>1</v>
      </c>
      <c r="V424" s="76">
        <f t="shared" si="18"/>
        <v>0</v>
      </c>
      <c r="X424" s="33" cm="1">
        <f t="array" ref="X424">((X$102=$R424)*((13-$S424)/12)+(X$102&gt;$R424))*$Q424*INDEX($J$13:$O$39,$N424-1999,X$102-2020)</f>
        <v>0</v>
      </c>
      <c r="Y424" s="33" cm="1">
        <f t="array" ref="Y424">((Y$102=$R424)*((13-$S424)/12)+(Y$102&gt;$R424))*$Q424*INDEX($J$13:$O$39,$N424-1999,Y$102-2020)</f>
        <v>0</v>
      </c>
      <c r="Z424" s="33" cm="1">
        <f t="array" ref="Z424">((Z$102=$R424)*((13-$S424)/12)+(Z$102&gt;$R424))*$Q424*INDEX($J$13:$O$39,$N424-1999,Z$102-2020)</f>
        <v>0</v>
      </c>
      <c r="AA424" s="33" cm="1">
        <f t="array" ref="AA424">((AA$102=$R424)*((13-$S424)/12)+(AA$102&gt;$R424))*$Q424*INDEX($J$13:$O$39,$N424-1999,AA$102-2020)</f>
        <v>4366.3131047462375</v>
      </c>
      <c r="AB424" s="33" cm="1">
        <f t="array" ref="AB424">((AB$102=$R424)*((13-$S424)/12)+(AB$102&gt;$R424))*$Q424*INDEX($J$13:$O$39,$N424-1999,AB$102-2020)</f>
        <v>10856.400903641046</v>
      </c>
      <c r="AC424" s="33" cm="1">
        <f t="array" ref="AC424">((AC$102=$R424)*((13-$S424)/12)+(AC$102&gt;$R424))*$Q424*INDEX($J$13:$O$39,$N424-1999,AC$102-2020)</f>
        <v>11160.380128942996</v>
      </c>
    </row>
    <row r="425" spans="2:29" x14ac:dyDescent="0.2">
      <c r="B425" s="32">
        <f>'13. Input desinvesteringen'!B338</f>
        <v>322</v>
      </c>
      <c r="J425" s="32" t="str">
        <f>'13. Input desinvesteringen'!C338</f>
        <v>Transport</v>
      </c>
      <c r="K425" s="32" t="str">
        <f>'13. Input desinvesteringen'!D338</f>
        <v>HS</v>
      </c>
      <c r="L425" s="32" t="str">
        <f>'13. Input desinvesteringen'!E338</f>
        <v>Nee</v>
      </c>
      <c r="M425" s="32" t="str">
        <f>'13. Input desinvesteringen'!F338</f>
        <v>Hoogspanningsstations secundair</v>
      </c>
      <c r="N425" s="82">
        <f>'13. Input desinvesteringen'!G338</f>
        <v>2014</v>
      </c>
      <c r="O425" s="82"/>
      <c r="P425" s="82"/>
      <c r="Q425" s="32">
        <f>'13. Input desinvesteringen'!H338</f>
        <v>32535</v>
      </c>
      <c r="R425" s="82">
        <f>'13. Input desinvesteringen'!I338</f>
        <v>2024</v>
      </c>
      <c r="S425" s="32">
        <f>'13. Input desinvesteringen'!J338</f>
        <v>10</v>
      </c>
      <c r="U425" s="76">
        <f t="shared" si="17"/>
        <v>1</v>
      </c>
      <c r="V425" s="76">
        <f t="shared" si="18"/>
        <v>0</v>
      </c>
      <c r="X425" s="33" cm="1">
        <f t="array" ref="X425">((X$102=$R425)*((13-$S425)/12)+(X$102&gt;$R425))*$Q425*INDEX($J$13:$O$39,$N425-1999,X$102-2020)</f>
        <v>0</v>
      </c>
      <c r="Y425" s="33" cm="1">
        <f t="array" ref="Y425">((Y$102=$R425)*((13-$S425)/12)+(Y$102&gt;$R425))*$Q425*INDEX($J$13:$O$39,$N425-1999,Y$102-2020)</f>
        <v>0</v>
      </c>
      <c r="Z425" s="33" cm="1">
        <f t="array" ref="Z425">((Z$102=$R425)*((13-$S425)/12)+(Z$102&gt;$R425))*$Q425*INDEX($J$13:$O$39,$N425-1999,Z$102-2020)</f>
        <v>0</v>
      </c>
      <c r="AA425" s="33" cm="1">
        <f t="array" ref="AA425">((AA$102=$R425)*((13-$S425)/12)+(AA$102&gt;$R425))*$Q425*INDEX($J$13:$O$39,$N425-1999,AA$102-2020)</f>
        <v>10504.658382764519</v>
      </c>
      <c r="AB425" s="33" cm="1">
        <f t="array" ref="AB425">((AB$102=$R425)*((13-$S425)/12)+(AB$102&gt;$R425))*$Q425*INDEX($J$13:$O$39,$N425-1999,AB$102-2020)</f>
        <v>43531.304338176167</v>
      </c>
      <c r="AC425" s="33" cm="1">
        <f t="array" ref="AC425">((AC$102=$R425)*((13-$S425)/12)+(AC$102&gt;$R425))*$Q425*INDEX($J$13:$O$39,$N425-1999,AC$102-2020)</f>
        <v>44750.180859645101</v>
      </c>
    </row>
    <row r="426" spans="2:29" x14ac:dyDescent="0.2">
      <c r="B426" s="32">
        <f>'13. Input desinvesteringen'!B339</f>
        <v>323</v>
      </c>
      <c r="J426" s="32" t="str">
        <f>'13. Input desinvesteringen'!C339</f>
        <v>Transport</v>
      </c>
      <c r="K426" s="32" t="str">
        <f>'13. Input desinvesteringen'!D339</f>
        <v>HS</v>
      </c>
      <c r="L426" s="32" t="str">
        <f>'13. Input desinvesteringen'!E339</f>
        <v>Nee</v>
      </c>
      <c r="M426" s="32" t="str">
        <f>'13. Input desinvesteringen'!F339</f>
        <v>Hoogspanningsstations secundair</v>
      </c>
      <c r="N426" s="82">
        <f>'13. Input desinvesteringen'!G339</f>
        <v>2015</v>
      </c>
      <c r="O426" s="82"/>
      <c r="P426" s="82"/>
      <c r="Q426" s="32">
        <f>'13. Input desinvesteringen'!H339</f>
        <v>82016</v>
      </c>
      <c r="R426" s="82">
        <f>'13. Input desinvesteringen'!I339</f>
        <v>2024</v>
      </c>
      <c r="S426" s="32">
        <f>'13. Input desinvesteringen'!J339</f>
        <v>10</v>
      </c>
      <c r="U426" s="76">
        <f t="shared" si="17"/>
        <v>1</v>
      </c>
      <c r="V426" s="76">
        <f t="shared" si="18"/>
        <v>0</v>
      </c>
      <c r="X426" s="33" cm="1">
        <f t="array" ref="X426">((X$102=$R426)*((13-$S426)/12)+(X$102&gt;$R426))*$Q426*INDEX($J$13:$O$39,$N426-1999,X$102-2020)</f>
        <v>0</v>
      </c>
      <c r="Y426" s="33" cm="1">
        <f t="array" ref="Y426">((Y$102=$R426)*((13-$S426)/12)+(Y$102&gt;$R426))*$Q426*INDEX($J$13:$O$39,$N426-1999,Y$102-2020)</f>
        <v>0</v>
      </c>
      <c r="Z426" s="33" cm="1">
        <f t="array" ref="Z426">((Z$102=$R426)*((13-$S426)/12)+(Z$102&gt;$R426))*$Q426*INDEX($J$13:$O$39,$N426-1999,Z$102-2020)</f>
        <v>0</v>
      </c>
      <c r="AA426" s="33" cm="1">
        <f t="array" ref="AA426">((AA$102=$R426)*((13-$S426)/12)+(AA$102&gt;$R426))*$Q426*INDEX($J$13:$O$39,$N426-1999,AA$102-2020)</f>
        <v>26218.529684583842</v>
      </c>
      <c r="AB426" s="33" cm="1">
        <f t="array" ref="AB426">((AB$102=$R426)*((13-$S426)/12)+(AB$102&gt;$R426))*$Q426*INDEX($J$13:$O$39,$N426-1999,AB$102-2020)</f>
        <v>108649.58701291544</v>
      </c>
      <c r="AC426" s="33" cm="1">
        <f t="array" ref="AC426">((AC$102=$R426)*((13-$S426)/12)+(AC$102&gt;$R426))*$Q426*INDEX($J$13:$O$39,$N426-1999,AC$102-2020)</f>
        <v>111691.77544927708</v>
      </c>
    </row>
    <row r="427" spans="2:29" x14ac:dyDescent="0.2">
      <c r="B427" s="32">
        <f>'13. Input desinvesteringen'!B340</f>
        <v>324</v>
      </c>
      <c r="J427" s="32" t="str">
        <f>'13. Input desinvesteringen'!C340</f>
        <v>Transport</v>
      </c>
      <c r="K427" s="32" t="str">
        <f>'13. Input desinvesteringen'!D340</f>
        <v>HS</v>
      </c>
      <c r="L427" s="32" t="str">
        <f>'13. Input desinvesteringen'!E340</f>
        <v>Nee</v>
      </c>
      <c r="M427" s="32" t="str">
        <f>'13. Input desinvesteringen'!F340</f>
        <v>Hoogspanningsstations secundair</v>
      </c>
      <c r="N427" s="82">
        <f>'13. Input desinvesteringen'!G340</f>
        <v>2015</v>
      </c>
      <c r="O427" s="82"/>
      <c r="P427" s="82"/>
      <c r="Q427" s="32">
        <f>'13. Input desinvesteringen'!H340</f>
        <v>4815</v>
      </c>
      <c r="R427" s="82">
        <f>'13. Input desinvesteringen'!I340</f>
        <v>2024</v>
      </c>
      <c r="S427" s="32">
        <f>'13. Input desinvesteringen'!J340</f>
        <v>10</v>
      </c>
      <c r="U427" s="76">
        <f t="shared" si="17"/>
        <v>1</v>
      </c>
      <c r="V427" s="76">
        <f t="shared" si="18"/>
        <v>0</v>
      </c>
      <c r="X427" s="33" cm="1">
        <f t="array" ref="X427">((X$102=$R427)*((13-$S427)/12)+(X$102&gt;$R427))*$Q427*INDEX($J$13:$O$39,$N427-1999,X$102-2020)</f>
        <v>0</v>
      </c>
      <c r="Y427" s="33" cm="1">
        <f t="array" ref="Y427">((Y$102=$R427)*((13-$S427)/12)+(Y$102&gt;$R427))*$Q427*INDEX($J$13:$O$39,$N427-1999,Y$102-2020)</f>
        <v>0</v>
      </c>
      <c r="Z427" s="33" cm="1">
        <f t="array" ref="Z427">((Z$102=$R427)*((13-$S427)/12)+(Z$102&gt;$R427))*$Q427*INDEX($J$13:$O$39,$N427-1999,Z$102-2020)</f>
        <v>0</v>
      </c>
      <c r="AA427" s="33" cm="1">
        <f t="array" ref="AA427">((AA$102=$R427)*((13-$S427)/12)+(AA$102&gt;$R427))*$Q427*INDEX($J$13:$O$39,$N427-1999,AA$102-2020)</f>
        <v>1539.2389342478441</v>
      </c>
      <c r="AB427" s="33" cm="1">
        <f t="array" ref="AB427">((AB$102=$R427)*((13-$S427)/12)+(AB$102&gt;$R427))*$Q427*INDEX($J$13:$O$39,$N427-1999,AB$102-2020)</f>
        <v>6378.6061435230667</v>
      </c>
      <c r="AC427" s="33" cm="1">
        <f t="array" ref="AC427">((AC$102=$R427)*((13-$S427)/12)+(AC$102&gt;$R427))*$Q427*INDEX($J$13:$O$39,$N427-1999,AC$102-2020)</f>
        <v>6557.2071155417125</v>
      </c>
    </row>
    <row r="428" spans="2:29" x14ac:dyDescent="0.2">
      <c r="B428" s="32">
        <f>'13. Input desinvesteringen'!B341</f>
        <v>325</v>
      </c>
      <c r="J428" s="32" t="str">
        <f>'13. Input desinvesteringen'!C341</f>
        <v>Transport</v>
      </c>
      <c r="K428" s="32" t="str">
        <f>'13. Input desinvesteringen'!D341</f>
        <v>HS</v>
      </c>
      <c r="L428" s="32" t="str">
        <f>'13. Input desinvesteringen'!E341</f>
        <v>Nee</v>
      </c>
      <c r="M428" s="32" t="str">
        <f>'13. Input desinvesteringen'!F341</f>
        <v>Hoogspanningsstations secundair</v>
      </c>
      <c r="N428" s="82">
        <f>'13. Input desinvesteringen'!G341</f>
        <v>2015</v>
      </c>
      <c r="O428" s="82"/>
      <c r="P428" s="82"/>
      <c r="Q428" s="32">
        <f>'13. Input desinvesteringen'!H341</f>
        <v>152732</v>
      </c>
      <c r="R428" s="82">
        <f>'13. Input desinvesteringen'!I341</f>
        <v>2024</v>
      </c>
      <c r="S428" s="32">
        <f>'13. Input desinvesteringen'!J341</f>
        <v>4</v>
      </c>
      <c r="U428" s="76">
        <f t="shared" si="17"/>
        <v>1</v>
      </c>
      <c r="V428" s="76">
        <f t="shared" si="18"/>
        <v>0</v>
      </c>
      <c r="X428" s="33" cm="1">
        <f t="array" ref="X428">((X$102=$R428)*((13-$S428)/12)+(X$102&gt;$R428))*$Q428*INDEX($J$13:$O$39,$N428-1999,X$102-2020)</f>
        <v>0</v>
      </c>
      <c r="Y428" s="33" cm="1">
        <f t="array" ref="Y428">((Y$102=$R428)*((13-$S428)/12)+(Y$102&gt;$R428))*$Q428*INDEX($J$13:$O$39,$N428-1999,Y$102-2020)</f>
        <v>0</v>
      </c>
      <c r="Z428" s="33" cm="1">
        <f t="array" ref="Z428">((Z$102=$R428)*((13-$S428)/12)+(Z$102&gt;$R428))*$Q428*INDEX($J$13:$O$39,$N428-1999,Z$102-2020)</f>
        <v>0</v>
      </c>
      <c r="AA428" s="33" cm="1">
        <f t="array" ref="AA428">((AA$102=$R428)*((13-$S428)/12)+(AA$102&gt;$R428))*$Q428*INDEX($J$13:$O$39,$N428-1999,AA$102-2020)</f>
        <v>146474.16878849952</v>
      </c>
      <c r="AB428" s="33" cm="1">
        <f t="array" ref="AB428">((AB$102=$R428)*((13-$S428)/12)+(AB$102&gt;$R428))*$Q428*INDEX($J$13:$O$39,$N428-1999,AB$102-2020)</f>
        <v>202329.65181984735</v>
      </c>
      <c r="AC428" s="33" cm="1">
        <f t="array" ref="AC428">((AC$102=$R428)*((13-$S428)/12)+(AC$102&gt;$R428))*$Q428*INDEX($J$13:$O$39,$N428-1999,AC$102-2020)</f>
        <v>207994.88207080308</v>
      </c>
    </row>
    <row r="429" spans="2:29" x14ac:dyDescent="0.2">
      <c r="B429" s="32">
        <f>'13. Input desinvesteringen'!B342</f>
        <v>326</v>
      </c>
      <c r="J429" s="32" t="str">
        <f>'13. Input desinvesteringen'!C342</f>
        <v>Transport</v>
      </c>
      <c r="K429" s="32" t="str">
        <f>'13. Input desinvesteringen'!D342</f>
        <v>HS</v>
      </c>
      <c r="L429" s="32" t="str">
        <f>'13. Input desinvesteringen'!E342</f>
        <v>Nee</v>
      </c>
      <c r="M429" s="32" t="str">
        <f>'13. Input desinvesteringen'!F342</f>
        <v>Hoogspanningsstations secundair</v>
      </c>
      <c r="N429" s="82">
        <f>'13. Input desinvesteringen'!G342</f>
        <v>2015</v>
      </c>
      <c r="O429" s="82"/>
      <c r="P429" s="82"/>
      <c r="Q429" s="32">
        <f>'13. Input desinvesteringen'!H342</f>
        <v>24035</v>
      </c>
      <c r="R429" s="82">
        <f>'13. Input desinvesteringen'!I342</f>
        <v>2024</v>
      </c>
      <c r="S429" s="32">
        <f>'13. Input desinvesteringen'!J342</f>
        <v>4</v>
      </c>
      <c r="U429" s="76">
        <f t="shared" si="17"/>
        <v>1</v>
      </c>
      <c r="V429" s="76">
        <f t="shared" si="18"/>
        <v>0</v>
      </c>
      <c r="X429" s="33" cm="1">
        <f t="array" ref="X429">((X$102=$R429)*((13-$S429)/12)+(X$102&gt;$R429))*$Q429*INDEX($J$13:$O$39,$N429-1999,X$102-2020)</f>
        <v>0</v>
      </c>
      <c r="Y429" s="33" cm="1">
        <f t="array" ref="Y429">((Y$102=$R429)*((13-$S429)/12)+(Y$102&gt;$R429))*$Q429*INDEX($J$13:$O$39,$N429-1999,Y$102-2020)</f>
        <v>0</v>
      </c>
      <c r="Z429" s="33" cm="1">
        <f t="array" ref="Z429">((Z$102=$R429)*((13-$S429)/12)+(Z$102&gt;$R429))*$Q429*INDEX($J$13:$O$39,$N429-1999,Z$102-2020)</f>
        <v>0</v>
      </c>
      <c r="AA429" s="33" cm="1">
        <f t="array" ref="AA429">((AA$102=$R429)*((13-$S429)/12)+(AA$102&gt;$R429))*$Q429*INDEX($J$13:$O$39,$N429-1999,AA$102-2020)</f>
        <v>23050.222918783136</v>
      </c>
      <c r="AB429" s="33" cm="1">
        <f t="array" ref="AB429">((AB$102=$R429)*((13-$S429)/12)+(AB$102&gt;$R429))*$Q429*INDEX($J$13:$O$39,$N429-1999,AB$102-2020)</f>
        <v>31840.041258479108</v>
      </c>
      <c r="AC429" s="33" cm="1">
        <f t="array" ref="AC429">((AC$102=$R429)*((13-$S429)/12)+(AC$102&gt;$R429))*$Q429*INDEX($J$13:$O$39,$N429-1999,AC$102-2020)</f>
        <v>32731.562413716525</v>
      </c>
    </row>
    <row r="430" spans="2:29" x14ac:dyDescent="0.2">
      <c r="B430" s="32">
        <f>'13. Input desinvesteringen'!B343</f>
        <v>327</v>
      </c>
      <c r="J430" s="32" t="str">
        <f>'13. Input desinvesteringen'!C343</f>
        <v>Transport</v>
      </c>
      <c r="K430" s="32" t="str">
        <f>'13. Input desinvesteringen'!D343</f>
        <v>HS</v>
      </c>
      <c r="L430" s="32" t="str">
        <f>'13. Input desinvesteringen'!E343</f>
        <v>Nee</v>
      </c>
      <c r="M430" s="32" t="str">
        <f>'13. Input desinvesteringen'!F343</f>
        <v>Hoogspanningsstations secundair</v>
      </c>
      <c r="N430" s="82">
        <f>'13. Input desinvesteringen'!G343</f>
        <v>2016</v>
      </c>
      <c r="O430" s="82"/>
      <c r="P430" s="82"/>
      <c r="Q430" s="32">
        <f>'13. Input desinvesteringen'!H343</f>
        <v>110569</v>
      </c>
      <c r="R430" s="82">
        <f>'13. Input desinvesteringen'!I343</f>
        <v>2024</v>
      </c>
      <c r="S430" s="32">
        <f>'13. Input desinvesteringen'!J343</f>
        <v>5</v>
      </c>
      <c r="U430" s="76">
        <f t="shared" si="17"/>
        <v>1</v>
      </c>
      <c r="V430" s="76">
        <f t="shared" si="18"/>
        <v>0</v>
      </c>
      <c r="X430" s="33" cm="1">
        <f t="array" ref="X430">((X$102=$R430)*((13-$S430)/12)+(X$102&gt;$R430))*$Q430*INDEX($J$13:$O$39,$N430-1999,X$102-2020)</f>
        <v>0</v>
      </c>
      <c r="Y430" s="33" cm="1">
        <f t="array" ref="Y430">((Y$102=$R430)*((13-$S430)/12)+(Y$102&gt;$R430))*$Q430*INDEX($J$13:$O$39,$N430-1999,Y$102-2020)</f>
        <v>0</v>
      </c>
      <c r="Z430" s="33" cm="1">
        <f t="array" ref="Z430">((Z$102=$R430)*((13-$S430)/12)+(Z$102&gt;$R430))*$Q430*INDEX($J$13:$O$39,$N430-1999,Z$102-2020)</f>
        <v>0</v>
      </c>
      <c r="AA430" s="33" cm="1">
        <f t="array" ref="AA430">((AA$102=$R430)*((13-$S430)/12)+(AA$102&gt;$R430))*$Q430*INDEX($J$13:$O$39,$N430-1999,AA$102-2020)</f>
        <v>93508.551715510839</v>
      </c>
      <c r="AB430" s="33" cm="1">
        <f t="array" ref="AB430">((AB$102=$R430)*((13-$S430)/12)+(AB$102&gt;$R430))*$Q430*INDEX($J$13:$O$39,$N430-1999,AB$102-2020)</f>
        <v>145312.28936590388</v>
      </c>
      <c r="AC430" s="33" cm="1">
        <f t="array" ref="AC430">((AC$102=$R430)*((13-$S430)/12)+(AC$102&gt;$R430))*$Q430*INDEX($J$13:$O$39,$N430-1999,AC$102-2020)</f>
        <v>149381.03346814917</v>
      </c>
    </row>
    <row r="431" spans="2:29" x14ac:dyDescent="0.2">
      <c r="B431" s="32">
        <f>'13. Input desinvesteringen'!B344</f>
        <v>328</v>
      </c>
      <c r="J431" s="32" t="str">
        <f>'13. Input desinvesteringen'!C344</f>
        <v>Transport</v>
      </c>
      <c r="K431" s="32" t="str">
        <f>'13. Input desinvesteringen'!D344</f>
        <v>HS</v>
      </c>
      <c r="L431" s="32" t="str">
        <f>'13. Input desinvesteringen'!E344</f>
        <v>Nee</v>
      </c>
      <c r="M431" s="32" t="str">
        <f>'13. Input desinvesteringen'!F344</f>
        <v>Hoogspanningsstations secundair</v>
      </c>
      <c r="N431" s="82">
        <f>'13. Input desinvesteringen'!G344</f>
        <v>2017</v>
      </c>
      <c r="O431" s="82"/>
      <c r="P431" s="82"/>
      <c r="Q431" s="32">
        <f>'13. Input desinvesteringen'!H344</f>
        <v>117370</v>
      </c>
      <c r="R431" s="82">
        <f>'13. Input desinvesteringen'!I344</f>
        <v>2024</v>
      </c>
      <c r="S431" s="32">
        <f>'13. Input desinvesteringen'!J344</f>
        <v>10</v>
      </c>
      <c r="U431" s="76">
        <f t="shared" si="17"/>
        <v>1</v>
      </c>
      <c r="V431" s="76">
        <f t="shared" si="18"/>
        <v>0</v>
      </c>
      <c r="X431" s="33" cm="1">
        <f t="array" ref="X431">((X$102=$R431)*((13-$S431)/12)+(X$102&gt;$R431))*$Q431*INDEX($J$13:$O$39,$N431-1999,X$102-2020)</f>
        <v>0</v>
      </c>
      <c r="Y431" s="33" cm="1">
        <f t="array" ref="Y431">((Y$102=$R431)*((13-$S431)/12)+(Y$102&gt;$R431))*$Q431*INDEX($J$13:$O$39,$N431-1999,Y$102-2020)</f>
        <v>0</v>
      </c>
      <c r="Z431" s="33" cm="1">
        <f t="array" ref="Z431">((Z$102=$R431)*((13-$S431)/12)+(Z$102&gt;$R431))*$Q431*INDEX($J$13:$O$39,$N431-1999,Z$102-2020)</f>
        <v>0</v>
      </c>
      <c r="AA431" s="33" cm="1">
        <f t="array" ref="AA431">((AA$102=$R431)*((13-$S431)/12)+(AA$102&gt;$R431))*$Q431*INDEX($J$13:$O$39,$N431-1999,AA$102-2020)</f>
        <v>37148.270526286084</v>
      </c>
      <c r="AB431" s="33" cm="1">
        <f t="array" ref="AB431">((AB$102=$R431)*((13-$S431)/12)+(AB$102&gt;$R431))*$Q431*INDEX($J$13:$O$39,$N431-1999,AB$102-2020)</f>
        <v>153942.43306092953</v>
      </c>
      <c r="AC431" s="33" cm="1">
        <f t="array" ref="AC431">((AC$102=$R431)*((13-$S431)/12)+(AC$102&gt;$R431))*$Q431*INDEX($J$13:$O$39,$N431-1999,AC$102-2020)</f>
        <v>158252.82118663556</v>
      </c>
    </row>
    <row r="432" spans="2:29" x14ac:dyDescent="0.2">
      <c r="B432" s="32">
        <f>'13. Input desinvesteringen'!B345</f>
        <v>329</v>
      </c>
      <c r="J432" s="32" t="str">
        <f>'13. Input desinvesteringen'!C345</f>
        <v>Transport</v>
      </c>
      <c r="K432" s="32" t="str">
        <f>'13. Input desinvesteringen'!D345</f>
        <v>HS</v>
      </c>
      <c r="L432" s="32" t="str">
        <f>'13. Input desinvesteringen'!E345</f>
        <v>Nee</v>
      </c>
      <c r="M432" s="32" t="str">
        <f>'13. Input desinvesteringen'!F345</f>
        <v>Mast en fundatie</v>
      </c>
      <c r="N432" s="82">
        <f>'13. Input desinvesteringen'!G345</f>
        <v>2012</v>
      </c>
      <c r="O432" s="82"/>
      <c r="P432" s="82"/>
      <c r="Q432" s="32">
        <f>'13. Input desinvesteringen'!H345</f>
        <v>3732</v>
      </c>
      <c r="R432" s="82">
        <f>'13. Input desinvesteringen'!I345</f>
        <v>2024</v>
      </c>
      <c r="S432" s="32">
        <f>'13. Input desinvesteringen'!J345</f>
        <v>11</v>
      </c>
      <c r="U432" s="76">
        <f t="shared" ref="U432:U435" si="19">(J432="Transport")*(L432="Nee")*(VLOOKUP($M432,$B$64:$H$97,7,FALSE))</f>
        <v>1</v>
      </c>
      <c r="V432" s="76">
        <f t="shared" ref="V432:V435" si="20">1-U432</f>
        <v>0</v>
      </c>
      <c r="X432" s="33" cm="1">
        <f t="array" ref="X432">((X$102=$R432)*((13-$S432)/12)+(X$102&gt;$R432))*$Q432*INDEX($J$13:$O$39,$N432-1999,X$102-2020)</f>
        <v>0</v>
      </c>
      <c r="Y432" s="33" cm="1">
        <f t="array" ref="Y432">((Y$102=$R432)*((13-$S432)/12)+(Y$102&gt;$R432))*$Q432*INDEX($J$13:$O$39,$N432-1999,Y$102-2020)</f>
        <v>0</v>
      </c>
      <c r="Z432" s="33" cm="1">
        <f t="array" ref="Z432">((Z$102=$R432)*((13-$S432)/12)+(Z$102&gt;$R432))*$Q432*INDEX($J$13:$O$39,$N432-1999,Z$102-2020)</f>
        <v>0</v>
      </c>
      <c r="AA432" s="33" cm="1">
        <f t="array" ref="AA432">((AA$102=$R432)*((13-$S432)/12)+(AA$102&gt;$R432))*$Q432*INDEX($J$13:$O$39,$N432-1999,AA$102-2020)</f>
        <v>844.79288363874593</v>
      </c>
      <c r="AB432" s="33" cm="1">
        <f t="array" ref="AB432">((AB$102=$R432)*((13-$S432)/12)+(AB$102&gt;$R432))*$Q432*INDEX($J$13:$O$39,$N432-1999,AB$102-2020)</f>
        <v>5251.2325646984445</v>
      </c>
      <c r="AC432" s="33" cm="1">
        <f t="array" ref="AC432">((AC$102=$R432)*((13-$S432)/12)+(AC$102&gt;$R432))*$Q432*INDEX($J$13:$O$39,$N432-1999,AC$102-2020)</f>
        <v>5398.267076510002</v>
      </c>
    </row>
    <row r="433" spans="2:29" x14ac:dyDescent="0.2">
      <c r="B433" s="32">
        <f>'13. Input desinvesteringen'!B346</f>
        <v>330</v>
      </c>
      <c r="J433" s="32" t="str">
        <f>'13. Input desinvesteringen'!C346</f>
        <v>Transport</v>
      </c>
      <c r="K433" s="32" t="str">
        <f>'13. Input desinvesteringen'!D346</f>
        <v>HS</v>
      </c>
      <c r="L433" s="32" t="str">
        <f>'13. Input desinvesteringen'!E346</f>
        <v>Nee</v>
      </c>
      <c r="M433" s="32" t="str">
        <f>'13. Input desinvesteringen'!F346</f>
        <v>Mast en fundatie</v>
      </c>
      <c r="N433" s="82">
        <f>'13. Input desinvesteringen'!G346</f>
        <v>2016</v>
      </c>
      <c r="O433" s="82"/>
      <c r="P433" s="82"/>
      <c r="Q433" s="32">
        <f>'13. Input desinvesteringen'!H346</f>
        <v>10000</v>
      </c>
      <c r="R433" s="82">
        <f>'13. Input desinvesteringen'!I346</f>
        <v>2024</v>
      </c>
      <c r="S433" s="32">
        <f>'13. Input desinvesteringen'!J346</f>
        <v>11</v>
      </c>
      <c r="U433" s="76">
        <f t="shared" si="19"/>
        <v>1</v>
      </c>
      <c r="V433" s="76">
        <f t="shared" si="20"/>
        <v>0</v>
      </c>
      <c r="X433" s="33" cm="1">
        <f t="array" ref="X433">((X$102=$R433)*((13-$S433)/12)+(X$102&gt;$R433))*$Q433*INDEX($J$13:$O$39,$N433-1999,X$102-2020)</f>
        <v>0</v>
      </c>
      <c r="Y433" s="33" cm="1">
        <f t="array" ref="Y433">((Y$102=$R433)*((13-$S433)/12)+(Y$102&gt;$R433))*$Q433*INDEX($J$13:$O$39,$N433-1999,Y$102-2020)</f>
        <v>0</v>
      </c>
      <c r="Z433" s="33" cm="1">
        <f t="array" ref="Z433">((Z$102=$R433)*((13-$S433)/12)+(Z$102&gt;$R433))*$Q433*INDEX($J$13:$O$39,$N433-1999,Z$102-2020)</f>
        <v>0</v>
      </c>
      <c r="AA433" s="33" cm="1">
        <f t="array" ref="AA433">((AA$102=$R433)*((13-$S433)/12)+(AA$102&gt;$R433))*$Q433*INDEX($J$13:$O$39,$N433-1999,AA$102-2020)</f>
        <v>2114.2578777847057</v>
      </c>
      <c r="AB433" s="33" cm="1">
        <f t="array" ref="AB433">((AB$102=$R433)*((13-$S433)/12)+(AB$102&gt;$R433))*$Q433*INDEX($J$13:$O$39,$N433-1999,AB$102-2020)</f>
        <v>13142.226968309731</v>
      </c>
      <c r="AC433" s="33" cm="1">
        <f t="array" ref="AC433">((AC$102=$R433)*((13-$S433)/12)+(AC$102&gt;$R433))*$Q433*INDEX($J$13:$O$39,$N433-1999,AC$102-2020)</f>
        <v>13510.209323422405</v>
      </c>
    </row>
    <row r="434" spans="2:29" x14ac:dyDescent="0.2">
      <c r="B434" s="32">
        <f>'13. Input desinvesteringen'!B347</f>
        <v>331</v>
      </c>
      <c r="J434" s="32" t="str">
        <f>'13. Input desinvesteringen'!C347</f>
        <v>Transport</v>
      </c>
      <c r="K434" s="32" t="str">
        <f>'13. Input desinvesteringen'!D347</f>
        <v>HS</v>
      </c>
      <c r="L434" s="32" t="str">
        <f>'13. Input desinvesteringen'!E347</f>
        <v>Nee</v>
      </c>
      <c r="M434" s="32" t="str">
        <f>'13. Input desinvesteringen'!F347</f>
        <v>Mast en fundatie</v>
      </c>
      <c r="N434" s="82">
        <f>'13. Input desinvesteringen'!G347</f>
        <v>2019</v>
      </c>
      <c r="O434" s="82"/>
      <c r="P434" s="82"/>
      <c r="Q434" s="32">
        <f>'13. Input desinvesteringen'!H347</f>
        <v>78114</v>
      </c>
      <c r="R434" s="82">
        <f>'13. Input desinvesteringen'!I347</f>
        <v>2024</v>
      </c>
      <c r="S434" s="32">
        <f>'13. Input desinvesteringen'!J347</f>
        <v>6</v>
      </c>
      <c r="U434" s="76">
        <f t="shared" si="19"/>
        <v>1</v>
      </c>
      <c r="V434" s="76">
        <f t="shared" si="20"/>
        <v>0</v>
      </c>
      <c r="X434" s="33" cm="1">
        <f t="array" ref="X434">((X$102=$R434)*((13-$S434)/12)+(X$102&gt;$R434))*$Q434*INDEX($J$13:$O$39,$N434-1999,X$102-2020)</f>
        <v>0</v>
      </c>
      <c r="Y434" s="33" cm="1">
        <f t="array" ref="Y434">((Y$102=$R434)*((13-$S434)/12)+(Y$102&gt;$R434))*$Q434*INDEX($J$13:$O$39,$N434-1999,Y$102-2020)</f>
        <v>0</v>
      </c>
      <c r="Z434" s="33" cm="1">
        <f t="array" ref="Z434">((Z$102=$R434)*((13-$S434)/12)+(Z$102&gt;$R434))*$Q434*INDEX($J$13:$O$39,$N434-1999,Z$102-2020)</f>
        <v>0</v>
      </c>
      <c r="AA434" s="33" cm="1">
        <f t="array" ref="AA434">((AA$102=$R434)*((13-$S434)/12)+(AA$102&gt;$R434))*$Q434*INDEX($J$13:$O$39,$N434-1999,AA$102-2020)</f>
        <v>55721.584890698134</v>
      </c>
      <c r="AB434" s="33" cm="1">
        <f t="array" ref="AB434">((AB$102=$R434)*((13-$S434)/12)+(AB$102&gt;$R434))*$Q434*INDEX($J$13:$O$39,$N434-1999,AB$102-2020)</f>
        <v>98961.5347658799</v>
      </c>
      <c r="AC434" s="33" cm="1">
        <f t="array" ref="AC434">((AC$102=$R434)*((13-$S434)/12)+(AC$102&gt;$R434))*$Q434*INDEX($J$13:$O$39,$N434-1999,AC$102-2020)</f>
        <v>101732.45773932454</v>
      </c>
    </row>
    <row r="435" spans="2:29" x14ac:dyDescent="0.2">
      <c r="B435" s="32">
        <f>'13. Input desinvesteringen'!B348</f>
        <v>332</v>
      </c>
      <c r="J435" s="32" t="str">
        <f>'13. Input desinvesteringen'!C348</f>
        <v>Transport</v>
      </c>
      <c r="K435" s="32" t="str">
        <f>'13. Input desinvesteringen'!D348</f>
        <v>HS</v>
      </c>
      <c r="L435" s="32" t="str">
        <f>'13. Input desinvesteringen'!E348</f>
        <v>Nee</v>
      </c>
      <c r="M435" s="32" t="str">
        <f>'13. Input desinvesteringen'!F348</f>
        <v>Telecommunicatienet</v>
      </c>
      <c r="N435" s="82">
        <f>'13. Input desinvesteringen'!G348</f>
        <v>2016</v>
      </c>
      <c r="O435" s="82"/>
      <c r="P435" s="82"/>
      <c r="Q435" s="32">
        <f>'13. Input desinvesteringen'!H348</f>
        <v>5074</v>
      </c>
      <c r="R435" s="82">
        <f>'13. Input desinvesteringen'!I348</f>
        <v>2024</v>
      </c>
      <c r="S435" s="32">
        <f>'13. Input desinvesteringen'!J348</f>
        <v>10</v>
      </c>
      <c r="U435" s="76">
        <f t="shared" si="19"/>
        <v>1</v>
      </c>
      <c r="V435" s="76">
        <f t="shared" si="20"/>
        <v>0</v>
      </c>
      <c r="X435" s="33" cm="1">
        <f t="array" ref="X435">((X$102=$R435)*((13-$S435)/12)+(X$102&gt;$R435))*$Q435*INDEX($J$13:$O$39,$N435-1999,X$102-2020)</f>
        <v>0</v>
      </c>
      <c r="Y435" s="33" cm="1">
        <f t="array" ref="Y435">((Y$102=$R435)*((13-$S435)/12)+(Y$102&gt;$R435))*$Q435*INDEX($J$13:$O$39,$N435-1999,Y$102-2020)</f>
        <v>0</v>
      </c>
      <c r="Z435" s="33" cm="1">
        <f t="array" ref="Z435">((Z$102=$R435)*((13-$S435)/12)+(Z$102&gt;$R435))*$Q435*INDEX($J$13:$O$39,$N435-1999,Z$102-2020)</f>
        <v>0</v>
      </c>
      <c r="AA435" s="33" cm="1">
        <f t="array" ref="AA435">((AA$102=$R435)*((13-$S435)/12)+(AA$102&gt;$R435))*$Q435*INDEX($J$13:$O$39,$N435-1999,AA$102-2020)</f>
        <v>1609.1616707819396</v>
      </c>
      <c r="AB435" s="33" cm="1">
        <f t="array" ref="AB435">((AB$102=$R435)*((13-$S435)/12)+(AB$102&gt;$R435))*$Q435*INDEX($J$13:$O$39,$N435-1999,AB$102-2020)</f>
        <v>6668.3659637203582</v>
      </c>
      <c r="AC435" s="33" cm="1">
        <f t="array" ref="AC435">((AC$102=$R435)*((13-$S435)/12)+(AC$102&gt;$R435))*$Q435*INDEX($J$13:$O$39,$N435-1999,AC$102-2020)</f>
        <v>6855.0802107045274</v>
      </c>
    </row>
    <row r="436" spans="2:29" x14ac:dyDescent="0.2">
      <c r="B436" s="32">
        <f>'13. Input desinvesteringen'!B349</f>
        <v>333</v>
      </c>
      <c r="J436" s="32" t="str">
        <f>'13. Input desinvesteringen'!C349</f>
        <v>Transport</v>
      </c>
      <c r="K436" s="32" t="str">
        <f>'13. Input desinvesteringen'!D349</f>
        <v>HS</v>
      </c>
      <c r="L436" s="32" t="str">
        <f>'13. Input desinvesteringen'!E349</f>
        <v>Nee</v>
      </c>
      <c r="M436" s="32" t="str">
        <f>'13. Input desinvesteringen'!F349</f>
        <v>Telecommunicatienet</v>
      </c>
      <c r="N436" s="82">
        <f>'13. Input desinvesteringen'!G349</f>
        <v>2016</v>
      </c>
      <c r="O436" s="82"/>
      <c r="P436" s="82"/>
      <c r="Q436" s="32">
        <f>'13. Input desinvesteringen'!H349</f>
        <v>5074</v>
      </c>
      <c r="R436" s="82">
        <f>'13. Input desinvesteringen'!I349</f>
        <v>2024</v>
      </c>
      <c r="S436" s="32">
        <f>'13. Input desinvesteringen'!J349</f>
        <v>7</v>
      </c>
      <c r="U436" s="76">
        <f t="shared" ref="U436:U499" si="21">(J436="Transport")*(L436="Nee")*(VLOOKUP($M436,$B$64:$H$97,7,FALSE))</f>
        <v>1</v>
      </c>
      <c r="V436" s="76">
        <f t="shared" ref="V436:V499" si="22">1-U436</f>
        <v>0</v>
      </c>
      <c r="X436" s="33" cm="1">
        <f t="array" ref="X436">((X$102=$R436)*((13-$S436)/12)+(X$102&gt;$R436))*$Q436*INDEX($J$13:$O$39,$N436-1999,X$102-2020)</f>
        <v>0</v>
      </c>
      <c r="Y436" s="33" cm="1">
        <f t="array" ref="Y436">((Y$102=$R436)*((13-$S436)/12)+(Y$102&gt;$R436))*$Q436*INDEX($J$13:$O$39,$N436-1999,Y$102-2020)</f>
        <v>0</v>
      </c>
      <c r="Z436" s="33" cm="1">
        <f t="array" ref="Z436">((Z$102=$R436)*((13-$S436)/12)+(Z$102&gt;$R436))*$Q436*INDEX($J$13:$O$39,$N436-1999,Z$102-2020)</f>
        <v>0</v>
      </c>
      <c r="AA436" s="33" cm="1">
        <f t="array" ref="AA436">((AA$102=$R436)*((13-$S436)/12)+(AA$102&gt;$R436))*$Q436*INDEX($J$13:$O$39,$N436-1999,AA$102-2020)</f>
        <v>3218.3233415638792</v>
      </c>
      <c r="AB436" s="33" cm="1">
        <f t="array" ref="AB436">((AB$102=$R436)*((13-$S436)/12)+(AB$102&gt;$R436))*$Q436*INDEX($J$13:$O$39,$N436-1999,AB$102-2020)</f>
        <v>6668.3659637203582</v>
      </c>
      <c r="AC436" s="33" cm="1">
        <f t="array" ref="AC436">((AC$102=$R436)*((13-$S436)/12)+(AC$102&gt;$R436))*$Q436*INDEX($J$13:$O$39,$N436-1999,AC$102-2020)</f>
        <v>6855.0802107045274</v>
      </c>
    </row>
    <row r="437" spans="2:29" x14ac:dyDescent="0.2">
      <c r="B437" s="32">
        <f>'13. Input desinvesteringen'!B350</f>
        <v>334</v>
      </c>
      <c r="J437" s="32" t="str">
        <f>'13. Input desinvesteringen'!C350</f>
        <v>Transport</v>
      </c>
      <c r="K437" s="32" t="str">
        <f>'13. Input desinvesteringen'!D350</f>
        <v>EHS</v>
      </c>
      <c r="L437" s="32" t="str">
        <f>'13. Input desinvesteringen'!E350</f>
        <v>Nee</v>
      </c>
      <c r="M437" s="32" t="str">
        <f>'13. Input desinvesteringen'!F350</f>
        <v>GAW ultimo 2000 EHS OUD</v>
      </c>
      <c r="N437" s="82">
        <f>'13. Input desinvesteringen'!G350</f>
        <v>2000</v>
      </c>
      <c r="O437" s="82"/>
      <c r="P437" s="82"/>
      <c r="Q437" s="32">
        <f>'13. Input desinvesteringen'!H350</f>
        <v>1849921</v>
      </c>
      <c r="R437" s="82">
        <f>'13. Input desinvesteringen'!I350</f>
        <v>2025</v>
      </c>
      <c r="S437" s="32">
        <f>'13. Input desinvesteringen'!J350</f>
        <v>1</v>
      </c>
      <c r="U437" s="76">
        <f t="shared" si="21"/>
        <v>0.97443793491415276</v>
      </c>
      <c r="V437" s="76">
        <f t="shared" si="22"/>
        <v>2.5562065085847241E-2</v>
      </c>
      <c r="X437" s="33" cm="1">
        <f t="array" ref="X437">((X$102=$R437)*((13-$S437)/12)+(X$102&gt;$R437))*$Q437*INDEX($J$13:$O$39,$N437-1999,X$102-2020)</f>
        <v>0</v>
      </c>
      <c r="Y437" s="33" cm="1">
        <f t="array" ref="Y437">((Y$102=$R437)*((13-$S437)/12)+(Y$102&gt;$R437))*$Q437*INDEX($J$13:$O$39,$N437-1999,Y$102-2020)</f>
        <v>0</v>
      </c>
      <c r="Z437" s="33" cm="1">
        <f t="array" ref="Z437">((Z$102=$R437)*((13-$S437)/12)+(Z$102&gt;$R437))*$Q437*INDEX($J$13:$O$39,$N437-1999,Z$102-2020)</f>
        <v>0</v>
      </c>
      <c r="AA437" s="33" cm="1">
        <f t="array" ref="AA437">((AA$102=$R437)*((13-$S437)/12)+(AA$102&gt;$R437))*$Q437*INDEX($J$13:$O$39,$N437-1999,AA$102-2020)</f>
        <v>0</v>
      </c>
      <c r="AB437" s="33" cm="1">
        <f t="array" ref="AB437">((AB$102=$R437)*((13-$S437)/12)+(AB$102&gt;$R437))*$Q437*INDEX($J$13:$O$39,$N437-1999,AB$102-2020)</f>
        <v>3350823.0030665332</v>
      </c>
      <c r="AC437" s="33" cm="1">
        <f t="array" ref="AC437">((AC$102=$R437)*((13-$S437)/12)+(AC$102&gt;$R437))*$Q437*INDEX($J$13:$O$39,$N437-1999,AC$102-2020)</f>
        <v>3444646.0471523963</v>
      </c>
    </row>
    <row r="438" spans="2:29" x14ac:dyDescent="0.2">
      <c r="B438" s="32">
        <f>'13. Input desinvesteringen'!B351</f>
        <v>335</v>
      </c>
      <c r="J438" s="32" t="str">
        <f>'13. Input desinvesteringen'!C351</f>
        <v>Transport</v>
      </c>
      <c r="K438" s="32" t="str">
        <f>'13. Input desinvesteringen'!D351</f>
        <v>EHS</v>
      </c>
      <c r="L438" s="32" t="str">
        <f>'13. Input desinvesteringen'!E351</f>
        <v>Nee</v>
      </c>
      <c r="M438" s="32" t="str">
        <f>'13. Input desinvesteringen'!F351</f>
        <v>GAW ultimo 2000 EHS OUD</v>
      </c>
      <c r="N438" s="82">
        <f>'13. Input desinvesteringen'!G351</f>
        <v>2000</v>
      </c>
      <c r="O438" s="82"/>
      <c r="P438" s="82"/>
      <c r="Q438" s="32">
        <f>'13. Input desinvesteringen'!H351</f>
        <v>187450</v>
      </c>
      <c r="R438" s="82">
        <f>'13. Input desinvesteringen'!I351</f>
        <v>2025</v>
      </c>
      <c r="S438" s="32">
        <f>'13. Input desinvesteringen'!J351</f>
        <v>3</v>
      </c>
      <c r="U438" s="76">
        <f t="shared" si="21"/>
        <v>0.97443793491415276</v>
      </c>
      <c r="V438" s="76">
        <f t="shared" si="22"/>
        <v>2.5562065085847241E-2</v>
      </c>
      <c r="X438" s="33" cm="1">
        <f t="array" ref="X438">((X$102=$R438)*((13-$S438)/12)+(X$102&gt;$R438))*$Q438*INDEX($J$13:$O$39,$N438-1999,X$102-2020)</f>
        <v>0</v>
      </c>
      <c r="Y438" s="33" cm="1">
        <f t="array" ref="Y438">((Y$102=$R438)*((13-$S438)/12)+(Y$102&gt;$R438))*$Q438*INDEX($J$13:$O$39,$N438-1999,Y$102-2020)</f>
        <v>0</v>
      </c>
      <c r="Z438" s="33" cm="1">
        <f t="array" ref="Z438">((Z$102=$R438)*((13-$S438)/12)+(Z$102&gt;$R438))*$Q438*INDEX($J$13:$O$39,$N438-1999,Z$102-2020)</f>
        <v>0</v>
      </c>
      <c r="AA438" s="33" cm="1">
        <f t="array" ref="AA438">((AA$102=$R438)*((13-$S438)/12)+(AA$102&gt;$R438))*$Q438*INDEX($J$13:$O$39,$N438-1999,AA$102-2020)</f>
        <v>0</v>
      </c>
      <c r="AB438" s="33" cm="1">
        <f t="array" ref="AB438">((AB$102=$R438)*((13-$S438)/12)+(AB$102&gt;$R438))*$Q438*INDEX($J$13:$O$39,$N438-1999,AB$102-2020)</f>
        <v>282945.31312635407</v>
      </c>
      <c r="AC438" s="33" cm="1">
        <f t="array" ref="AC438">((AC$102=$R438)*((13-$S438)/12)+(AC$102&gt;$R438))*$Q438*INDEX($J$13:$O$39,$N438-1999,AC$102-2020)</f>
        <v>349041.3382726704</v>
      </c>
    </row>
    <row r="439" spans="2:29" x14ac:dyDescent="0.2">
      <c r="B439" s="32">
        <f>'13. Input desinvesteringen'!B352</f>
        <v>336</v>
      </c>
      <c r="J439" s="32" t="str">
        <f>'13. Input desinvesteringen'!C352</f>
        <v>Transport</v>
      </c>
      <c r="K439" s="32" t="str">
        <f>'13. Input desinvesteringen'!D352</f>
        <v>EHS</v>
      </c>
      <c r="L439" s="32" t="str">
        <f>'13. Input desinvesteringen'!E352</f>
        <v>Nee</v>
      </c>
      <c r="M439" s="32" t="str">
        <f>'13. Input desinvesteringen'!F352</f>
        <v>GAW ultimo 2000 EHS OUD</v>
      </c>
      <c r="N439" s="82">
        <f>'13. Input desinvesteringen'!G352</f>
        <v>2000</v>
      </c>
      <c r="O439" s="82"/>
      <c r="P439" s="82"/>
      <c r="Q439" s="32">
        <f>'13. Input desinvesteringen'!H352</f>
        <v>243650</v>
      </c>
      <c r="R439" s="82">
        <f>'13. Input desinvesteringen'!I352</f>
        <v>2025</v>
      </c>
      <c r="S439" s="32">
        <f>'13. Input desinvesteringen'!J352</f>
        <v>2</v>
      </c>
      <c r="U439" s="76">
        <f t="shared" si="21"/>
        <v>0.97443793491415276</v>
      </c>
      <c r="V439" s="76">
        <f t="shared" si="22"/>
        <v>2.5562065085847241E-2</v>
      </c>
      <c r="X439" s="33" cm="1">
        <f t="array" ref="X439">((X$102=$R439)*((13-$S439)/12)+(X$102&gt;$R439))*$Q439*INDEX($J$13:$O$39,$N439-1999,X$102-2020)</f>
        <v>0</v>
      </c>
      <c r="Y439" s="33" cm="1">
        <f t="array" ref="Y439">((Y$102=$R439)*((13-$S439)/12)+(Y$102&gt;$R439))*$Q439*INDEX($J$13:$O$39,$N439-1999,Y$102-2020)</f>
        <v>0</v>
      </c>
      <c r="Z439" s="33" cm="1">
        <f t="array" ref="Z439">((Z$102=$R439)*((13-$S439)/12)+(Z$102&gt;$R439))*$Q439*INDEX($J$13:$O$39,$N439-1999,Z$102-2020)</f>
        <v>0</v>
      </c>
      <c r="AA439" s="33" cm="1">
        <f t="array" ref="AA439">((AA$102=$R439)*((13-$S439)/12)+(AA$102&gt;$R439))*$Q439*INDEX($J$13:$O$39,$N439-1999,AA$102-2020)</f>
        <v>0</v>
      </c>
      <c r="AB439" s="33" cm="1">
        <f t="array" ref="AB439">((AB$102=$R439)*((13-$S439)/12)+(AB$102&gt;$R439))*$Q439*INDEX($J$13:$O$39,$N439-1999,AB$102-2020)</f>
        <v>404553.68416943063</v>
      </c>
      <c r="AC439" s="33" cm="1">
        <f t="array" ref="AC439">((AC$102=$R439)*((13-$S439)/12)+(AC$102&gt;$R439))*$Q439*INDEX($J$13:$O$39,$N439-1999,AC$102-2020)</f>
        <v>453688.56799219066</v>
      </c>
    </row>
    <row r="440" spans="2:29" x14ac:dyDescent="0.2">
      <c r="B440" s="32">
        <f>'13. Input desinvesteringen'!B353</f>
        <v>337</v>
      </c>
      <c r="J440" s="32" t="str">
        <f>'13. Input desinvesteringen'!C353</f>
        <v>Transport</v>
      </c>
      <c r="K440" s="32" t="str">
        <f>'13. Input desinvesteringen'!D353</f>
        <v>EHS</v>
      </c>
      <c r="L440" s="32" t="str">
        <f>'13. Input desinvesteringen'!E353</f>
        <v>Nee</v>
      </c>
      <c r="M440" s="32" t="str">
        <f>'13. Input desinvesteringen'!F353</f>
        <v>GAW ultimo 2000 EHS OUD</v>
      </c>
      <c r="N440" s="82">
        <f>'13. Input desinvesteringen'!G353</f>
        <v>2000</v>
      </c>
      <c r="O440" s="82"/>
      <c r="P440" s="82"/>
      <c r="Q440" s="32">
        <f>'13. Input desinvesteringen'!H353</f>
        <v>281108</v>
      </c>
      <c r="R440" s="82">
        <f>'13. Input desinvesteringen'!I353</f>
        <v>2025</v>
      </c>
      <c r="S440" s="32">
        <f>'13. Input desinvesteringen'!J353</f>
        <v>4</v>
      </c>
      <c r="U440" s="76">
        <f t="shared" si="21"/>
        <v>0.97443793491415276</v>
      </c>
      <c r="V440" s="76">
        <f t="shared" si="22"/>
        <v>2.5562065085847241E-2</v>
      </c>
      <c r="X440" s="33" cm="1">
        <f t="array" ref="X440">((X$102=$R440)*((13-$S440)/12)+(X$102&gt;$R440))*$Q440*INDEX($J$13:$O$39,$N440-1999,X$102-2020)</f>
        <v>0</v>
      </c>
      <c r="Y440" s="33" cm="1">
        <f t="array" ref="Y440">((Y$102=$R440)*((13-$S440)/12)+(Y$102&gt;$R440))*$Q440*INDEX($J$13:$O$39,$N440-1999,Y$102-2020)</f>
        <v>0</v>
      </c>
      <c r="Z440" s="33" cm="1">
        <f t="array" ref="Z440">((Z$102=$R440)*((13-$S440)/12)+(Z$102&gt;$R440))*$Q440*INDEX($J$13:$O$39,$N440-1999,Z$102-2020)</f>
        <v>0</v>
      </c>
      <c r="AA440" s="33" cm="1">
        <f t="array" ref="AA440">((AA$102=$R440)*((13-$S440)/12)+(AA$102&gt;$R440))*$Q440*INDEX($J$13:$O$39,$N440-1999,AA$102-2020)</f>
        <v>0</v>
      </c>
      <c r="AB440" s="33" cm="1">
        <f t="array" ref="AB440">((AB$102=$R440)*((13-$S440)/12)+(AB$102&gt;$R440))*$Q440*INDEX($J$13:$O$39,$N440-1999,AB$102-2020)</f>
        <v>381885.15323601401</v>
      </c>
      <c r="AC440" s="33" cm="1">
        <f t="array" ref="AC440">((AC$102=$R440)*((13-$S440)/12)+(AC$102&gt;$R440))*$Q440*INDEX($J$13:$O$39,$N440-1999,AC$102-2020)</f>
        <v>523437.25003549655</v>
      </c>
    </row>
    <row r="441" spans="2:29" x14ac:dyDescent="0.2">
      <c r="B441" s="32">
        <f>'13. Input desinvesteringen'!B354</f>
        <v>338</v>
      </c>
      <c r="J441" s="32" t="str">
        <f>'13. Input desinvesteringen'!C354</f>
        <v>Transport</v>
      </c>
      <c r="K441" s="32" t="str">
        <f>'13. Input desinvesteringen'!D354</f>
        <v>EHS</v>
      </c>
      <c r="L441" s="32" t="str">
        <f>'13. Input desinvesteringen'!E354</f>
        <v>Nee</v>
      </c>
      <c r="M441" s="32" t="str">
        <f>'13. Input desinvesteringen'!F354</f>
        <v>GAW ultimo 2000 EHS OUD</v>
      </c>
      <c r="N441" s="82">
        <f>'13. Input desinvesteringen'!G354</f>
        <v>2000</v>
      </c>
      <c r="O441" s="82"/>
      <c r="P441" s="82"/>
      <c r="Q441" s="32">
        <f>'13. Input desinvesteringen'!H354</f>
        <v>1352135</v>
      </c>
      <c r="R441" s="82">
        <f>'13. Input desinvesteringen'!I354</f>
        <v>2025</v>
      </c>
      <c r="S441" s="32">
        <f>'13. Input desinvesteringen'!J354</f>
        <v>6</v>
      </c>
      <c r="U441" s="76">
        <f t="shared" si="21"/>
        <v>0.97443793491415276</v>
      </c>
      <c r="V441" s="76">
        <f t="shared" si="22"/>
        <v>2.5562065085847241E-2</v>
      </c>
      <c r="X441" s="33" cm="1">
        <f t="array" ref="X441">((X$102=$R441)*((13-$S441)/12)+(X$102&gt;$R441))*$Q441*INDEX($J$13:$O$39,$N441-1999,X$102-2020)</f>
        <v>0</v>
      </c>
      <c r="Y441" s="33" cm="1">
        <f t="array" ref="Y441">((Y$102=$R441)*((13-$S441)/12)+(Y$102&gt;$R441))*$Q441*INDEX($J$13:$O$39,$N441-1999,Y$102-2020)</f>
        <v>0</v>
      </c>
      <c r="Z441" s="33" cm="1">
        <f t="array" ref="Z441">((Z$102=$R441)*((13-$S441)/12)+(Z$102&gt;$R441))*$Q441*INDEX($J$13:$O$39,$N441-1999,Z$102-2020)</f>
        <v>0</v>
      </c>
      <c r="AA441" s="33" cm="1">
        <f t="array" ref="AA441">((AA$102=$R441)*((13-$S441)/12)+(AA$102&gt;$R441))*$Q441*INDEX($J$13:$O$39,$N441-1999,AA$102-2020)</f>
        <v>0</v>
      </c>
      <c r="AB441" s="33" cm="1">
        <f t="array" ref="AB441">((AB$102=$R441)*((13-$S441)/12)+(AB$102&gt;$R441))*$Q441*INDEX($J$13:$O$39,$N441-1999,AB$102-2020)</f>
        <v>1428680.6224319655</v>
      </c>
      <c r="AC441" s="33" cm="1">
        <f t="array" ref="AC441">((AC$102=$R441)*((13-$S441)/12)+(AC$102&gt;$R441))*$Q441*INDEX($J$13:$O$39,$N441-1999,AC$102-2020)</f>
        <v>2517743.4511886751</v>
      </c>
    </row>
    <row r="442" spans="2:29" x14ac:dyDescent="0.2">
      <c r="B442" s="32">
        <f>'13. Input desinvesteringen'!B355</f>
        <v>339</v>
      </c>
      <c r="J442" s="32" t="str">
        <f>'13. Input desinvesteringen'!C355</f>
        <v>Transport</v>
      </c>
      <c r="K442" s="32" t="str">
        <f>'13. Input desinvesteringen'!D355</f>
        <v>EHS</v>
      </c>
      <c r="L442" s="32" t="str">
        <f>'13. Input desinvesteringen'!E355</f>
        <v>Nee</v>
      </c>
      <c r="M442" s="32" t="str">
        <f>'13. Input desinvesteringen'!F355</f>
        <v>GAW ultimo 2000 EHS OUD</v>
      </c>
      <c r="N442" s="82">
        <f>'13. Input desinvesteringen'!G355</f>
        <v>2000</v>
      </c>
      <c r="O442" s="82"/>
      <c r="P442" s="82"/>
      <c r="Q442" s="32">
        <f>'13. Input desinvesteringen'!H355</f>
        <v>2343700</v>
      </c>
      <c r="R442" s="82">
        <f>'13. Input desinvesteringen'!I355</f>
        <v>2025</v>
      </c>
      <c r="S442" s="32">
        <f>'13. Input desinvesteringen'!J355</f>
        <v>5</v>
      </c>
      <c r="U442" s="76">
        <f t="shared" si="21"/>
        <v>0.97443793491415276</v>
      </c>
      <c r="V442" s="76">
        <f t="shared" si="22"/>
        <v>2.5562065085847241E-2</v>
      </c>
      <c r="X442" s="33" cm="1">
        <f t="array" ref="X442">((X$102=$R442)*((13-$S442)/12)+(X$102&gt;$R442))*$Q442*INDEX($J$13:$O$39,$N442-1999,X$102-2020)</f>
        <v>0</v>
      </c>
      <c r="Y442" s="33" cm="1">
        <f t="array" ref="Y442">((Y$102=$R442)*((13-$S442)/12)+(Y$102&gt;$R442))*$Q442*INDEX($J$13:$O$39,$N442-1999,Y$102-2020)</f>
        <v>0</v>
      </c>
      <c r="Z442" s="33" cm="1">
        <f t="array" ref="Z442">((Z$102=$R442)*((13-$S442)/12)+(Z$102&gt;$R442))*$Q442*INDEX($J$13:$O$39,$N442-1999,Z$102-2020)</f>
        <v>0</v>
      </c>
      <c r="AA442" s="33" cm="1">
        <f t="array" ref="AA442">((AA$102=$R442)*((13-$S442)/12)+(AA$102&gt;$R442))*$Q442*INDEX($J$13:$O$39,$N442-1999,AA$102-2020)</f>
        <v>0</v>
      </c>
      <c r="AB442" s="33" cm="1">
        <f t="array" ref="AB442">((AB$102=$R442)*((13-$S442)/12)+(AB$102&gt;$R442))*$Q442*INDEX($J$13:$O$39,$N442-1999,AB$102-2020)</f>
        <v>2830147.4755902309</v>
      </c>
      <c r="AC442" s="33" cm="1">
        <f t="array" ref="AC442">((AC$102=$R442)*((13-$S442)/12)+(AC$102&gt;$R442))*$Q442*INDEX($J$13:$O$39,$N442-1999,AC$102-2020)</f>
        <v>4364087.4073601365</v>
      </c>
    </row>
    <row r="443" spans="2:29" x14ac:dyDescent="0.2">
      <c r="B443" s="32">
        <f>'13. Input desinvesteringen'!B356</f>
        <v>340</v>
      </c>
      <c r="J443" s="32" t="str">
        <f>'13. Input desinvesteringen'!C356</f>
        <v>Transport</v>
      </c>
      <c r="K443" s="32" t="str">
        <f>'13. Input desinvesteringen'!D356</f>
        <v>EHS</v>
      </c>
      <c r="L443" s="32" t="str">
        <f>'13. Input desinvesteringen'!E356</f>
        <v>Nee</v>
      </c>
      <c r="M443" s="32" t="str">
        <f>'13. Input desinvesteringen'!F356</f>
        <v>GAW ultimo 2000 EHS OUD</v>
      </c>
      <c r="N443" s="82">
        <f>'13. Input desinvesteringen'!G356</f>
        <v>2000</v>
      </c>
      <c r="O443" s="82"/>
      <c r="P443" s="82"/>
      <c r="Q443" s="32">
        <f>'13. Input desinvesteringen'!H356</f>
        <v>175474</v>
      </c>
      <c r="R443" s="82">
        <f>'13. Input desinvesteringen'!I356</f>
        <v>2025</v>
      </c>
      <c r="S443" s="32">
        <f>'13. Input desinvesteringen'!J356</f>
        <v>7</v>
      </c>
      <c r="U443" s="76">
        <f t="shared" si="21"/>
        <v>0.97443793491415276</v>
      </c>
      <c r="V443" s="76">
        <f t="shared" si="22"/>
        <v>2.5562065085847241E-2</v>
      </c>
      <c r="X443" s="33" cm="1">
        <f t="array" ref="X443">((X$102=$R443)*((13-$S443)/12)+(X$102&gt;$R443))*$Q443*INDEX($J$13:$O$39,$N443-1999,X$102-2020)</f>
        <v>0</v>
      </c>
      <c r="Y443" s="33" cm="1">
        <f t="array" ref="Y443">((Y$102=$R443)*((13-$S443)/12)+(Y$102&gt;$R443))*$Q443*INDEX($J$13:$O$39,$N443-1999,Y$102-2020)</f>
        <v>0</v>
      </c>
      <c r="Z443" s="33" cm="1">
        <f t="array" ref="Z443">((Z$102=$R443)*((13-$S443)/12)+(Z$102&gt;$R443))*$Q443*INDEX($J$13:$O$39,$N443-1999,Z$102-2020)</f>
        <v>0</v>
      </c>
      <c r="AA443" s="33" cm="1">
        <f t="array" ref="AA443">((AA$102=$R443)*((13-$S443)/12)+(AA$102&gt;$R443))*$Q443*INDEX($J$13:$O$39,$N443-1999,AA$102-2020)</f>
        <v>0</v>
      </c>
      <c r="AB443" s="33" cm="1">
        <f t="array" ref="AB443">((AB$102=$R443)*((13-$S443)/12)+(AB$102&gt;$R443))*$Q443*INDEX($J$13:$O$39,$N443-1999,AB$102-2020)</f>
        <v>158920.92571523238</v>
      </c>
      <c r="AC443" s="33" cm="1">
        <f t="array" ref="AC443">((AC$102=$R443)*((13-$S443)/12)+(AC$102&gt;$R443))*$Q443*INDEX($J$13:$O$39,$N443-1999,AC$102-2020)</f>
        <v>326741.42327051779</v>
      </c>
    </row>
    <row r="444" spans="2:29" x14ac:dyDescent="0.2">
      <c r="B444" s="32">
        <f>'13. Input desinvesteringen'!B357</f>
        <v>341</v>
      </c>
      <c r="J444" s="32" t="str">
        <f>'13. Input desinvesteringen'!C357</f>
        <v>Transport</v>
      </c>
      <c r="K444" s="32" t="str">
        <f>'13. Input desinvesteringen'!D357</f>
        <v>EHS</v>
      </c>
      <c r="L444" s="32" t="str">
        <f>'13. Input desinvesteringen'!E357</f>
        <v>Nee</v>
      </c>
      <c r="M444" s="32" t="str">
        <f>'13. Input desinvesteringen'!F357</f>
        <v>GAW ultimo 2000 EHS OUD</v>
      </c>
      <c r="N444" s="82">
        <f>'13. Input desinvesteringen'!G357</f>
        <v>2000</v>
      </c>
      <c r="O444" s="82"/>
      <c r="P444" s="82"/>
      <c r="Q444" s="32">
        <f>'13. Input desinvesteringen'!H357</f>
        <v>137779</v>
      </c>
      <c r="R444" s="82">
        <f>'13. Input desinvesteringen'!I357</f>
        <v>2025</v>
      </c>
      <c r="S444" s="32">
        <f>'13. Input desinvesteringen'!J357</f>
        <v>8</v>
      </c>
      <c r="U444" s="76">
        <f t="shared" si="21"/>
        <v>0.97443793491415276</v>
      </c>
      <c r="V444" s="76">
        <f t="shared" si="22"/>
        <v>2.5562065085847241E-2</v>
      </c>
      <c r="X444" s="33" cm="1">
        <f t="array" ref="X444">((X$102=$R444)*((13-$S444)/12)+(X$102&gt;$R444))*$Q444*INDEX($J$13:$O$39,$N444-1999,X$102-2020)</f>
        <v>0</v>
      </c>
      <c r="Y444" s="33" cm="1">
        <f t="array" ref="Y444">((Y$102=$R444)*((13-$S444)/12)+(Y$102&gt;$R444))*$Q444*INDEX($J$13:$O$39,$N444-1999,Y$102-2020)</f>
        <v>0</v>
      </c>
      <c r="Z444" s="33" cm="1">
        <f t="array" ref="Z444">((Z$102=$R444)*((13-$S444)/12)+(Z$102&gt;$R444))*$Q444*INDEX($J$13:$O$39,$N444-1999,Z$102-2020)</f>
        <v>0</v>
      </c>
      <c r="AA444" s="33" cm="1">
        <f t="array" ref="AA444">((AA$102=$R444)*((13-$S444)/12)+(AA$102&gt;$R444))*$Q444*INDEX($J$13:$O$39,$N444-1999,AA$102-2020)</f>
        <v>0</v>
      </c>
      <c r="AB444" s="33" cm="1">
        <f t="array" ref="AB444">((AB$102=$R444)*((13-$S444)/12)+(AB$102&gt;$R444))*$Q444*INDEX($J$13:$O$39,$N444-1999,AB$102-2020)</f>
        <v>103984.85542074137</v>
      </c>
      <c r="AC444" s="33" cm="1">
        <f t="array" ref="AC444">((AC$102=$R444)*((13-$S444)/12)+(AC$102&gt;$R444))*$Q444*INDEX($J$13:$O$39,$N444-1999,AC$102-2020)</f>
        <v>256551.43529405308</v>
      </c>
    </row>
    <row r="445" spans="2:29" x14ac:dyDescent="0.2">
      <c r="B445" s="32">
        <f>'13. Input desinvesteringen'!B358</f>
        <v>342</v>
      </c>
      <c r="J445" s="32" t="str">
        <f>'13. Input desinvesteringen'!C358</f>
        <v>Transport</v>
      </c>
      <c r="K445" s="32" t="str">
        <f>'13. Input desinvesteringen'!D358</f>
        <v>EHS</v>
      </c>
      <c r="L445" s="32" t="str">
        <f>'13. Input desinvesteringen'!E358</f>
        <v>Nee</v>
      </c>
      <c r="M445" s="32" t="str">
        <f>'13. Input desinvesteringen'!F358</f>
        <v>GAW ultimo 2000 EHS OUD</v>
      </c>
      <c r="N445" s="82">
        <f>'13. Input desinvesteringen'!G358</f>
        <v>2000</v>
      </c>
      <c r="O445" s="82"/>
      <c r="P445" s="82"/>
      <c r="Q445" s="32">
        <f>'13. Input desinvesteringen'!H358</f>
        <v>103247</v>
      </c>
      <c r="R445" s="82">
        <f>'13. Input desinvesteringen'!I358</f>
        <v>2025</v>
      </c>
      <c r="S445" s="32">
        <f>'13. Input desinvesteringen'!J358</f>
        <v>9</v>
      </c>
      <c r="U445" s="76">
        <f t="shared" si="21"/>
        <v>0.97443793491415276</v>
      </c>
      <c r="V445" s="76">
        <f t="shared" si="22"/>
        <v>2.5562065085847241E-2</v>
      </c>
      <c r="X445" s="33" cm="1">
        <f t="array" ref="X445">((X$102=$R445)*((13-$S445)/12)+(X$102&gt;$R445))*$Q445*INDEX($J$13:$O$39,$N445-1999,X$102-2020)</f>
        <v>0</v>
      </c>
      <c r="Y445" s="33" cm="1">
        <f t="array" ref="Y445">((Y$102=$R445)*((13-$S445)/12)+(Y$102&gt;$R445))*$Q445*INDEX($J$13:$O$39,$N445-1999,Y$102-2020)</f>
        <v>0</v>
      </c>
      <c r="Z445" s="33" cm="1">
        <f t="array" ref="Z445">((Z$102=$R445)*((13-$S445)/12)+(Z$102&gt;$R445))*$Q445*INDEX($J$13:$O$39,$N445-1999,Z$102-2020)</f>
        <v>0</v>
      </c>
      <c r="AA445" s="33" cm="1">
        <f t="array" ref="AA445">((AA$102=$R445)*((13-$S445)/12)+(AA$102&gt;$R445))*$Q445*INDEX($J$13:$O$39,$N445-1999,AA$102-2020)</f>
        <v>0</v>
      </c>
      <c r="AB445" s="33" cm="1">
        <f t="array" ref="AB445">((AB$102=$R445)*((13-$S445)/12)+(AB$102&gt;$R445))*$Q445*INDEX($J$13:$O$39,$N445-1999,AB$102-2020)</f>
        <v>62338.233650267648</v>
      </c>
      <c r="AC445" s="33" cm="1">
        <f t="array" ref="AC445">((AC$102=$R445)*((13-$S445)/12)+(AC$102&gt;$R445))*$Q445*INDEX($J$13:$O$39,$N445-1999,AC$102-2020)</f>
        <v>192251.11257742543</v>
      </c>
    </row>
    <row r="446" spans="2:29" x14ac:dyDescent="0.2">
      <c r="B446" s="32">
        <f>'13. Input desinvesteringen'!B359</f>
        <v>343</v>
      </c>
      <c r="J446" s="32" t="str">
        <f>'13. Input desinvesteringen'!C359</f>
        <v>Transport</v>
      </c>
      <c r="K446" s="32" t="str">
        <f>'13. Input desinvesteringen'!D359</f>
        <v>EHS</v>
      </c>
      <c r="L446" s="32" t="str">
        <f>'13. Input desinvesteringen'!E359</f>
        <v>Nee</v>
      </c>
      <c r="M446" s="32" t="str">
        <f>'13. Input desinvesteringen'!F359</f>
        <v>GAW ultimo 2000 EHS OUD</v>
      </c>
      <c r="N446" s="82">
        <f>'13. Input desinvesteringen'!G359</f>
        <v>2000</v>
      </c>
      <c r="O446" s="82"/>
      <c r="P446" s="82"/>
      <c r="Q446" s="32">
        <f>'13. Input desinvesteringen'!H359</f>
        <v>94272</v>
      </c>
      <c r="R446" s="82">
        <f>'13. Input desinvesteringen'!I359</f>
        <v>2025</v>
      </c>
      <c r="S446" s="32">
        <f>'13. Input desinvesteringen'!J359</f>
        <v>10</v>
      </c>
      <c r="U446" s="76">
        <f t="shared" si="21"/>
        <v>0.97443793491415276</v>
      </c>
      <c r="V446" s="76">
        <f t="shared" si="22"/>
        <v>2.5562065085847241E-2</v>
      </c>
      <c r="X446" s="33" cm="1">
        <f t="array" ref="X446">((X$102=$R446)*((13-$S446)/12)+(X$102&gt;$R446))*$Q446*INDEX($J$13:$O$39,$N446-1999,X$102-2020)</f>
        <v>0</v>
      </c>
      <c r="Y446" s="33" cm="1">
        <f t="array" ref="Y446">((Y$102=$R446)*((13-$S446)/12)+(Y$102&gt;$R446))*$Q446*INDEX($J$13:$O$39,$N446-1999,Y$102-2020)</f>
        <v>0</v>
      </c>
      <c r="Z446" s="33" cm="1">
        <f t="array" ref="Z446">((Z$102=$R446)*((13-$S446)/12)+(Z$102&gt;$R446))*$Q446*INDEX($J$13:$O$39,$N446-1999,Z$102-2020)</f>
        <v>0</v>
      </c>
      <c r="AA446" s="33" cm="1">
        <f t="array" ref="AA446">((AA$102=$R446)*((13-$S446)/12)+(AA$102&gt;$R446))*$Q446*INDEX($J$13:$O$39,$N446-1999,AA$102-2020)</f>
        <v>0</v>
      </c>
      <c r="AB446" s="33" cm="1">
        <f t="array" ref="AB446">((AB$102=$R446)*((13-$S446)/12)+(AB$102&gt;$R446))*$Q446*INDEX($J$13:$O$39,$N446-1999,AB$102-2020)</f>
        <v>42689.496760278984</v>
      </c>
      <c r="AC446" s="33" cm="1">
        <f t="array" ref="AC446">((AC$102=$R446)*((13-$S446)/12)+(AC$102&gt;$R446))*$Q446*INDEX($J$13:$O$39,$N446-1999,AC$102-2020)</f>
        <v>175539.21067826718</v>
      </c>
    </row>
    <row r="447" spans="2:29" x14ac:dyDescent="0.2">
      <c r="B447" s="32">
        <f>'13. Input desinvesteringen'!B360</f>
        <v>344</v>
      </c>
      <c r="J447" s="32" t="str">
        <f>'13. Input desinvesteringen'!C360</f>
        <v>Transport</v>
      </c>
      <c r="K447" s="32" t="str">
        <f>'13. Input desinvesteringen'!D360</f>
        <v>EHS</v>
      </c>
      <c r="L447" s="32" t="str">
        <f>'13. Input desinvesteringen'!E360</f>
        <v>Nee</v>
      </c>
      <c r="M447" s="32" t="str">
        <f>'13. Input desinvesteringen'!F360</f>
        <v>GAW ultimo 2000 EHS OUD</v>
      </c>
      <c r="N447" s="82">
        <f>'13. Input desinvesteringen'!G360</f>
        <v>2000</v>
      </c>
      <c r="O447" s="82"/>
      <c r="P447" s="82"/>
      <c r="Q447" s="32">
        <f>'13. Input desinvesteringen'!H360</f>
        <v>192336</v>
      </c>
      <c r="R447" s="82">
        <f>'13. Input desinvesteringen'!I360</f>
        <v>2025</v>
      </c>
      <c r="S447" s="32">
        <f>'13. Input desinvesteringen'!J360</f>
        <v>11</v>
      </c>
      <c r="U447" s="76">
        <f t="shared" si="21"/>
        <v>0.97443793491415276</v>
      </c>
      <c r="V447" s="76">
        <f t="shared" si="22"/>
        <v>2.5562065085847241E-2</v>
      </c>
      <c r="X447" s="33" cm="1">
        <f t="array" ref="X447">((X$102=$R447)*((13-$S447)/12)+(X$102&gt;$R447))*$Q447*INDEX($J$13:$O$39,$N447-1999,X$102-2020)</f>
        <v>0</v>
      </c>
      <c r="Y447" s="33" cm="1">
        <f t="array" ref="Y447">((Y$102=$R447)*((13-$S447)/12)+(Y$102&gt;$R447))*$Q447*INDEX($J$13:$O$39,$N447-1999,Y$102-2020)</f>
        <v>0</v>
      </c>
      <c r="Z447" s="33" cm="1">
        <f t="array" ref="Z447">((Z$102=$R447)*((13-$S447)/12)+(Z$102&gt;$R447))*$Q447*INDEX($J$13:$O$39,$N447-1999,Z$102-2020)</f>
        <v>0</v>
      </c>
      <c r="AA447" s="33" cm="1">
        <f t="array" ref="AA447">((AA$102=$R447)*((13-$S447)/12)+(AA$102&gt;$R447))*$Q447*INDEX($J$13:$O$39,$N447-1999,AA$102-2020)</f>
        <v>0</v>
      </c>
      <c r="AB447" s="33" cm="1">
        <f t="array" ref="AB447">((AB$102=$R447)*((13-$S447)/12)+(AB$102&gt;$R447))*$Q447*INDEX($J$13:$O$39,$N447-1999,AB$102-2020)</f>
        <v>58064.09148623146</v>
      </c>
      <c r="AC447" s="33" cm="1">
        <f t="array" ref="AC447">((AC$102=$R447)*((13-$S447)/12)+(AC$102&gt;$R447))*$Q447*INDEX($J$13:$O$39,$N447-1999,AC$102-2020)</f>
        <v>358139.31628707564</v>
      </c>
    </row>
    <row r="448" spans="2:29" x14ac:dyDescent="0.2">
      <c r="B448" s="32">
        <f>'13. Input desinvesteringen'!B361</f>
        <v>345</v>
      </c>
      <c r="J448" s="32" t="str">
        <f>'13. Input desinvesteringen'!C361</f>
        <v>Transport</v>
      </c>
      <c r="K448" s="32" t="str">
        <f>'13. Input desinvesteringen'!D361</f>
        <v>EHS</v>
      </c>
      <c r="L448" s="32" t="str">
        <f>'13. Input desinvesteringen'!E361</f>
        <v>Nee</v>
      </c>
      <c r="M448" s="32" t="str">
        <f>'13. Input desinvesteringen'!F361</f>
        <v>GAW ultimo 2000 EHS OUD</v>
      </c>
      <c r="N448" s="82">
        <f>'13. Input desinvesteringen'!G361</f>
        <v>2000</v>
      </c>
      <c r="O448" s="82"/>
      <c r="P448" s="82"/>
      <c r="Q448" s="32">
        <f>'13. Input desinvesteringen'!H361</f>
        <v>476740</v>
      </c>
      <c r="R448" s="82">
        <f>'13. Input desinvesteringen'!I361</f>
        <v>2025</v>
      </c>
      <c r="S448" s="32">
        <f>'13. Input desinvesteringen'!J361</f>
        <v>12</v>
      </c>
      <c r="U448" s="76">
        <f t="shared" si="21"/>
        <v>0.97443793491415276</v>
      </c>
      <c r="V448" s="76">
        <f t="shared" si="22"/>
        <v>2.5562065085847241E-2</v>
      </c>
      <c r="X448" s="33" cm="1">
        <f t="array" ref="X448">((X$102=$R448)*((13-$S448)/12)+(X$102&gt;$R448))*$Q448*INDEX($J$13:$O$39,$N448-1999,X$102-2020)</f>
        <v>0</v>
      </c>
      <c r="Y448" s="33" cm="1">
        <f t="array" ref="Y448">((Y$102=$R448)*((13-$S448)/12)+(Y$102&gt;$R448))*$Q448*INDEX($J$13:$O$39,$N448-1999,Y$102-2020)</f>
        <v>0</v>
      </c>
      <c r="Z448" s="33" cm="1">
        <f t="array" ref="Z448">((Z$102=$R448)*((13-$S448)/12)+(Z$102&gt;$R448))*$Q448*INDEX($J$13:$O$39,$N448-1999,Z$102-2020)</f>
        <v>0</v>
      </c>
      <c r="AA448" s="33" cm="1">
        <f t="array" ref="AA448">((AA$102=$R448)*((13-$S448)/12)+(AA$102&gt;$R448))*$Q448*INDEX($J$13:$O$39,$N448-1999,AA$102-2020)</f>
        <v>0</v>
      </c>
      <c r="AB448" s="33" cm="1">
        <f t="array" ref="AB448">((AB$102=$R448)*((13-$S448)/12)+(AB$102&gt;$R448))*$Q448*INDEX($J$13:$O$39,$N448-1999,AB$102-2020)</f>
        <v>71961.242240521751</v>
      </c>
      <c r="AC448" s="33" cm="1">
        <f t="array" ref="AC448">((AC$102=$R448)*((13-$S448)/12)+(AC$102&gt;$R448))*$Q448*INDEX($J$13:$O$39,$N448-1999,AC$102-2020)</f>
        <v>887713.88427907648</v>
      </c>
    </row>
    <row r="449" spans="2:29" x14ac:dyDescent="0.2">
      <c r="B449" s="32">
        <f>'13. Input desinvesteringen'!B362</f>
        <v>346</v>
      </c>
      <c r="J449" s="32" t="str">
        <f>'13. Input desinvesteringen'!C362</f>
        <v>Transport</v>
      </c>
      <c r="K449" s="32" t="str">
        <f>'13. Input desinvesteringen'!D362</f>
        <v>EHS</v>
      </c>
      <c r="L449" s="32" t="str">
        <f>'13. Input desinvesteringen'!E362</f>
        <v>Nee</v>
      </c>
      <c r="M449" s="32" t="str">
        <f>'13. Input desinvesteringen'!F362</f>
        <v>GAW ultimo 2000 EHS OUD</v>
      </c>
      <c r="N449" s="82">
        <f>'13. Input desinvesteringen'!G362</f>
        <v>2000</v>
      </c>
      <c r="O449" s="82"/>
      <c r="P449" s="82"/>
      <c r="Q449" s="32">
        <f>'13. Input desinvesteringen'!H362</f>
        <v>98585</v>
      </c>
      <c r="R449" s="82">
        <f>'13. Input desinvesteringen'!I362</f>
        <v>2025</v>
      </c>
      <c r="S449" s="32">
        <f>'13. Input desinvesteringen'!J362</f>
        <v>13</v>
      </c>
      <c r="U449" s="76">
        <f t="shared" si="21"/>
        <v>0.97443793491415276</v>
      </c>
      <c r="V449" s="76">
        <f t="shared" si="22"/>
        <v>2.5562065085847241E-2</v>
      </c>
      <c r="X449" s="33" cm="1">
        <f t="array" ref="X449">((X$102=$R449)*((13-$S449)/12)+(X$102&gt;$R449))*$Q449*INDEX($J$13:$O$39,$N449-1999,X$102-2020)</f>
        <v>0</v>
      </c>
      <c r="Y449" s="33" cm="1">
        <f t="array" ref="Y449">((Y$102=$R449)*((13-$S449)/12)+(Y$102&gt;$R449))*$Q449*INDEX($J$13:$O$39,$N449-1999,Y$102-2020)</f>
        <v>0</v>
      </c>
      <c r="Z449" s="33" cm="1">
        <f t="array" ref="Z449">((Z$102=$R449)*((13-$S449)/12)+(Z$102&gt;$R449))*$Q449*INDEX($J$13:$O$39,$N449-1999,Z$102-2020)</f>
        <v>0</v>
      </c>
      <c r="AA449" s="33" cm="1">
        <f t="array" ref="AA449">((AA$102=$R449)*((13-$S449)/12)+(AA$102&gt;$R449))*$Q449*INDEX($J$13:$O$39,$N449-1999,AA$102-2020)</f>
        <v>0</v>
      </c>
      <c r="AB449" s="33" cm="1">
        <f t="array" ref="AB449">((AB$102=$R449)*((13-$S449)/12)+(AB$102&gt;$R449))*$Q449*INDEX($J$13:$O$39,$N449-1999,AB$102-2020)</f>
        <v>0</v>
      </c>
      <c r="AC449" s="33" cm="1">
        <f t="array" ref="AC449">((AC$102=$R449)*((13-$S449)/12)+(AC$102&gt;$R449))*$Q449*INDEX($J$13:$O$39,$N449-1999,AC$102-2020)</f>
        <v>183570.23384161756</v>
      </c>
    </row>
    <row r="450" spans="2:29" x14ac:dyDescent="0.2">
      <c r="B450" s="32">
        <f>'13. Input desinvesteringen'!B363</f>
        <v>347</v>
      </c>
      <c r="J450" s="32" t="str">
        <f>'13. Input desinvesteringen'!C363</f>
        <v>Transport</v>
      </c>
      <c r="K450" s="32" t="str">
        <f>'13. Input desinvesteringen'!D363</f>
        <v>HS</v>
      </c>
      <c r="L450" s="32" t="str">
        <f>'13. Input desinvesteringen'!E363</f>
        <v>Nee</v>
      </c>
      <c r="M450" s="32" t="str">
        <f>'13. Input desinvesteringen'!F363</f>
        <v>GAW ultimo 2000 Liander (overname: 2008)</v>
      </c>
      <c r="N450" s="82">
        <f>'13. Input desinvesteringen'!G363</f>
        <v>2008</v>
      </c>
      <c r="O450" s="82"/>
      <c r="P450" s="82"/>
      <c r="Q450" s="32">
        <f>'13. Input desinvesteringen'!H363</f>
        <v>270124</v>
      </c>
      <c r="R450" s="82">
        <f>'13. Input desinvesteringen'!I363</f>
        <v>2025</v>
      </c>
      <c r="S450" s="32">
        <f>'13. Input desinvesteringen'!J363</f>
        <v>1</v>
      </c>
      <c r="U450" s="76">
        <f t="shared" si="21"/>
        <v>0.9501178320392909</v>
      </c>
      <c r="V450" s="76">
        <f t="shared" si="22"/>
        <v>4.9882167960709101E-2</v>
      </c>
      <c r="X450" s="33" cm="1">
        <f t="array" ref="X450">((X$102=$R450)*((13-$S450)/12)+(X$102&gt;$R450))*$Q450*INDEX($J$13:$O$39,$N450-1999,X$102-2020)</f>
        <v>0</v>
      </c>
      <c r="Y450" s="33" cm="1">
        <f t="array" ref="Y450">((Y$102=$R450)*((13-$S450)/12)+(Y$102&gt;$R450))*$Q450*INDEX($J$13:$O$39,$N450-1999,Y$102-2020)</f>
        <v>0</v>
      </c>
      <c r="Z450" s="33" cm="1">
        <f t="array" ref="Z450">((Z$102=$R450)*((13-$S450)/12)+(Z$102&gt;$R450))*$Q450*INDEX($J$13:$O$39,$N450-1999,Z$102-2020)</f>
        <v>0</v>
      </c>
      <c r="AA450" s="33" cm="1">
        <f t="array" ref="AA450">((AA$102=$R450)*((13-$S450)/12)+(AA$102&gt;$R450))*$Q450*INDEX($J$13:$O$39,$N450-1999,AA$102-2020)</f>
        <v>0</v>
      </c>
      <c r="AB450" s="33" cm="1">
        <f t="array" ref="AB450">((AB$102=$R450)*((13-$S450)/12)+(AB$102&gt;$R450))*$Q450*INDEX($J$13:$O$39,$N450-1999,AB$102-2020)</f>
        <v>409710.24420566444</v>
      </c>
      <c r="AC450" s="33" cm="1">
        <f t="array" ref="AC450">((AC$102=$R450)*((13-$S450)/12)+(AC$102&gt;$R450))*$Q450*INDEX($J$13:$O$39,$N450-1999,AC$102-2020)</f>
        <v>421182.13104342303</v>
      </c>
    </row>
    <row r="451" spans="2:29" x14ac:dyDescent="0.2">
      <c r="B451" s="32">
        <f>'13. Input desinvesteringen'!B364</f>
        <v>348</v>
      </c>
      <c r="J451" s="32" t="str">
        <f>'13. Input desinvesteringen'!C364</f>
        <v>Transport</v>
      </c>
      <c r="K451" s="32" t="str">
        <f>'13. Input desinvesteringen'!D364</f>
        <v>HS</v>
      </c>
      <c r="L451" s="32" t="str">
        <f>'13. Input desinvesteringen'!E364</f>
        <v>Nee</v>
      </c>
      <c r="M451" s="32" t="str">
        <f>'13. Input desinvesteringen'!F364</f>
        <v>GAW ultimo 2000 Liander (overname: 2008)</v>
      </c>
      <c r="N451" s="82">
        <f>'13. Input desinvesteringen'!G364</f>
        <v>2008</v>
      </c>
      <c r="O451" s="82"/>
      <c r="P451" s="82"/>
      <c r="Q451" s="32">
        <f>'13. Input desinvesteringen'!H364</f>
        <v>1117</v>
      </c>
      <c r="R451" s="82">
        <f>'13. Input desinvesteringen'!I364</f>
        <v>2025</v>
      </c>
      <c r="S451" s="32">
        <f>'13. Input desinvesteringen'!J364</f>
        <v>3</v>
      </c>
      <c r="U451" s="76">
        <f t="shared" si="21"/>
        <v>0.9501178320392909</v>
      </c>
      <c r="V451" s="76">
        <f t="shared" si="22"/>
        <v>4.9882167960709101E-2</v>
      </c>
      <c r="X451" s="33" cm="1">
        <f t="array" ref="X451">((X$102=$R451)*((13-$S451)/12)+(X$102&gt;$R451))*$Q451*INDEX($J$13:$O$39,$N451-1999,X$102-2020)</f>
        <v>0</v>
      </c>
      <c r="Y451" s="33" cm="1">
        <f t="array" ref="Y451">((Y$102=$R451)*((13-$S451)/12)+(Y$102&gt;$R451))*$Q451*INDEX($J$13:$O$39,$N451-1999,Y$102-2020)</f>
        <v>0</v>
      </c>
      <c r="Z451" s="33" cm="1">
        <f t="array" ref="Z451">((Z$102=$R451)*((13-$S451)/12)+(Z$102&gt;$R451))*$Q451*INDEX($J$13:$O$39,$N451-1999,Z$102-2020)</f>
        <v>0</v>
      </c>
      <c r="AA451" s="33" cm="1">
        <f t="array" ref="AA451">((AA$102=$R451)*((13-$S451)/12)+(AA$102&gt;$R451))*$Q451*INDEX($J$13:$O$39,$N451-1999,AA$102-2020)</f>
        <v>0</v>
      </c>
      <c r="AB451" s="33" cm="1">
        <f t="array" ref="AB451">((AB$102=$R451)*((13-$S451)/12)+(AB$102&gt;$R451))*$Q451*INDEX($J$13:$O$39,$N451-1999,AB$102-2020)</f>
        <v>1411.840311541265</v>
      </c>
      <c r="AC451" s="33" cm="1">
        <f t="array" ref="AC451">((AC$102=$R451)*((13-$S451)/12)+(AC$102&gt;$R451))*$Q451*INDEX($J$13:$O$39,$N451-1999,AC$102-2020)</f>
        <v>1741.6462083173044</v>
      </c>
    </row>
    <row r="452" spans="2:29" x14ac:dyDescent="0.2">
      <c r="B452" s="32">
        <f>'13. Input desinvesteringen'!B365</f>
        <v>349</v>
      </c>
      <c r="J452" s="32" t="str">
        <f>'13. Input desinvesteringen'!C365</f>
        <v>Transport</v>
      </c>
      <c r="K452" s="32" t="str">
        <f>'13. Input desinvesteringen'!D365</f>
        <v>HS</v>
      </c>
      <c r="L452" s="32" t="str">
        <f>'13. Input desinvesteringen'!E365</f>
        <v>Nee</v>
      </c>
      <c r="M452" s="32" t="str">
        <f>'13. Input desinvesteringen'!F365</f>
        <v>GAW ultimo 2000 Liander (overname: 2008)</v>
      </c>
      <c r="N452" s="82">
        <f>'13. Input desinvesteringen'!G365</f>
        <v>2008</v>
      </c>
      <c r="O452" s="82"/>
      <c r="P452" s="82"/>
      <c r="Q452" s="32">
        <f>'13. Input desinvesteringen'!H365</f>
        <v>4135</v>
      </c>
      <c r="R452" s="82">
        <f>'13. Input desinvesteringen'!I365</f>
        <v>2025</v>
      </c>
      <c r="S452" s="32">
        <f>'13. Input desinvesteringen'!J365</f>
        <v>2</v>
      </c>
      <c r="U452" s="76">
        <f t="shared" si="21"/>
        <v>0.9501178320392909</v>
      </c>
      <c r="V452" s="76">
        <f t="shared" si="22"/>
        <v>4.9882167960709101E-2</v>
      </c>
      <c r="X452" s="33" cm="1">
        <f t="array" ref="X452">((X$102=$R452)*((13-$S452)/12)+(X$102&gt;$R452))*$Q452*INDEX($J$13:$O$39,$N452-1999,X$102-2020)</f>
        <v>0</v>
      </c>
      <c r="Y452" s="33" cm="1">
        <f t="array" ref="Y452">((Y$102=$R452)*((13-$S452)/12)+(Y$102&gt;$R452))*$Q452*INDEX($J$13:$O$39,$N452-1999,Y$102-2020)</f>
        <v>0</v>
      </c>
      <c r="Z452" s="33" cm="1">
        <f t="array" ref="Z452">((Z$102=$R452)*((13-$S452)/12)+(Z$102&gt;$R452))*$Q452*INDEX($J$13:$O$39,$N452-1999,Z$102-2020)</f>
        <v>0</v>
      </c>
      <c r="AA452" s="33" cm="1">
        <f t="array" ref="AA452">((AA$102=$R452)*((13-$S452)/12)+(AA$102&gt;$R452))*$Q452*INDEX($J$13:$O$39,$N452-1999,AA$102-2020)</f>
        <v>0</v>
      </c>
      <c r="AB452" s="33" cm="1">
        <f t="array" ref="AB452">((AB$102=$R452)*((13-$S452)/12)+(AB$102&gt;$R452))*$Q452*INDEX($J$13:$O$39,$N452-1999,AB$102-2020)</f>
        <v>5749.1098093513365</v>
      </c>
      <c r="AC452" s="33" cm="1">
        <f t="array" ref="AC452">((AC$102=$R452)*((13-$S452)/12)+(AC$102&gt;$R452))*$Q452*INDEX($J$13:$O$39,$N452-1999,AC$102-2020)</f>
        <v>6447.3653280143726</v>
      </c>
    </row>
    <row r="453" spans="2:29" x14ac:dyDescent="0.2">
      <c r="B453" s="32">
        <f>'13. Input desinvesteringen'!B366</f>
        <v>350</v>
      </c>
      <c r="J453" s="32" t="str">
        <f>'13. Input desinvesteringen'!C366</f>
        <v>Transport</v>
      </c>
      <c r="K453" s="32" t="str">
        <f>'13. Input desinvesteringen'!D366</f>
        <v>HS</v>
      </c>
      <c r="L453" s="32" t="str">
        <f>'13. Input desinvesteringen'!E366</f>
        <v>Nee</v>
      </c>
      <c r="M453" s="32" t="str">
        <f>'13. Input desinvesteringen'!F366</f>
        <v>GAW ultimo 2000 Liander (overname: 2008)</v>
      </c>
      <c r="N453" s="82">
        <f>'13. Input desinvesteringen'!G366</f>
        <v>2008</v>
      </c>
      <c r="O453" s="82"/>
      <c r="P453" s="82"/>
      <c r="Q453" s="32">
        <f>'13. Input desinvesteringen'!H366</f>
        <v>841</v>
      </c>
      <c r="R453" s="82">
        <f>'13. Input desinvesteringen'!I366</f>
        <v>2025</v>
      </c>
      <c r="S453" s="32">
        <f>'13. Input desinvesteringen'!J366</f>
        <v>6</v>
      </c>
      <c r="U453" s="76">
        <f t="shared" si="21"/>
        <v>0.9501178320392909</v>
      </c>
      <c r="V453" s="76">
        <f t="shared" si="22"/>
        <v>4.9882167960709101E-2</v>
      </c>
      <c r="X453" s="33" cm="1">
        <f t="array" ref="X453">((X$102=$R453)*((13-$S453)/12)+(X$102&gt;$R453))*$Q453*INDEX($J$13:$O$39,$N453-1999,X$102-2020)</f>
        <v>0</v>
      </c>
      <c r="Y453" s="33" cm="1">
        <f t="array" ref="Y453">((Y$102=$R453)*((13-$S453)/12)+(Y$102&gt;$R453))*$Q453*INDEX($J$13:$O$39,$N453-1999,Y$102-2020)</f>
        <v>0</v>
      </c>
      <c r="Z453" s="33" cm="1">
        <f t="array" ref="Z453">((Z$102=$R453)*((13-$S453)/12)+(Z$102&gt;$R453))*$Q453*INDEX($J$13:$O$39,$N453-1999,Z$102-2020)</f>
        <v>0</v>
      </c>
      <c r="AA453" s="33" cm="1">
        <f t="array" ref="AA453">((AA$102=$R453)*((13-$S453)/12)+(AA$102&gt;$R453))*$Q453*INDEX($J$13:$O$39,$N453-1999,AA$102-2020)</f>
        <v>0</v>
      </c>
      <c r="AB453" s="33" cm="1">
        <f t="array" ref="AB453">((AB$102=$R453)*((13-$S453)/12)+(AB$102&gt;$R453))*$Q453*INDEX($J$13:$O$39,$N453-1999,AB$102-2020)</f>
        <v>744.09166643181982</v>
      </c>
      <c r="AC453" s="33" cm="1">
        <f t="array" ref="AC453">((AC$102=$R453)*((13-$S453)/12)+(AC$102&gt;$R453))*$Q453*INDEX($J$13:$O$39,$N453-1999,AC$102-2020)</f>
        <v>1311.3021138718468</v>
      </c>
    </row>
    <row r="454" spans="2:29" x14ac:dyDescent="0.2">
      <c r="B454" s="32">
        <f>'13. Input desinvesteringen'!B367</f>
        <v>351</v>
      </c>
      <c r="J454" s="32" t="str">
        <f>'13. Input desinvesteringen'!C367</f>
        <v>Transport</v>
      </c>
      <c r="K454" s="32" t="str">
        <f>'13. Input desinvesteringen'!D367</f>
        <v>HS</v>
      </c>
      <c r="L454" s="32" t="str">
        <f>'13. Input desinvesteringen'!E367</f>
        <v>Nee</v>
      </c>
      <c r="M454" s="32" t="str">
        <f>'13. Input desinvesteringen'!F367</f>
        <v>GAW ultimo 2000 Liander (overname: 2008)</v>
      </c>
      <c r="N454" s="82">
        <f>'13. Input desinvesteringen'!G367</f>
        <v>2008</v>
      </c>
      <c r="O454" s="82"/>
      <c r="P454" s="82"/>
      <c r="Q454" s="32">
        <f>'13. Input desinvesteringen'!H367</f>
        <v>108977</v>
      </c>
      <c r="R454" s="82">
        <f>'13. Input desinvesteringen'!I367</f>
        <v>2025</v>
      </c>
      <c r="S454" s="32">
        <f>'13. Input desinvesteringen'!J367</f>
        <v>5</v>
      </c>
      <c r="U454" s="76">
        <f t="shared" si="21"/>
        <v>0.9501178320392909</v>
      </c>
      <c r="V454" s="76">
        <f t="shared" si="22"/>
        <v>4.9882167960709101E-2</v>
      </c>
      <c r="X454" s="33" cm="1">
        <f t="array" ref="X454">((X$102=$R454)*((13-$S454)/12)+(X$102&gt;$R454))*$Q454*INDEX($J$13:$O$39,$N454-1999,X$102-2020)</f>
        <v>0</v>
      </c>
      <c r="Y454" s="33" cm="1">
        <f t="array" ref="Y454">((Y$102=$R454)*((13-$S454)/12)+(Y$102&gt;$R454))*$Q454*INDEX($J$13:$O$39,$N454-1999,Y$102-2020)</f>
        <v>0</v>
      </c>
      <c r="Z454" s="33" cm="1">
        <f t="array" ref="Z454">((Z$102=$R454)*((13-$S454)/12)+(Z$102&gt;$R454))*$Q454*INDEX($J$13:$O$39,$N454-1999,Z$102-2020)</f>
        <v>0</v>
      </c>
      <c r="AA454" s="33" cm="1">
        <f t="array" ref="AA454">((AA$102=$R454)*((13-$S454)/12)+(AA$102&gt;$R454))*$Q454*INDEX($J$13:$O$39,$N454-1999,AA$102-2020)</f>
        <v>0</v>
      </c>
      <c r="AB454" s="33" cm="1">
        <f t="array" ref="AB454">((AB$102=$R454)*((13-$S454)/12)+(AB$102&gt;$R454))*$Q454*INDEX($J$13:$O$39,$N454-1999,AB$102-2020)</f>
        <v>110193.82032646905</v>
      </c>
      <c r="AC454" s="33" cm="1">
        <f t="array" ref="AC454">((AC$102=$R454)*((13-$S454)/12)+(AC$102&gt;$R454))*$Q454*INDEX($J$13:$O$39,$N454-1999,AC$102-2020)</f>
        <v>169918.8709434153</v>
      </c>
    </row>
    <row r="455" spans="2:29" x14ac:dyDescent="0.2">
      <c r="B455" s="32">
        <f>'13. Input desinvesteringen'!B368</f>
        <v>352</v>
      </c>
      <c r="J455" s="32" t="str">
        <f>'13. Input desinvesteringen'!C368</f>
        <v>Transport</v>
      </c>
      <c r="K455" s="32" t="str">
        <f>'13. Input desinvesteringen'!D368</f>
        <v>HS</v>
      </c>
      <c r="L455" s="32" t="str">
        <f>'13. Input desinvesteringen'!E368</f>
        <v>Nee</v>
      </c>
      <c r="M455" s="32" t="str">
        <f>'13. Input desinvesteringen'!F368</f>
        <v>GAW ultimo 2000 Liander (overname: 2008)</v>
      </c>
      <c r="N455" s="82">
        <f>'13. Input desinvesteringen'!G368</f>
        <v>2008</v>
      </c>
      <c r="O455" s="82"/>
      <c r="P455" s="82"/>
      <c r="Q455" s="32">
        <f>'13. Input desinvesteringen'!H368</f>
        <v>222668</v>
      </c>
      <c r="R455" s="82">
        <f>'13. Input desinvesteringen'!I368</f>
        <v>2025</v>
      </c>
      <c r="S455" s="32">
        <f>'13. Input desinvesteringen'!J368</f>
        <v>7</v>
      </c>
      <c r="U455" s="76">
        <f t="shared" si="21"/>
        <v>0.9501178320392909</v>
      </c>
      <c r="V455" s="76">
        <f t="shared" si="22"/>
        <v>4.9882167960709101E-2</v>
      </c>
      <c r="X455" s="33" cm="1">
        <f t="array" ref="X455">((X$102=$R455)*((13-$S455)/12)+(X$102&gt;$R455))*$Q455*INDEX($J$13:$O$39,$N455-1999,X$102-2020)</f>
        <v>0</v>
      </c>
      <c r="Y455" s="33" cm="1">
        <f t="array" ref="Y455">((Y$102=$R455)*((13-$S455)/12)+(Y$102&gt;$R455))*$Q455*INDEX($J$13:$O$39,$N455-1999,Y$102-2020)</f>
        <v>0</v>
      </c>
      <c r="Z455" s="33" cm="1">
        <f t="array" ref="Z455">((Z$102=$R455)*((13-$S455)/12)+(Z$102&gt;$R455))*$Q455*INDEX($J$13:$O$39,$N455-1999,Z$102-2020)</f>
        <v>0</v>
      </c>
      <c r="AA455" s="33" cm="1">
        <f t="array" ref="AA455">((AA$102=$R455)*((13-$S455)/12)+(AA$102&gt;$R455))*$Q455*INDEX($J$13:$O$39,$N455-1999,AA$102-2020)</f>
        <v>0</v>
      </c>
      <c r="AB455" s="33" cm="1">
        <f t="array" ref="AB455">((AB$102=$R455)*((13-$S455)/12)+(AB$102&gt;$R455))*$Q455*INDEX($J$13:$O$39,$N455-1999,AB$102-2020)</f>
        <v>168865.70733586591</v>
      </c>
      <c r="AC455" s="33" cm="1">
        <f t="array" ref="AC455">((AC$102=$R455)*((13-$S455)/12)+(AC$102&gt;$R455))*$Q455*INDEX($J$13:$O$39,$N455-1999,AC$102-2020)</f>
        <v>347187.89428254031</v>
      </c>
    </row>
    <row r="456" spans="2:29" x14ac:dyDescent="0.2">
      <c r="B456" s="32">
        <f>'13. Input desinvesteringen'!B369</f>
        <v>353</v>
      </c>
      <c r="J456" s="32" t="str">
        <f>'13. Input desinvesteringen'!C369</f>
        <v>Transport</v>
      </c>
      <c r="K456" s="32" t="str">
        <f>'13. Input desinvesteringen'!D369</f>
        <v>HS</v>
      </c>
      <c r="L456" s="32" t="str">
        <f>'13. Input desinvesteringen'!E369</f>
        <v>Nee</v>
      </c>
      <c r="M456" s="32" t="str">
        <f>'13. Input desinvesteringen'!F369</f>
        <v>GAW ultimo 2000 Liander (overname: 2008)</v>
      </c>
      <c r="N456" s="82">
        <f>'13. Input desinvesteringen'!G369</f>
        <v>2008</v>
      </c>
      <c r="O456" s="82"/>
      <c r="P456" s="82"/>
      <c r="Q456" s="32">
        <f>'13. Input desinvesteringen'!H369</f>
        <v>100137</v>
      </c>
      <c r="R456" s="82">
        <f>'13. Input desinvesteringen'!I369</f>
        <v>2025</v>
      </c>
      <c r="S456" s="32">
        <f>'13. Input desinvesteringen'!J369</f>
        <v>9</v>
      </c>
      <c r="U456" s="76">
        <f t="shared" si="21"/>
        <v>0.9501178320392909</v>
      </c>
      <c r="V456" s="76">
        <f t="shared" si="22"/>
        <v>4.9882167960709101E-2</v>
      </c>
      <c r="X456" s="33" cm="1">
        <f t="array" ref="X456">((X$102=$R456)*((13-$S456)/12)+(X$102&gt;$R456))*$Q456*INDEX($J$13:$O$39,$N456-1999,X$102-2020)</f>
        <v>0</v>
      </c>
      <c r="Y456" s="33" cm="1">
        <f t="array" ref="Y456">((Y$102=$R456)*((13-$S456)/12)+(Y$102&gt;$R456))*$Q456*INDEX($J$13:$O$39,$N456-1999,Y$102-2020)</f>
        <v>0</v>
      </c>
      <c r="Z456" s="33" cm="1">
        <f t="array" ref="Z456">((Z$102=$R456)*((13-$S456)/12)+(Z$102&gt;$R456))*$Q456*INDEX($J$13:$O$39,$N456-1999,Z$102-2020)</f>
        <v>0</v>
      </c>
      <c r="AA456" s="33" cm="1">
        <f t="array" ref="AA456">((AA$102=$R456)*((13-$S456)/12)+(AA$102&gt;$R456))*$Q456*INDEX($J$13:$O$39,$N456-1999,AA$102-2020)</f>
        <v>0</v>
      </c>
      <c r="AB456" s="33" cm="1">
        <f t="array" ref="AB456">((AB$102=$R456)*((13-$S456)/12)+(AB$102&gt;$R456))*$Q456*INDEX($J$13:$O$39,$N456-1999,AB$102-2020)</f>
        <v>50627.557126878295</v>
      </c>
      <c r="AC456" s="33" cm="1">
        <f t="array" ref="AC456">((AC$102=$R456)*((13-$S456)/12)+(AC$102&gt;$R456))*$Q456*INDEX($J$13:$O$39,$N456-1999,AC$102-2020)</f>
        <v>156135.38617929266</v>
      </c>
    </row>
    <row r="457" spans="2:29" x14ac:dyDescent="0.2">
      <c r="B457" s="32">
        <f>'13. Input desinvesteringen'!B370</f>
        <v>354</v>
      </c>
      <c r="J457" s="32" t="str">
        <f>'13. Input desinvesteringen'!C370</f>
        <v>Transport</v>
      </c>
      <c r="K457" s="32" t="str">
        <f>'13. Input desinvesteringen'!D370</f>
        <v>HS</v>
      </c>
      <c r="L457" s="32" t="str">
        <f>'13. Input desinvesteringen'!E370</f>
        <v>Nee</v>
      </c>
      <c r="M457" s="32" t="str">
        <f>'13. Input desinvesteringen'!F370</f>
        <v>GAW ultimo 2000 Enexis</v>
      </c>
      <c r="N457" s="82">
        <f>'13. Input desinvesteringen'!G370</f>
        <v>2008</v>
      </c>
      <c r="O457" s="82"/>
      <c r="P457" s="82"/>
      <c r="Q457" s="32">
        <f>'13. Input desinvesteringen'!H370</f>
        <v>278188</v>
      </c>
      <c r="R457" s="82">
        <f>'13. Input desinvesteringen'!I370</f>
        <v>2025</v>
      </c>
      <c r="S457" s="32">
        <f>'13. Input desinvesteringen'!J370</f>
        <v>1</v>
      </c>
      <c r="U457" s="76">
        <f t="shared" si="21"/>
        <v>0.9501178320392909</v>
      </c>
      <c r="V457" s="76">
        <f t="shared" si="22"/>
        <v>4.9882167960709101E-2</v>
      </c>
      <c r="X457" s="33" cm="1">
        <f t="array" ref="X457">((X$102=$R457)*((13-$S457)/12)+(X$102&gt;$R457))*$Q457*INDEX($J$13:$O$39,$N457-1999,X$102-2020)</f>
        <v>0</v>
      </c>
      <c r="Y457" s="33" cm="1">
        <f t="array" ref="Y457">((Y$102=$R457)*((13-$S457)/12)+(Y$102&gt;$R457))*$Q457*INDEX($J$13:$O$39,$N457-1999,Y$102-2020)</f>
        <v>0</v>
      </c>
      <c r="Z457" s="33" cm="1">
        <f t="array" ref="Z457">((Z$102=$R457)*((13-$S457)/12)+(Z$102&gt;$R457))*$Q457*INDEX($J$13:$O$39,$N457-1999,Z$102-2020)</f>
        <v>0</v>
      </c>
      <c r="AA457" s="33" cm="1">
        <f t="array" ref="AA457">((AA$102=$R457)*((13-$S457)/12)+(AA$102&gt;$R457))*$Q457*INDEX($J$13:$O$39,$N457-1999,AA$102-2020)</f>
        <v>0</v>
      </c>
      <c r="AB457" s="33" cm="1">
        <f t="array" ref="AB457">((AB$102=$R457)*((13-$S457)/12)+(AB$102&gt;$R457))*$Q457*INDEX($J$13:$O$39,$N457-1999,AB$102-2020)</f>
        <v>421941.30627076962</v>
      </c>
      <c r="AC457" s="33" cm="1">
        <f t="array" ref="AC457">((AC$102=$R457)*((13-$S457)/12)+(AC$102&gt;$R457))*$Q457*INDEX($J$13:$O$39,$N457-1999,AC$102-2020)</f>
        <v>433755.66284635122</v>
      </c>
    </row>
    <row r="458" spans="2:29" x14ac:dyDescent="0.2">
      <c r="B458" s="32">
        <f>'13. Input desinvesteringen'!B371</f>
        <v>355</v>
      </c>
      <c r="J458" s="32" t="str">
        <f>'13. Input desinvesteringen'!C371</f>
        <v>Transport</v>
      </c>
      <c r="K458" s="32" t="str">
        <f>'13. Input desinvesteringen'!D371</f>
        <v>HS</v>
      </c>
      <c r="L458" s="32" t="str">
        <f>'13. Input desinvesteringen'!E371</f>
        <v>Nee</v>
      </c>
      <c r="M458" s="32" t="str">
        <f>'13. Input desinvesteringen'!F371</f>
        <v>GAW ultimo 2000 Enexis</v>
      </c>
      <c r="N458" s="82">
        <f>'13. Input desinvesteringen'!G371</f>
        <v>2008</v>
      </c>
      <c r="O458" s="82"/>
      <c r="P458" s="82"/>
      <c r="Q458" s="32">
        <f>'13. Input desinvesteringen'!H371</f>
        <v>87600</v>
      </c>
      <c r="R458" s="82">
        <f>'13. Input desinvesteringen'!I371</f>
        <v>2025</v>
      </c>
      <c r="S458" s="32">
        <f>'13. Input desinvesteringen'!J371</f>
        <v>2</v>
      </c>
      <c r="U458" s="76">
        <f t="shared" si="21"/>
        <v>0.9501178320392909</v>
      </c>
      <c r="V458" s="76">
        <f t="shared" si="22"/>
        <v>4.9882167960709101E-2</v>
      </c>
      <c r="X458" s="33" cm="1">
        <f t="array" ref="X458">((X$102=$R458)*((13-$S458)/12)+(X$102&gt;$R458))*$Q458*INDEX($J$13:$O$39,$N458-1999,X$102-2020)</f>
        <v>0</v>
      </c>
      <c r="Y458" s="33" cm="1">
        <f t="array" ref="Y458">((Y$102=$R458)*((13-$S458)/12)+(Y$102&gt;$R458))*$Q458*INDEX($J$13:$O$39,$N458-1999,Y$102-2020)</f>
        <v>0</v>
      </c>
      <c r="Z458" s="33" cm="1">
        <f t="array" ref="Z458">((Z$102=$R458)*((13-$S458)/12)+(Z$102&gt;$R458))*$Q458*INDEX($J$13:$O$39,$N458-1999,Z$102-2020)</f>
        <v>0</v>
      </c>
      <c r="AA458" s="33" cm="1">
        <f t="array" ref="AA458">((AA$102=$R458)*((13-$S458)/12)+(AA$102&gt;$R458))*$Q458*INDEX($J$13:$O$39,$N458-1999,AA$102-2020)</f>
        <v>0</v>
      </c>
      <c r="AB458" s="33" cm="1">
        <f t="array" ref="AB458">((AB$102=$R458)*((13-$S458)/12)+(AB$102&gt;$R458))*$Q458*INDEX($J$13:$O$39,$N458-1999,AB$102-2020)</f>
        <v>121794.92606993401</v>
      </c>
      <c r="AC458" s="33" cm="1">
        <f t="array" ref="AC458">((AC$102=$R458)*((13-$S458)/12)+(AC$102&gt;$R458))*$Q458*INDEX($J$13:$O$39,$N458-1999,AC$102-2020)</f>
        <v>136587.47345442782</v>
      </c>
    </row>
    <row r="459" spans="2:29" x14ac:dyDescent="0.2">
      <c r="B459" s="32">
        <f>'13. Input desinvesteringen'!B372</f>
        <v>356</v>
      </c>
      <c r="J459" s="32" t="str">
        <f>'13. Input desinvesteringen'!C372</f>
        <v>Transport</v>
      </c>
      <c r="K459" s="32" t="str">
        <f>'13. Input desinvesteringen'!D372</f>
        <v>HS</v>
      </c>
      <c r="L459" s="32" t="str">
        <f>'13. Input desinvesteringen'!E372</f>
        <v>Nee</v>
      </c>
      <c r="M459" s="32" t="str">
        <f>'13. Input desinvesteringen'!F372</f>
        <v>GAW ultimo 2000 Enexis</v>
      </c>
      <c r="N459" s="82">
        <f>'13. Input desinvesteringen'!G372</f>
        <v>2008</v>
      </c>
      <c r="O459" s="82"/>
      <c r="P459" s="82"/>
      <c r="Q459" s="32">
        <f>'13. Input desinvesteringen'!H372</f>
        <v>71513</v>
      </c>
      <c r="R459" s="82">
        <f>'13. Input desinvesteringen'!I372</f>
        <v>2025</v>
      </c>
      <c r="S459" s="32">
        <f>'13. Input desinvesteringen'!J372</f>
        <v>4</v>
      </c>
      <c r="U459" s="76">
        <f t="shared" si="21"/>
        <v>0.9501178320392909</v>
      </c>
      <c r="V459" s="76">
        <f t="shared" si="22"/>
        <v>4.9882167960709101E-2</v>
      </c>
      <c r="X459" s="33" cm="1">
        <f t="array" ref="X459">((X$102=$R459)*((13-$S459)/12)+(X$102&gt;$R459))*$Q459*INDEX($J$13:$O$39,$N459-1999,X$102-2020)</f>
        <v>0</v>
      </c>
      <c r="Y459" s="33" cm="1">
        <f t="array" ref="Y459">((Y$102=$R459)*((13-$S459)/12)+(Y$102&gt;$R459))*$Q459*INDEX($J$13:$O$39,$N459-1999,Y$102-2020)</f>
        <v>0</v>
      </c>
      <c r="Z459" s="33" cm="1">
        <f t="array" ref="Z459">((Z$102=$R459)*((13-$S459)/12)+(Z$102&gt;$R459))*$Q459*INDEX($J$13:$O$39,$N459-1999,Z$102-2020)</f>
        <v>0</v>
      </c>
      <c r="AA459" s="33" cm="1">
        <f t="array" ref="AA459">((AA$102=$R459)*((13-$S459)/12)+(AA$102&gt;$R459))*$Q459*INDEX($J$13:$O$39,$N459-1999,AA$102-2020)</f>
        <v>0</v>
      </c>
      <c r="AB459" s="33" cm="1">
        <f t="array" ref="AB459">((AB$102=$R459)*((13-$S459)/12)+(AB$102&gt;$R459))*$Q459*INDEX($J$13:$O$39,$N459-1999,AB$102-2020)</f>
        <v>81350.440984176748</v>
      </c>
      <c r="AC459" s="33" cm="1">
        <f t="array" ref="AC459">((AC$102=$R459)*((13-$S459)/12)+(AC$102&gt;$R459))*$Q459*INDEX($J$13:$O$39,$N459-1999,AC$102-2020)</f>
        <v>111504.33777564493</v>
      </c>
    </row>
    <row r="460" spans="2:29" x14ac:dyDescent="0.2">
      <c r="B460" s="32">
        <f>'13. Input desinvesteringen'!B373</f>
        <v>357</v>
      </c>
      <c r="J460" s="32" t="str">
        <f>'13. Input desinvesteringen'!C373</f>
        <v>Transport</v>
      </c>
      <c r="K460" s="32" t="str">
        <f>'13. Input desinvesteringen'!D373</f>
        <v>HS</v>
      </c>
      <c r="L460" s="32" t="str">
        <f>'13. Input desinvesteringen'!E373</f>
        <v>Nee</v>
      </c>
      <c r="M460" s="32" t="str">
        <f>'13. Input desinvesteringen'!F373</f>
        <v>GAW ultimo 2000 Enexis</v>
      </c>
      <c r="N460" s="82">
        <f>'13. Input desinvesteringen'!G373</f>
        <v>2008</v>
      </c>
      <c r="O460" s="82"/>
      <c r="P460" s="82"/>
      <c r="Q460" s="32">
        <f>'13. Input desinvesteringen'!H373</f>
        <v>1689300</v>
      </c>
      <c r="R460" s="82">
        <f>'13. Input desinvesteringen'!I373</f>
        <v>2025</v>
      </c>
      <c r="S460" s="32">
        <f>'13. Input desinvesteringen'!J373</f>
        <v>7</v>
      </c>
      <c r="U460" s="76">
        <f t="shared" si="21"/>
        <v>0.9501178320392909</v>
      </c>
      <c r="V460" s="76">
        <f t="shared" si="22"/>
        <v>4.9882167960709101E-2</v>
      </c>
      <c r="X460" s="33" cm="1">
        <f t="array" ref="X460">((X$102=$R460)*((13-$S460)/12)+(X$102&gt;$R460))*$Q460*INDEX($J$13:$O$39,$N460-1999,X$102-2020)</f>
        <v>0</v>
      </c>
      <c r="Y460" s="33" cm="1">
        <f t="array" ref="Y460">((Y$102=$R460)*((13-$S460)/12)+(Y$102&gt;$R460))*$Q460*INDEX($J$13:$O$39,$N460-1999,Y$102-2020)</f>
        <v>0</v>
      </c>
      <c r="Z460" s="33" cm="1">
        <f t="array" ref="Z460">((Z$102=$R460)*((13-$S460)/12)+(Z$102&gt;$R460))*$Q460*INDEX($J$13:$O$39,$N460-1999,Z$102-2020)</f>
        <v>0</v>
      </c>
      <c r="AA460" s="33" cm="1">
        <f t="array" ref="AA460">((AA$102=$R460)*((13-$S460)/12)+(AA$102&gt;$R460))*$Q460*INDEX($J$13:$O$39,$N460-1999,AA$102-2020)</f>
        <v>0</v>
      </c>
      <c r="AB460" s="33" cm="1">
        <f t="array" ref="AB460">((AB$102=$R460)*((13-$S460)/12)+(AB$102&gt;$R460))*$Q460*INDEX($J$13:$O$39,$N460-1999,AB$102-2020)</f>
        <v>1281121.8468862984</v>
      </c>
      <c r="AC460" s="33" cm="1">
        <f t="array" ref="AC460">((AC$102=$R460)*((13-$S460)/12)+(AC$102&gt;$R460))*$Q460*INDEX($J$13:$O$39,$N460-1999,AC$102-2020)</f>
        <v>2633986.5171982297</v>
      </c>
    </row>
    <row r="461" spans="2:29" x14ac:dyDescent="0.2">
      <c r="B461" s="32">
        <f>'13. Input desinvesteringen'!B374</f>
        <v>358</v>
      </c>
      <c r="J461" s="32" t="str">
        <f>'13. Input desinvesteringen'!C374</f>
        <v>Transport</v>
      </c>
      <c r="K461" s="32" t="str">
        <f>'13. Input desinvesteringen'!D374</f>
        <v>HS</v>
      </c>
      <c r="L461" s="32" t="str">
        <f>'13. Input desinvesteringen'!E374</f>
        <v>Nee</v>
      </c>
      <c r="M461" s="32" t="str">
        <f>'13. Input desinvesteringen'!F374</f>
        <v>GAW ultimo 2000 Enexis</v>
      </c>
      <c r="N461" s="82">
        <f>'13. Input desinvesteringen'!G374</f>
        <v>2008</v>
      </c>
      <c r="O461" s="82"/>
      <c r="P461" s="82"/>
      <c r="Q461" s="32">
        <f>'13. Input desinvesteringen'!H374</f>
        <v>297685</v>
      </c>
      <c r="R461" s="82">
        <f>'13. Input desinvesteringen'!I374</f>
        <v>2025</v>
      </c>
      <c r="S461" s="32">
        <f>'13. Input desinvesteringen'!J374</f>
        <v>9</v>
      </c>
      <c r="U461" s="76">
        <f t="shared" si="21"/>
        <v>0.9501178320392909</v>
      </c>
      <c r="V461" s="76">
        <f t="shared" si="22"/>
        <v>4.9882167960709101E-2</v>
      </c>
      <c r="X461" s="33" cm="1">
        <f t="array" ref="X461">((X$102=$R461)*((13-$S461)/12)+(X$102&gt;$R461))*$Q461*INDEX($J$13:$O$39,$N461-1999,X$102-2020)</f>
        <v>0</v>
      </c>
      <c r="Y461" s="33" cm="1">
        <f t="array" ref="Y461">((Y$102=$R461)*((13-$S461)/12)+(Y$102&gt;$R461))*$Q461*INDEX($J$13:$O$39,$N461-1999,Y$102-2020)</f>
        <v>0</v>
      </c>
      <c r="Z461" s="33" cm="1">
        <f t="array" ref="Z461">((Z$102=$R461)*((13-$S461)/12)+(Z$102&gt;$R461))*$Q461*INDEX($J$13:$O$39,$N461-1999,Z$102-2020)</f>
        <v>0</v>
      </c>
      <c r="AA461" s="33" cm="1">
        <f t="array" ref="AA461">((AA$102=$R461)*((13-$S461)/12)+(AA$102&gt;$R461))*$Q461*INDEX($J$13:$O$39,$N461-1999,AA$102-2020)</f>
        <v>0</v>
      </c>
      <c r="AB461" s="33" cm="1">
        <f t="array" ref="AB461">((AB$102=$R461)*((13-$S461)/12)+(AB$102&gt;$R461))*$Q461*INDEX($J$13:$O$39,$N461-1999,AB$102-2020)</f>
        <v>150504.45233345081</v>
      </c>
      <c r="AC461" s="33" cm="1">
        <f t="array" ref="AC461">((AC$102=$R461)*((13-$S461)/12)+(AC$102&gt;$R461))*$Q461*INDEX($J$13:$O$39,$N461-1999,AC$102-2020)</f>
        <v>464155.73099636234</v>
      </c>
    </row>
    <row r="462" spans="2:29" x14ac:dyDescent="0.2">
      <c r="B462" s="32">
        <f>'13. Input desinvesteringen'!B375</f>
        <v>359</v>
      </c>
      <c r="J462" s="32" t="str">
        <f>'13. Input desinvesteringen'!C375</f>
        <v>Transport</v>
      </c>
      <c r="K462" s="32" t="str">
        <f>'13. Input desinvesteringen'!D375</f>
        <v>HS</v>
      </c>
      <c r="L462" s="32" t="str">
        <f>'13. Input desinvesteringen'!E375</f>
        <v>Nee</v>
      </c>
      <c r="M462" s="32" t="str">
        <f>'13. Input desinvesteringen'!F375</f>
        <v>GAW ultimo 2000 Enexis</v>
      </c>
      <c r="N462" s="82">
        <f>'13. Input desinvesteringen'!G375</f>
        <v>2008</v>
      </c>
      <c r="O462" s="82"/>
      <c r="P462" s="82"/>
      <c r="Q462" s="32">
        <f>'13. Input desinvesteringen'!H375</f>
        <v>29230</v>
      </c>
      <c r="R462" s="82">
        <f>'13. Input desinvesteringen'!I375</f>
        <v>2025</v>
      </c>
      <c r="S462" s="32">
        <f>'13. Input desinvesteringen'!J375</f>
        <v>10</v>
      </c>
      <c r="U462" s="76">
        <f t="shared" si="21"/>
        <v>0.9501178320392909</v>
      </c>
      <c r="V462" s="76">
        <f t="shared" si="22"/>
        <v>4.9882167960709101E-2</v>
      </c>
      <c r="X462" s="33" cm="1">
        <f t="array" ref="X462">((X$102=$R462)*((13-$S462)/12)+(X$102&gt;$R462))*$Q462*INDEX($J$13:$O$39,$N462-1999,X$102-2020)</f>
        <v>0</v>
      </c>
      <c r="Y462" s="33" cm="1">
        <f t="array" ref="Y462">((Y$102=$R462)*((13-$S462)/12)+(Y$102&gt;$R462))*$Q462*INDEX($J$13:$O$39,$N462-1999,Y$102-2020)</f>
        <v>0</v>
      </c>
      <c r="Z462" s="33" cm="1">
        <f t="array" ref="Z462">((Z$102=$R462)*((13-$S462)/12)+(Z$102&gt;$R462))*$Q462*INDEX($J$13:$O$39,$N462-1999,Z$102-2020)</f>
        <v>0</v>
      </c>
      <c r="AA462" s="33" cm="1">
        <f t="array" ref="AA462">((AA$102=$R462)*((13-$S462)/12)+(AA$102&gt;$R462))*$Q462*INDEX($J$13:$O$39,$N462-1999,AA$102-2020)</f>
        <v>0</v>
      </c>
      <c r="AB462" s="33" cm="1">
        <f t="array" ref="AB462">((AB$102=$R462)*((13-$S462)/12)+(AB$102&gt;$R462))*$Q462*INDEX($J$13:$O$39,$N462-1999,AB$102-2020)</f>
        <v>11083.641622117593</v>
      </c>
      <c r="AC462" s="33" cm="1">
        <f t="array" ref="AC462">((AC$102=$R462)*((13-$S462)/12)+(AC$102&gt;$R462))*$Q462*INDEX($J$13:$O$39,$N462-1999,AC$102-2020)</f>
        <v>45575.934350147545</v>
      </c>
    </row>
    <row r="463" spans="2:29" x14ac:dyDescent="0.2">
      <c r="B463" s="32">
        <f>'13. Input desinvesteringen'!B376</f>
        <v>360</v>
      </c>
      <c r="J463" s="32" t="str">
        <f>'13. Input desinvesteringen'!C376</f>
        <v>Transport</v>
      </c>
      <c r="K463" s="32" t="str">
        <f>'13. Input desinvesteringen'!D376</f>
        <v>HS</v>
      </c>
      <c r="L463" s="32" t="str">
        <f>'13. Input desinvesteringen'!E376</f>
        <v>Nee</v>
      </c>
      <c r="M463" s="32" t="str">
        <f>'13. Input desinvesteringen'!F376</f>
        <v>GAW ultimo 2000 Enexis</v>
      </c>
      <c r="N463" s="82">
        <f>'13. Input desinvesteringen'!G376</f>
        <v>2008</v>
      </c>
      <c r="O463" s="82"/>
      <c r="P463" s="82"/>
      <c r="Q463" s="32">
        <f>'13. Input desinvesteringen'!H376</f>
        <v>1713</v>
      </c>
      <c r="R463" s="82">
        <f>'13. Input desinvesteringen'!I376</f>
        <v>2025</v>
      </c>
      <c r="S463" s="32">
        <f>'13. Input desinvesteringen'!J376</f>
        <v>11</v>
      </c>
      <c r="U463" s="76">
        <f t="shared" si="21"/>
        <v>0.9501178320392909</v>
      </c>
      <c r="V463" s="76">
        <f t="shared" si="22"/>
        <v>4.9882167960709101E-2</v>
      </c>
      <c r="X463" s="33" cm="1">
        <f t="array" ref="X463">((X$102=$R463)*((13-$S463)/12)+(X$102&gt;$R463))*$Q463*INDEX($J$13:$O$39,$N463-1999,X$102-2020)</f>
        <v>0</v>
      </c>
      <c r="Y463" s="33" cm="1">
        <f t="array" ref="Y463">((Y$102=$R463)*((13-$S463)/12)+(Y$102&gt;$R463))*$Q463*INDEX($J$13:$O$39,$N463-1999,Y$102-2020)</f>
        <v>0</v>
      </c>
      <c r="Z463" s="33" cm="1">
        <f t="array" ref="Z463">((Z$102=$R463)*((13-$S463)/12)+(Z$102&gt;$R463))*$Q463*INDEX($J$13:$O$39,$N463-1999,Z$102-2020)</f>
        <v>0</v>
      </c>
      <c r="AA463" s="33" cm="1">
        <f t="array" ref="AA463">((AA$102=$R463)*((13-$S463)/12)+(AA$102&gt;$R463))*$Q463*INDEX($J$13:$O$39,$N463-1999,AA$102-2020)</f>
        <v>0</v>
      </c>
      <c r="AB463" s="33" cm="1">
        <f t="array" ref="AB463">((AB$102=$R463)*((13-$S463)/12)+(AB$102&gt;$R463))*$Q463*INDEX($J$13:$O$39,$N463-1999,AB$102-2020)</f>
        <v>433.03177326234322</v>
      </c>
      <c r="AC463" s="33" cm="1">
        <f t="array" ref="AC463">((AC$102=$R463)*((13-$S463)/12)+(AC$102&gt;$R463))*$Q463*INDEX($J$13:$O$39,$N463-1999,AC$102-2020)</f>
        <v>2670.9399774821327</v>
      </c>
    </row>
    <row r="464" spans="2:29" x14ac:dyDescent="0.2">
      <c r="B464" s="32">
        <f>'13. Input desinvesteringen'!B377</f>
        <v>361</v>
      </c>
      <c r="J464" s="32" t="str">
        <f>'13. Input desinvesteringen'!C377</f>
        <v>Transport</v>
      </c>
      <c r="K464" s="32" t="str">
        <f>'13. Input desinvesteringen'!D377</f>
        <v>HS</v>
      </c>
      <c r="L464" s="32" t="str">
        <f>'13. Input desinvesteringen'!E377</f>
        <v>Nee</v>
      </c>
      <c r="M464" s="32" t="str">
        <f>'13. Input desinvesteringen'!F377</f>
        <v>GAW ultimo 2000 Enexis</v>
      </c>
      <c r="N464" s="82">
        <f>'13. Input desinvesteringen'!G377</f>
        <v>2008</v>
      </c>
      <c r="O464" s="82"/>
      <c r="P464" s="82"/>
      <c r="Q464" s="32">
        <f>'13. Input desinvesteringen'!H377</f>
        <v>718681</v>
      </c>
      <c r="R464" s="82">
        <f>'13. Input desinvesteringen'!I377</f>
        <v>2025</v>
      </c>
      <c r="S464" s="32">
        <f>'13. Input desinvesteringen'!J377</f>
        <v>12</v>
      </c>
      <c r="U464" s="76">
        <f t="shared" si="21"/>
        <v>0.9501178320392909</v>
      </c>
      <c r="V464" s="76">
        <f t="shared" si="22"/>
        <v>4.9882167960709101E-2</v>
      </c>
      <c r="X464" s="33" cm="1">
        <f t="array" ref="X464">((X$102=$R464)*((13-$S464)/12)+(X$102&gt;$R464))*$Q464*INDEX($J$13:$O$39,$N464-1999,X$102-2020)</f>
        <v>0</v>
      </c>
      <c r="Y464" s="33" cm="1">
        <f t="array" ref="Y464">((Y$102=$R464)*((13-$S464)/12)+(Y$102&gt;$R464))*$Q464*INDEX($J$13:$O$39,$N464-1999,Y$102-2020)</f>
        <v>0</v>
      </c>
      <c r="Z464" s="33" cm="1">
        <f t="array" ref="Z464">((Z$102=$R464)*((13-$S464)/12)+(Z$102&gt;$R464))*$Q464*INDEX($J$13:$O$39,$N464-1999,Z$102-2020)</f>
        <v>0</v>
      </c>
      <c r="AA464" s="33" cm="1">
        <f t="array" ref="AA464">((AA$102=$R464)*((13-$S464)/12)+(AA$102&gt;$R464))*$Q464*INDEX($J$13:$O$39,$N464-1999,AA$102-2020)</f>
        <v>0</v>
      </c>
      <c r="AB464" s="33" cm="1">
        <f t="array" ref="AB464">((AB$102=$R464)*((13-$S464)/12)+(AB$102&gt;$R464))*$Q464*INDEX($J$13:$O$39,$N464-1999,AB$102-2020)</f>
        <v>90838.210110903106</v>
      </c>
      <c r="AC464" s="33" cm="1">
        <f t="array" ref="AC464">((AC$102=$R464)*((13-$S464)/12)+(AC$102&gt;$R464))*$Q464*INDEX($J$13:$O$39,$N464-1999,AC$102-2020)</f>
        <v>1120580.1599281009</v>
      </c>
    </row>
    <row r="465" spans="2:29" x14ac:dyDescent="0.2">
      <c r="B465" s="32">
        <f>'13. Input desinvesteringen'!B378</f>
        <v>362</v>
      </c>
      <c r="J465" s="32" t="str">
        <f>'13. Input desinvesteringen'!C378</f>
        <v>Transport</v>
      </c>
      <c r="K465" s="32" t="str">
        <f>'13. Input desinvesteringen'!D378</f>
        <v>HS</v>
      </c>
      <c r="L465" s="32" t="str">
        <f>'13. Input desinvesteringen'!E378</f>
        <v>Nee</v>
      </c>
      <c r="M465" s="32" t="str">
        <f>'13. Input desinvesteringen'!F378</f>
        <v>GAW ultimo 2000 TZH</v>
      </c>
      <c r="N465" s="82">
        <f>'13. Input desinvesteringen'!G378</f>
        <v>2008</v>
      </c>
      <c r="O465" s="82"/>
      <c r="P465" s="82"/>
      <c r="Q465" s="32">
        <f>'13. Input desinvesteringen'!H378</f>
        <v>349206</v>
      </c>
      <c r="R465" s="82">
        <f>'13. Input desinvesteringen'!I378</f>
        <v>2025</v>
      </c>
      <c r="S465" s="32">
        <f>'13. Input desinvesteringen'!J378</f>
        <v>5</v>
      </c>
      <c r="U465" s="76">
        <f t="shared" si="21"/>
        <v>0.9501178320392909</v>
      </c>
      <c r="V465" s="76">
        <f t="shared" si="22"/>
        <v>4.9882167960709101E-2</v>
      </c>
      <c r="X465" s="33" cm="1">
        <f t="array" ref="X465">((X$102=$R465)*((13-$S465)/12)+(X$102&gt;$R465))*$Q465*INDEX($J$13:$O$39,$N465-1999,X$102-2020)</f>
        <v>0</v>
      </c>
      <c r="Y465" s="33" cm="1">
        <f t="array" ref="Y465">((Y$102=$R465)*((13-$S465)/12)+(Y$102&gt;$R465))*$Q465*INDEX($J$13:$O$39,$N465-1999,Y$102-2020)</f>
        <v>0</v>
      </c>
      <c r="Z465" s="33" cm="1">
        <f t="array" ref="Z465">((Z$102=$R465)*((13-$S465)/12)+(Z$102&gt;$R465))*$Q465*INDEX($J$13:$O$39,$N465-1999,Z$102-2020)</f>
        <v>0</v>
      </c>
      <c r="AA465" s="33" cm="1">
        <f t="array" ref="AA465">((AA$102=$R465)*((13-$S465)/12)+(AA$102&gt;$R465))*$Q465*INDEX($J$13:$O$39,$N465-1999,AA$102-2020)</f>
        <v>0</v>
      </c>
      <c r="AB465" s="33" cm="1">
        <f t="array" ref="AB465">((AB$102=$R465)*((13-$S465)/12)+(AB$102&gt;$R465))*$Q465*INDEX($J$13:$O$39,$N465-1999,AB$102-2020)</f>
        <v>353105.18018412101</v>
      </c>
      <c r="AC465" s="33" cm="1">
        <f t="array" ref="AC465">((AC$102=$R465)*((13-$S465)/12)+(AC$102&gt;$R465))*$Q465*INDEX($J$13:$O$39,$N465-1999,AC$102-2020)</f>
        <v>544488.18784391461</v>
      </c>
    </row>
    <row r="466" spans="2:29" x14ac:dyDescent="0.2">
      <c r="B466" s="32">
        <f>'13. Input desinvesteringen'!B379</f>
        <v>363</v>
      </c>
      <c r="J466" s="32" t="str">
        <f>'13. Input desinvesteringen'!C379</f>
        <v>Transport</v>
      </c>
      <c r="K466" s="32" t="str">
        <f>'13. Input desinvesteringen'!D379</f>
        <v>HS</v>
      </c>
      <c r="L466" s="32" t="str">
        <f>'13. Input desinvesteringen'!E379</f>
        <v>Nee</v>
      </c>
      <c r="M466" s="32" t="str">
        <f>'13. Input desinvesteringen'!F379</f>
        <v>GAW ultimo 2000 TZH</v>
      </c>
      <c r="N466" s="82">
        <f>'13. Input desinvesteringen'!G379</f>
        <v>2008</v>
      </c>
      <c r="O466" s="82"/>
      <c r="P466" s="82"/>
      <c r="Q466" s="32">
        <f>'13. Input desinvesteringen'!H379</f>
        <v>122116</v>
      </c>
      <c r="R466" s="82">
        <f>'13. Input desinvesteringen'!I379</f>
        <v>2025</v>
      </c>
      <c r="S466" s="32">
        <f>'13. Input desinvesteringen'!J379</f>
        <v>10</v>
      </c>
      <c r="U466" s="76">
        <f t="shared" si="21"/>
        <v>0.9501178320392909</v>
      </c>
      <c r="V466" s="76">
        <f t="shared" si="22"/>
        <v>4.9882167960709101E-2</v>
      </c>
      <c r="X466" s="33" cm="1">
        <f t="array" ref="X466">((X$102=$R466)*((13-$S466)/12)+(X$102&gt;$R466))*$Q466*INDEX($J$13:$O$39,$N466-1999,X$102-2020)</f>
        <v>0</v>
      </c>
      <c r="Y466" s="33" cm="1">
        <f t="array" ref="Y466">((Y$102=$R466)*((13-$S466)/12)+(Y$102&gt;$R466))*$Q466*INDEX($J$13:$O$39,$N466-1999,Y$102-2020)</f>
        <v>0</v>
      </c>
      <c r="Z466" s="33" cm="1">
        <f t="array" ref="Z466">((Z$102=$R466)*((13-$S466)/12)+(Z$102&gt;$R466))*$Q466*INDEX($J$13:$O$39,$N466-1999,Z$102-2020)</f>
        <v>0</v>
      </c>
      <c r="AA466" s="33" cm="1">
        <f t="array" ref="AA466">((AA$102=$R466)*((13-$S466)/12)+(AA$102&gt;$R466))*$Q466*INDEX($J$13:$O$39,$N466-1999,AA$102-2020)</f>
        <v>0</v>
      </c>
      <c r="AB466" s="33" cm="1">
        <f t="array" ref="AB466">((AB$102=$R466)*((13-$S466)/12)+(AB$102&gt;$R466))*$Q466*INDEX($J$13:$O$39,$N466-1999,AB$102-2020)</f>
        <v>46304.823138094835</v>
      </c>
      <c r="AC466" s="33" cm="1">
        <f t="array" ref="AC466">((AC$102=$R466)*((13-$S466)/12)+(AC$102&gt;$R466))*$Q466*INDEX($J$13:$O$39,$N466-1999,AC$102-2020)</f>
        <v>190405.43274384597</v>
      </c>
    </row>
    <row r="467" spans="2:29" x14ac:dyDescent="0.2">
      <c r="B467" s="32">
        <f>'13. Input desinvesteringen'!B380</f>
        <v>364</v>
      </c>
      <c r="J467" s="32" t="str">
        <f>'13. Input desinvesteringen'!C380</f>
        <v>Transport</v>
      </c>
      <c r="K467" s="32" t="str">
        <f>'13. Input desinvesteringen'!D380</f>
        <v>HS</v>
      </c>
      <c r="L467" s="32" t="str">
        <f>'13. Input desinvesteringen'!E380</f>
        <v>Nee</v>
      </c>
      <c r="M467" s="32" t="str">
        <f>'13. Input desinvesteringen'!F380</f>
        <v>GAW ultimo 2000 TZH</v>
      </c>
      <c r="N467" s="82">
        <f>'13. Input desinvesteringen'!G380</f>
        <v>2008</v>
      </c>
      <c r="O467" s="82"/>
      <c r="P467" s="82"/>
      <c r="Q467" s="32">
        <f>'13. Input desinvesteringen'!H380</f>
        <v>112878</v>
      </c>
      <c r="R467" s="82">
        <f>'13. Input desinvesteringen'!I380</f>
        <v>2025</v>
      </c>
      <c r="S467" s="32">
        <f>'13. Input desinvesteringen'!J380</f>
        <v>11</v>
      </c>
      <c r="U467" s="76">
        <f t="shared" si="21"/>
        <v>0.9501178320392909</v>
      </c>
      <c r="V467" s="76">
        <f t="shared" si="22"/>
        <v>4.9882167960709101E-2</v>
      </c>
      <c r="X467" s="33" cm="1">
        <f t="array" ref="X467">((X$102=$R467)*((13-$S467)/12)+(X$102&gt;$R467))*$Q467*INDEX($J$13:$O$39,$N467-1999,X$102-2020)</f>
        <v>0</v>
      </c>
      <c r="Y467" s="33" cm="1">
        <f t="array" ref="Y467">((Y$102=$R467)*((13-$S467)/12)+(Y$102&gt;$R467))*$Q467*INDEX($J$13:$O$39,$N467-1999,Y$102-2020)</f>
        <v>0</v>
      </c>
      <c r="Z467" s="33" cm="1">
        <f t="array" ref="Z467">((Z$102=$R467)*((13-$S467)/12)+(Z$102&gt;$R467))*$Q467*INDEX($J$13:$O$39,$N467-1999,Z$102-2020)</f>
        <v>0</v>
      </c>
      <c r="AA467" s="33" cm="1">
        <f t="array" ref="AA467">((AA$102=$R467)*((13-$S467)/12)+(AA$102&gt;$R467))*$Q467*INDEX($J$13:$O$39,$N467-1999,AA$102-2020)</f>
        <v>0</v>
      </c>
      <c r="AB467" s="33" cm="1">
        <f t="array" ref="AB467">((AB$102=$R467)*((13-$S467)/12)+(AB$102&gt;$R467))*$Q467*INDEX($J$13:$O$39,$N467-1999,AB$102-2020)</f>
        <v>28534.594572274826</v>
      </c>
      <c r="AC467" s="33" cm="1">
        <f t="array" ref="AC467">((AC$102=$R467)*((13-$S467)/12)+(AC$102&gt;$R467))*$Q467*INDEX($J$13:$O$39,$N467-1999,AC$102-2020)</f>
        <v>176001.37932179112</v>
      </c>
    </row>
    <row r="468" spans="2:29" x14ac:dyDescent="0.2">
      <c r="B468" s="32">
        <f>'13. Input desinvesteringen'!B381</f>
        <v>365</v>
      </c>
      <c r="J468" s="32" t="str">
        <f>'13. Input desinvesteringen'!C381</f>
        <v>Transport</v>
      </c>
      <c r="K468" s="32" t="str">
        <f>'13. Input desinvesteringen'!D381</f>
        <v>HS</v>
      </c>
      <c r="L468" s="32" t="str">
        <f>'13. Input desinvesteringen'!E381</f>
        <v>Nee</v>
      </c>
      <c r="M468" s="32" t="str">
        <f>'13. Input desinvesteringen'!F381</f>
        <v>GAW ultimo 2000 TZH</v>
      </c>
      <c r="N468" s="82">
        <f>'13. Input desinvesteringen'!G381</f>
        <v>2008</v>
      </c>
      <c r="O468" s="82"/>
      <c r="P468" s="82"/>
      <c r="Q468" s="32">
        <f>'13. Input desinvesteringen'!H381</f>
        <v>166537</v>
      </c>
      <c r="R468" s="82">
        <f>'13. Input desinvesteringen'!I381</f>
        <v>2025</v>
      </c>
      <c r="S468" s="32">
        <f>'13. Input desinvesteringen'!J381</f>
        <v>12</v>
      </c>
      <c r="U468" s="76">
        <f t="shared" si="21"/>
        <v>0.9501178320392909</v>
      </c>
      <c r="V468" s="76">
        <f t="shared" si="22"/>
        <v>4.9882167960709101E-2</v>
      </c>
      <c r="X468" s="33" cm="1">
        <f t="array" ref="X468">((X$102=$R468)*((13-$S468)/12)+(X$102&gt;$R468))*$Q468*INDEX($J$13:$O$39,$N468-1999,X$102-2020)</f>
        <v>0</v>
      </c>
      <c r="Y468" s="33" cm="1">
        <f t="array" ref="Y468">((Y$102=$R468)*((13-$S468)/12)+(Y$102&gt;$R468))*$Q468*INDEX($J$13:$O$39,$N468-1999,Y$102-2020)</f>
        <v>0</v>
      </c>
      <c r="Z468" s="33" cm="1">
        <f t="array" ref="Z468">((Z$102=$R468)*((13-$S468)/12)+(Z$102&gt;$R468))*$Q468*INDEX($J$13:$O$39,$N468-1999,Z$102-2020)</f>
        <v>0</v>
      </c>
      <c r="AA468" s="33" cm="1">
        <f t="array" ref="AA468">((AA$102=$R468)*((13-$S468)/12)+(AA$102&gt;$R468))*$Q468*INDEX($J$13:$O$39,$N468-1999,AA$102-2020)</f>
        <v>0</v>
      </c>
      <c r="AB468" s="33" cm="1">
        <f t="array" ref="AB468">((AB$102=$R468)*((13-$S468)/12)+(AB$102&gt;$R468))*$Q468*INDEX($J$13:$O$39,$N468-1999,AB$102-2020)</f>
        <v>21049.565797954128</v>
      </c>
      <c r="AC468" s="33" cm="1">
        <f t="array" ref="AC468">((AC$102=$R468)*((13-$S468)/12)+(AC$102&gt;$R468))*$Q468*INDEX($J$13:$O$39,$N468-1999,AC$102-2020)</f>
        <v>259667.44368356216</v>
      </c>
    </row>
    <row r="469" spans="2:29" x14ac:dyDescent="0.2">
      <c r="B469" s="32">
        <f>'13. Input desinvesteringen'!B382</f>
        <v>366</v>
      </c>
      <c r="J469" s="32" t="str">
        <f>'13. Input desinvesteringen'!C382</f>
        <v>Transport</v>
      </c>
      <c r="K469" s="32" t="str">
        <f>'13. Input desinvesteringen'!D382</f>
        <v>HS</v>
      </c>
      <c r="L469" s="32" t="str">
        <f>'13. Input desinvesteringen'!E382</f>
        <v>Nee</v>
      </c>
      <c r="M469" s="32" t="str">
        <f>'13. Input desinvesteringen'!F382</f>
        <v>GAW ultimo 2000 Stedin - HS Utrecht (ENBU)</v>
      </c>
      <c r="N469" s="82">
        <f>'13. Input desinvesteringen'!G382</f>
        <v>2015</v>
      </c>
      <c r="O469" s="82"/>
      <c r="P469" s="82"/>
      <c r="Q469" s="32">
        <f>'13. Input desinvesteringen'!H382</f>
        <v>53213</v>
      </c>
      <c r="R469" s="82">
        <f>'13. Input desinvesteringen'!I382</f>
        <v>2025</v>
      </c>
      <c r="S469" s="32">
        <f>'13. Input desinvesteringen'!J382</f>
        <v>8</v>
      </c>
      <c r="U469" s="76">
        <f t="shared" si="21"/>
        <v>0.8732220164530794</v>
      </c>
      <c r="V469" s="76">
        <f t="shared" si="22"/>
        <v>0.1267779835469206</v>
      </c>
      <c r="X469" s="33" cm="1">
        <f t="array" ref="X469">((X$102=$R469)*((13-$S469)/12)+(X$102&gt;$R469))*$Q469*INDEX($J$13:$O$39,$N469-1999,X$102-2020)</f>
        <v>0</v>
      </c>
      <c r="Y469" s="33" cm="1">
        <f t="array" ref="Y469">((Y$102=$R469)*((13-$S469)/12)+(Y$102&gt;$R469))*$Q469*INDEX($J$13:$O$39,$N469-1999,Y$102-2020)</f>
        <v>0</v>
      </c>
      <c r="Z469" s="33" cm="1">
        <f t="array" ref="Z469">((Z$102=$R469)*((13-$S469)/12)+(Z$102&gt;$R469))*$Q469*INDEX($J$13:$O$39,$N469-1999,Z$102-2020)</f>
        <v>0</v>
      </c>
      <c r="AA469" s="33" cm="1">
        <f t="array" ref="AA469">((AA$102=$R469)*((13-$S469)/12)+(AA$102&gt;$R469))*$Q469*INDEX($J$13:$O$39,$N469-1999,AA$102-2020)</f>
        <v>0</v>
      </c>
      <c r="AB469" s="33" cm="1">
        <f t="array" ref="AB469">((AB$102=$R469)*((13-$S469)/12)+(AB$102&gt;$R469))*$Q469*INDEX($J$13:$O$39,$N469-1999,AB$102-2020)</f>
        <v>29372.167593915972</v>
      </c>
      <c r="AC469" s="33" cm="1">
        <f t="array" ref="AC469">((AC$102=$R469)*((13-$S469)/12)+(AC$102&gt;$R469))*$Q469*INDEX($J$13:$O$39,$N469-1999,AC$102-2020)</f>
        <v>72467.011887709479</v>
      </c>
    </row>
    <row r="470" spans="2:29" x14ac:dyDescent="0.2">
      <c r="B470" s="32">
        <f>'13. Input desinvesteringen'!B383</f>
        <v>367</v>
      </c>
      <c r="J470" s="32" t="str">
        <f>'13. Input desinvesteringen'!C383</f>
        <v>Transport</v>
      </c>
      <c r="K470" s="32" t="str">
        <f>'13. Input desinvesteringen'!D383</f>
        <v>HS</v>
      </c>
      <c r="L470" s="32" t="str">
        <f>'13. Input desinvesteringen'!E383</f>
        <v>Nee</v>
      </c>
      <c r="M470" s="32" t="str">
        <f>'13. Input desinvesteringen'!F383</f>
        <v>GAW ultimo 2000 Delta</v>
      </c>
      <c r="N470" s="82">
        <f>'13. Input desinvesteringen'!G383</f>
        <v>2008</v>
      </c>
      <c r="O470" s="82"/>
      <c r="P470" s="82"/>
      <c r="Q470" s="32">
        <f>'13. Input desinvesteringen'!H383</f>
        <v>517300</v>
      </c>
      <c r="R470" s="82">
        <f>'13. Input desinvesteringen'!I383</f>
        <v>2025</v>
      </c>
      <c r="S470" s="32">
        <f>'13. Input desinvesteringen'!J383</f>
        <v>5</v>
      </c>
      <c r="U470" s="76">
        <f t="shared" si="21"/>
        <v>0.9501178320392909</v>
      </c>
      <c r="V470" s="76">
        <f t="shared" si="22"/>
        <v>4.9882167960709101E-2</v>
      </c>
      <c r="X470" s="33" cm="1">
        <f t="array" ref="X470">((X$102=$R470)*((13-$S470)/12)+(X$102&gt;$R470))*$Q470*INDEX($J$13:$O$39,$N470-1999,X$102-2020)</f>
        <v>0</v>
      </c>
      <c r="Y470" s="33" cm="1">
        <f t="array" ref="Y470">((Y$102=$R470)*((13-$S470)/12)+(Y$102&gt;$R470))*$Q470*INDEX($J$13:$O$39,$N470-1999,Y$102-2020)</f>
        <v>0</v>
      </c>
      <c r="Z470" s="33" cm="1">
        <f t="array" ref="Z470">((Z$102=$R470)*((13-$S470)/12)+(Z$102&gt;$R470))*$Q470*INDEX($J$13:$O$39,$N470-1999,Z$102-2020)</f>
        <v>0</v>
      </c>
      <c r="AA470" s="33" cm="1">
        <f t="array" ref="AA470">((AA$102=$R470)*((13-$S470)/12)+(AA$102&gt;$R470))*$Q470*INDEX($J$13:$O$39,$N470-1999,AA$102-2020)</f>
        <v>0</v>
      </c>
      <c r="AB470" s="33" cm="1">
        <f t="array" ref="AB470">((AB$102=$R470)*((13-$S470)/12)+(AB$102&gt;$R470))*$Q470*INDEX($J$13:$O$39,$N470-1999,AB$102-2020)</f>
        <v>523076.09178893198</v>
      </c>
      <c r="AC470" s="33" cm="1">
        <f t="array" ref="AC470">((AC$102=$R470)*((13-$S470)/12)+(AC$102&gt;$R470))*$Q470*INDEX($J$13:$O$39,$N470-1999,AC$102-2020)</f>
        <v>806583.33353853319</v>
      </c>
    </row>
    <row r="471" spans="2:29" x14ac:dyDescent="0.2">
      <c r="B471" s="32">
        <f>'13. Input desinvesteringen'!B384</f>
        <v>368</v>
      </c>
      <c r="J471" s="32" t="str">
        <f>'13. Input desinvesteringen'!C384</f>
        <v>Transport</v>
      </c>
      <c r="K471" s="32" t="str">
        <f>'13. Input desinvesteringen'!D384</f>
        <v>EHS</v>
      </c>
      <c r="L471" s="32" t="str">
        <f>'13. Input desinvesteringen'!E384</f>
        <v>Nee</v>
      </c>
      <c r="M471" s="32" t="str">
        <f>'13. Input desinvesteringen'!F384</f>
        <v>GAW ultimo 2000 EHS OUD</v>
      </c>
      <c r="N471" s="82">
        <f>'13. Input desinvesteringen'!G384</f>
        <v>2000</v>
      </c>
      <c r="O471" s="82"/>
      <c r="P471" s="82"/>
      <c r="Q471" s="32">
        <f>'13. Input desinvesteringen'!H384</f>
        <v>100235</v>
      </c>
      <c r="R471" s="82">
        <f>'13. Input desinvesteringen'!I384</f>
        <v>2025</v>
      </c>
      <c r="S471" s="32">
        <f>'13. Input desinvesteringen'!J384</f>
        <v>5</v>
      </c>
      <c r="U471" s="76">
        <f t="shared" si="21"/>
        <v>0.97443793491415276</v>
      </c>
      <c r="V471" s="76">
        <f t="shared" si="22"/>
        <v>2.5562065085847241E-2</v>
      </c>
      <c r="X471" s="33" cm="1">
        <f t="array" ref="X471">((X$102=$R471)*((13-$S471)/12)+(X$102&gt;$R471))*$Q471*INDEX($J$13:$O$39,$N471-1999,X$102-2020)</f>
        <v>0</v>
      </c>
      <c r="Y471" s="33" cm="1">
        <f t="array" ref="Y471">((Y$102=$R471)*((13-$S471)/12)+(Y$102&gt;$R471))*$Q471*INDEX($J$13:$O$39,$N471-1999,Y$102-2020)</f>
        <v>0</v>
      </c>
      <c r="Z471" s="33" cm="1">
        <f t="array" ref="Z471">((Z$102=$R471)*((13-$S471)/12)+(Z$102&gt;$R471))*$Q471*INDEX($J$13:$O$39,$N471-1999,Z$102-2020)</f>
        <v>0</v>
      </c>
      <c r="AA471" s="33" cm="1">
        <f t="array" ref="AA471">((AA$102=$R471)*((13-$S471)/12)+(AA$102&gt;$R471))*$Q471*INDEX($J$13:$O$39,$N471-1999,AA$102-2020)</f>
        <v>0</v>
      </c>
      <c r="AB471" s="33" cm="1">
        <f t="array" ref="AB471">((AB$102=$R471)*((13-$S471)/12)+(AB$102&gt;$R471))*$Q471*INDEX($J$13:$O$39,$N471-1999,AB$102-2020)</f>
        <v>121039.31058402816</v>
      </c>
      <c r="AC471" s="33" cm="1">
        <f t="array" ref="AC471">((AC$102=$R471)*((13-$S471)/12)+(AC$102&gt;$R471))*$Q471*INDEX($J$13:$O$39,$N471-1999,AC$102-2020)</f>
        <v>186642.61692057142</v>
      </c>
    </row>
    <row r="472" spans="2:29" x14ac:dyDescent="0.2">
      <c r="B472" s="32">
        <f>'13. Input desinvesteringen'!B385</f>
        <v>369</v>
      </c>
      <c r="J472" s="32" t="str">
        <f>'13. Input desinvesteringen'!C385</f>
        <v>Transport</v>
      </c>
      <c r="K472" s="32" t="str">
        <f>'13. Input desinvesteringen'!D385</f>
        <v>EHS</v>
      </c>
      <c r="L472" s="32" t="str">
        <f>'13. Input desinvesteringen'!E385</f>
        <v>Nee</v>
      </c>
      <c r="M472" s="32" t="str">
        <f>'13. Input desinvesteringen'!F385</f>
        <v>GAW ultimo 2000 EHS OUD</v>
      </c>
      <c r="N472" s="82">
        <f>'13. Input desinvesteringen'!G385</f>
        <v>2000</v>
      </c>
      <c r="O472" s="82"/>
      <c r="P472" s="82"/>
      <c r="Q472" s="32">
        <f>'13. Input desinvesteringen'!H385</f>
        <v>229442</v>
      </c>
      <c r="R472" s="82">
        <f>'13. Input desinvesteringen'!I385</f>
        <v>2025</v>
      </c>
      <c r="S472" s="32">
        <f>'13. Input desinvesteringen'!J385</f>
        <v>3</v>
      </c>
      <c r="U472" s="76">
        <f t="shared" si="21"/>
        <v>0.97443793491415276</v>
      </c>
      <c r="V472" s="76">
        <f t="shared" si="22"/>
        <v>2.5562065085847241E-2</v>
      </c>
      <c r="X472" s="33" cm="1">
        <f t="array" ref="X472">((X$102=$R472)*((13-$S472)/12)+(X$102&gt;$R472))*$Q472*INDEX($J$13:$O$39,$N472-1999,X$102-2020)</f>
        <v>0</v>
      </c>
      <c r="Y472" s="33" cm="1">
        <f t="array" ref="Y472">((Y$102=$R472)*((13-$S472)/12)+(Y$102&gt;$R472))*$Q472*INDEX($J$13:$O$39,$N472-1999,Y$102-2020)</f>
        <v>0</v>
      </c>
      <c r="Z472" s="33" cm="1">
        <f t="array" ref="Z472">((Z$102=$R472)*((13-$S472)/12)+(Z$102&gt;$R472))*$Q472*INDEX($J$13:$O$39,$N472-1999,Z$102-2020)</f>
        <v>0</v>
      </c>
      <c r="AA472" s="33" cm="1">
        <f t="array" ref="AA472">((AA$102=$R472)*((13-$S472)/12)+(AA$102&gt;$R472))*$Q472*INDEX($J$13:$O$39,$N472-1999,AA$102-2020)</f>
        <v>0</v>
      </c>
      <c r="AB472" s="33" cm="1">
        <f t="array" ref="AB472">((AB$102=$R472)*((13-$S472)/12)+(AB$102&gt;$R472))*$Q472*INDEX($J$13:$O$39,$N472-1999,AB$102-2020)</f>
        <v>346329.89348806045</v>
      </c>
      <c r="AC472" s="33" cm="1">
        <f t="array" ref="AC472">((AC$102=$R472)*((13-$S472)/12)+(AC$102&gt;$R472))*$Q472*INDEX($J$13:$O$39,$N472-1999,AC$102-2020)</f>
        <v>427232.55660687137</v>
      </c>
    </row>
    <row r="473" spans="2:29" x14ac:dyDescent="0.2">
      <c r="B473" s="32">
        <f>'13. Input desinvesteringen'!B386</f>
        <v>370</v>
      </c>
      <c r="J473" s="32" t="str">
        <f>'13. Input desinvesteringen'!C386</f>
        <v>Transport</v>
      </c>
      <c r="K473" s="32" t="str">
        <f>'13. Input desinvesteringen'!D386</f>
        <v>HS</v>
      </c>
      <c r="L473" s="32" t="str">
        <f>'13. Input desinvesteringen'!E386</f>
        <v>Nee</v>
      </c>
      <c r="M473" s="32" t="str">
        <f>'13. Input desinvesteringen'!F386</f>
        <v>GAW ultimo 2000 Liander (overname: 2008)</v>
      </c>
      <c r="N473" s="82">
        <f>'13. Input desinvesteringen'!G386</f>
        <v>2008</v>
      </c>
      <c r="O473" s="82"/>
      <c r="P473" s="82"/>
      <c r="Q473" s="32">
        <f>'13. Input desinvesteringen'!H386</f>
        <v>48602</v>
      </c>
      <c r="R473" s="82">
        <f>'13. Input desinvesteringen'!I386</f>
        <v>2025</v>
      </c>
      <c r="S473" s="32">
        <f>'13. Input desinvesteringen'!J386</f>
        <v>12</v>
      </c>
      <c r="U473" s="76">
        <f t="shared" si="21"/>
        <v>0.9501178320392909</v>
      </c>
      <c r="V473" s="76">
        <f t="shared" si="22"/>
        <v>4.9882167960709101E-2</v>
      </c>
      <c r="X473" s="33" cm="1">
        <f t="array" ref="X473">((X$102=$R473)*((13-$S473)/12)+(X$102&gt;$R473))*$Q473*INDEX($J$13:$O$39,$N473-1999,X$102-2020)</f>
        <v>0</v>
      </c>
      <c r="Y473" s="33" cm="1">
        <f t="array" ref="Y473">((Y$102=$R473)*((13-$S473)/12)+(Y$102&gt;$R473))*$Q473*INDEX($J$13:$O$39,$N473-1999,Y$102-2020)</f>
        <v>0</v>
      </c>
      <c r="Z473" s="33" cm="1">
        <f t="array" ref="Z473">((Z$102=$R473)*((13-$S473)/12)+(Z$102&gt;$R473))*$Q473*INDEX($J$13:$O$39,$N473-1999,Z$102-2020)</f>
        <v>0</v>
      </c>
      <c r="AA473" s="33" cm="1">
        <f t="array" ref="AA473">((AA$102=$R473)*((13-$S473)/12)+(AA$102&gt;$R473))*$Q473*INDEX($J$13:$O$39,$N473-1999,AA$102-2020)</f>
        <v>0</v>
      </c>
      <c r="AB473" s="33" cm="1">
        <f t="array" ref="AB473">((AB$102=$R473)*((13-$S473)/12)+(AB$102&gt;$R473))*$Q473*INDEX($J$13:$O$39,$N473-1999,AB$102-2020)</f>
        <v>6143.0853018378293</v>
      </c>
      <c r="AC473" s="33" cm="1">
        <f t="array" ref="AC473">((AC$102=$R473)*((13-$S473)/12)+(AC$102&gt;$R473))*$Q473*INDEX($J$13:$O$39,$N473-1999,AC$102-2020)</f>
        <v>75781.10028347146</v>
      </c>
    </row>
    <row r="474" spans="2:29" x14ac:dyDescent="0.2">
      <c r="B474" s="32">
        <f>'13. Input desinvesteringen'!B387</f>
        <v>371</v>
      </c>
      <c r="J474" s="32" t="str">
        <f>'13. Input desinvesteringen'!C387</f>
        <v>Transport</v>
      </c>
      <c r="K474" s="32" t="str">
        <f>'13. Input desinvesteringen'!D387</f>
        <v>HS</v>
      </c>
      <c r="L474" s="32" t="str">
        <f>'13. Input desinvesteringen'!E387</f>
        <v>Nee</v>
      </c>
      <c r="M474" s="32" t="str">
        <f>'13. Input desinvesteringen'!F387</f>
        <v>GAW ultimo 2000 Stedin - HS Utrecht (ENBU)</v>
      </c>
      <c r="N474" s="82">
        <f>'13. Input desinvesteringen'!G387</f>
        <v>2015</v>
      </c>
      <c r="O474" s="82"/>
      <c r="P474" s="82"/>
      <c r="Q474" s="32">
        <f>'13. Input desinvesteringen'!H387</f>
        <v>1007996</v>
      </c>
      <c r="R474" s="82">
        <f>'13. Input desinvesteringen'!I387</f>
        <v>2025</v>
      </c>
      <c r="S474" s="32">
        <f>'13. Input desinvesteringen'!J387</f>
        <v>12</v>
      </c>
      <c r="U474" s="76">
        <f t="shared" si="21"/>
        <v>0.8732220164530794</v>
      </c>
      <c r="V474" s="76">
        <f t="shared" si="22"/>
        <v>0.1267779835469206</v>
      </c>
      <c r="X474" s="33" cm="1">
        <f t="array" ref="X474">((X$102=$R474)*((13-$S474)/12)+(X$102&gt;$R474))*$Q474*INDEX($J$13:$O$39,$N474-1999,X$102-2020)</f>
        <v>0</v>
      </c>
      <c r="Y474" s="33" cm="1">
        <f t="array" ref="Y474">((Y$102=$R474)*((13-$S474)/12)+(Y$102&gt;$R474))*$Q474*INDEX($J$13:$O$39,$N474-1999,Y$102-2020)</f>
        <v>0</v>
      </c>
      <c r="Z474" s="33" cm="1">
        <f t="array" ref="Z474">((Z$102=$R474)*((13-$S474)/12)+(Z$102&gt;$R474))*$Q474*INDEX($J$13:$O$39,$N474-1999,Z$102-2020)</f>
        <v>0</v>
      </c>
      <c r="AA474" s="33" cm="1">
        <f t="array" ref="AA474">((AA$102=$R474)*((13-$S474)/12)+(AA$102&gt;$R474))*$Q474*INDEX($J$13:$O$39,$N474-1999,AA$102-2020)</f>
        <v>0</v>
      </c>
      <c r="AB474" s="33" cm="1">
        <f t="array" ref="AB474">((AB$102=$R474)*((13-$S474)/12)+(AB$102&gt;$R474))*$Q474*INDEX($J$13:$O$39,$N474-1999,AB$102-2020)</f>
        <v>111277.42260724604</v>
      </c>
      <c r="AC474" s="33" cm="1">
        <f t="array" ref="AC474">((AC$102=$R474)*((13-$S474)/12)+(AC$102&gt;$R474))*$Q474*INDEX($J$13:$O$39,$N474-1999,AC$102-2020)</f>
        <v>1372718.2852829874</v>
      </c>
    </row>
    <row r="475" spans="2:29" x14ac:dyDescent="0.2">
      <c r="B475" s="32">
        <f>'13. Input desinvesteringen'!B388</f>
        <v>372</v>
      </c>
      <c r="J475" s="32" t="str">
        <f>'13. Input desinvesteringen'!C388</f>
        <v>Systeem</v>
      </c>
      <c r="K475" s="32" t="str">
        <f>'13. Input desinvesteringen'!D388</f>
        <v>EHS</v>
      </c>
      <c r="L475" s="32" t="str">
        <f>'13. Input desinvesteringen'!E388</f>
        <v>Nee</v>
      </c>
      <c r="M475" s="32" t="str">
        <f>'13. Input desinvesteringen'!F388</f>
        <v>(Proces)automatisering</v>
      </c>
      <c r="N475" s="82">
        <f>'13. Input desinvesteringen'!G388</f>
        <v>2020</v>
      </c>
      <c r="O475" s="82"/>
      <c r="P475" s="82"/>
      <c r="Q475" s="32">
        <f>'13. Input desinvesteringen'!H388</f>
        <v>123527</v>
      </c>
      <c r="R475" s="82">
        <f>'13. Input desinvesteringen'!I388</f>
        <v>2025</v>
      </c>
      <c r="S475" s="32">
        <f>'13. Input desinvesteringen'!J388</f>
        <v>12</v>
      </c>
      <c r="U475" s="76">
        <f t="shared" si="21"/>
        <v>0</v>
      </c>
      <c r="V475" s="76">
        <f t="shared" si="22"/>
        <v>1</v>
      </c>
      <c r="X475" s="33" cm="1">
        <f t="array" ref="X475">((X$102=$R475)*((13-$S475)/12)+(X$102&gt;$R475))*$Q475*INDEX($J$13:$O$39,$N475-1999,X$102-2020)</f>
        <v>0</v>
      </c>
      <c r="Y475" s="33" cm="1">
        <f t="array" ref="Y475">((Y$102=$R475)*((13-$S475)/12)+(Y$102&gt;$R475))*$Q475*INDEX($J$13:$O$39,$N475-1999,Y$102-2020)</f>
        <v>0</v>
      </c>
      <c r="Z475" s="33" cm="1">
        <f t="array" ref="Z475">((Z$102=$R475)*((13-$S475)/12)+(Z$102&gt;$R475))*$Q475*INDEX($J$13:$O$39,$N475-1999,Z$102-2020)</f>
        <v>0</v>
      </c>
      <c r="AA475" s="33" cm="1">
        <f t="array" ref="AA475">((AA$102=$R475)*((13-$S475)/12)+(AA$102&gt;$R475))*$Q475*INDEX($J$13:$O$39,$N475-1999,AA$102-2020)</f>
        <v>0</v>
      </c>
      <c r="AB475" s="33" cm="1">
        <f t="array" ref="AB475">((AB$102=$R475)*((13-$S475)/12)+(AB$102&gt;$R475))*$Q475*INDEX($J$13:$O$39,$N475-1999,AB$102-2020)</f>
        <v>12686.01083886032</v>
      </c>
      <c r="AC475" s="33" cm="1">
        <f t="array" ref="AC475">((AC$102=$R475)*((13-$S475)/12)+(AC$102&gt;$R475))*$Q475*INDEX($J$13:$O$39,$N475-1999,AC$102-2020)</f>
        <v>156494.62970818093</v>
      </c>
    </row>
    <row r="476" spans="2:29" x14ac:dyDescent="0.2">
      <c r="B476" s="32">
        <f>'13. Input desinvesteringen'!B389</f>
        <v>373</v>
      </c>
      <c r="J476" s="32" t="str">
        <f>'13. Input desinvesteringen'!C389</f>
        <v>Systeem</v>
      </c>
      <c r="K476" s="32" t="str">
        <f>'13. Input desinvesteringen'!D389</f>
        <v>EHS</v>
      </c>
      <c r="L476" s="32" t="str">
        <f>'13. Input desinvesteringen'!E389</f>
        <v>Nee</v>
      </c>
      <c r="M476" s="32" t="str">
        <f>'13. Input desinvesteringen'!F389</f>
        <v>(Proces)automatisering</v>
      </c>
      <c r="N476" s="82">
        <f>'13. Input desinvesteringen'!G389</f>
        <v>2020</v>
      </c>
      <c r="O476" s="82"/>
      <c r="P476" s="82"/>
      <c r="Q476" s="32">
        <f>'13. Input desinvesteringen'!H389</f>
        <v>90613</v>
      </c>
      <c r="R476" s="82">
        <f>'13. Input desinvesteringen'!I389</f>
        <v>2025</v>
      </c>
      <c r="S476" s="32">
        <f>'13. Input desinvesteringen'!J389</f>
        <v>12</v>
      </c>
      <c r="U476" s="76">
        <f t="shared" si="21"/>
        <v>0</v>
      </c>
      <c r="V476" s="76">
        <f t="shared" si="22"/>
        <v>1</v>
      </c>
      <c r="X476" s="33" cm="1">
        <f t="array" ref="X476">((X$102=$R476)*((13-$S476)/12)+(X$102&gt;$R476))*$Q476*INDEX($J$13:$O$39,$N476-1999,X$102-2020)</f>
        <v>0</v>
      </c>
      <c r="Y476" s="33" cm="1">
        <f t="array" ref="Y476">((Y$102=$R476)*((13-$S476)/12)+(Y$102&gt;$R476))*$Q476*INDEX($J$13:$O$39,$N476-1999,Y$102-2020)</f>
        <v>0</v>
      </c>
      <c r="Z476" s="33" cm="1">
        <f t="array" ref="Z476">((Z$102=$R476)*((13-$S476)/12)+(Z$102&gt;$R476))*$Q476*INDEX($J$13:$O$39,$N476-1999,Z$102-2020)</f>
        <v>0</v>
      </c>
      <c r="AA476" s="33" cm="1">
        <f t="array" ref="AA476">((AA$102=$R476)*((13-$S476)/12)+(AA$102&gt;$R476))*$Q476*INDEX($J$13:$O$39,$N476-1999,AA$102-2020)</f>
        <v>0</v>
      </c>
      <c r="AB476" s="33" cm="1">
        <f t="array" ref="AB476">((AB$102=$R476)*((13-$S476)/12)+(AB$102&gt;$R476))*$Q476*INDEX($J$13:$O$39,$N476-1999,AB$102-2020)</f>
        <v>9305.7995429472921</v>
      </c>
      <c r="AC476" s="33" cm="1">
        <f t="array" ref="AC476">((AC$102=$R476)*((13-$S476)/12)+(AC$102&gt;$R476))*$Q476*INDEX($J$13:$O$39,$N476-1999,AC$102-2020)</f>
        <v>114796.34316179781</v>
      </c>
    </row>
    <row r="477" spans="2:29" x14ac:dyDescent="0.2">
      <c r="B477" s="32">
        <f>'13. Input desinvesteringen'!B390</f>
        <v>374</v>
      </c>
      <c r="J477" s="32" t="str">
        <f>'13. Input desinvesteringen'!C390</f>
        <v>Systeem</v>
      </c>
      <c r="K477" s="32" t="str">
        <f>'13. Input desinvesteringen'!D390</f>
        <v>EHS</v>
      </c>
      <c r="L477" s="32" t="str">
        <f>'13. Input desinvesteringen'!E390</f>
        <v>Nee</v>
      </c>
      <c r="M477" s="32" t="str">
        <f>'13. Input desinvesteringen'!F390</f>
        <v>Computerapparatuur</v>
      </c>
      <c r="N477" s="82">
        <f>'13. Input desinvesteringen'!G390</f>
        <v>2020</v>
      </c>
      <c r="O477" s="82"/>
      <c r="P477" s="82"/>
      <c r="Q477" s="32">
        <f>'13. Input desinvesteringen'!H390</f>
        <v>645138</v>
      </c>
      <c r="R477" s="82">
        <f>'13. Input desinvesteringen'!I390</f>
        <v>2025</v>
      </c>
      <c r="S477" s="32">
        <f>'13. Input desinvesteringen'!J390</f>
        <v>12</v>
      </c>
      <c r="U477" s="76">
        <f t="shared" si="21"/>
        <v>0</v>
      </c>
      <c r="V477" s="76">
        <f t="shared" si="22"/>
        <v>1</v>
      </c>
      <c r="X477" s="33" cm="1">
        <f t="array" ref="X477">((X$102=$R477)*((13-$S477)/12)+(X$102&gt;$R477))*$Q477*INDEX($J$13:$O$39,$N477-1999,X$102-2020)</f>
        <v>0</v>
      </c>
      <c r="Y477" s="33" cm="1">
        <f t="array" ref="Y477">((Y$102=$R477)*((13-$S477)/12)+(Y$102&gt;$R477))*$Q477*INDEX($J$13:$O$39,$N477-1999,Y$102-2020)</f>
        <v>0</v>
      </c>
      <c r="Z477" s="33" cm="1">
        <f t="array" ref="Z477">((Z$102=$R477)*((13-$S477)/12)+(Z$102&gt;$R477))*$Q477*INDEX($J$13:$O$39,$N477-1999,Z$102-2020)</f>
        <v>0</v>
      </c>
      <c r="AA477" s="33" cm="1">
        <f t="array" ref="AA477">((AA$102=$R477)*((13-$S477)/12)+(AA$102&gt;$R477))*$Q477*INDEX($J$13:$O$39,$N477-1999,AA$102-2020)</f>
        <v>0</v>
      </c>
      <c r="AB477" s="33" cm="1">
        <f t="array" ref="AB477">((AB$102=$R477)*((13-$S477)/12)+(AB$102&gt;$R477))*$Q477*INDEX($J$13:$O$39,$N477-1999,AB$102-2020)</f>
        <v>66254.565079380773</v>
      </c>
      <c r="AC477" s="33" cm="1">
        <f t="array" ref="AC477">((AC$102=$R477)*((13-$S477)/12)+(AC$102&gt;$R477))*$Q477*INDEX($J$13:$O$39,$N477-1999,AC$102-2020)</f>
        <v>817316.31481924129</v>
      </c>
    </row>
    <row r="478" spans="2:29" x14ac:dyDescent="0.2">
      <c r="B478" s="32">
        <f>'13. Input desinvesteringen'!B391</f>
        <v>375</v>
      </c>
      <c r="J478" s="32" t="str">
        <f>'13. Input desinvesteringen'!C391</f>
        <v>Transport</v>
      </c>
      <c r="K478" s="32" t="str">
        <f>'13. Input desinvesteringen'!D391</f>
        <v>EHS</v>
      </c>
      <c r="L478" s="32" t="str">
        <f>'13. Input desinvesteringen'!E391</f>
        <v>Nee</v>
      </c>
      <c r="M478" s="32" t="str">
        <f>'13. Input desinvesteringen'!F391</f>
        <v>Hoogspanningsstations primair</v>
      </c>
      <c r="N478" s="82">
        <f>'13. Input desinvesteringen'!G391</f>
        <v>2006</v>
      </c>
      <c r="O478" s="82"/>
      <c r="P478" s="82"/>
      <c r="Q478" s="32">
        <f>'13. Input desinvesteringen'!H391</f>
        <v>603881</v>
      </c>
      <c r="R478" s="82">
        <f>'13. Input desinvesteringen'!I391</f>
        <v>2025</v>
      </c>
      <c r="S478" s="32">
        <f>'13. Input desinvesteringen'!J391</f>
        <v>12</v>
      </c>
      <c r="U478" s="76">
        <f t="shared" si="21"/>
        <v>1</v>
      </c>
      <c r="V478" s="76">
        <f t="shared" si="22"/>
        <v>0</v>
      </c>
      <c r="X478" s="33" cm="1">
        <f t="array" ref="X478">((X$102=$R478)*((13-$S478)/12)+(X$102&gt;$R478))*$Q478*INDEX($J$13:$O$39,$N478-1999,X$102-2020)</f>
        <v>0</v>
      </c>
      <c r="Y478" s="33" cm="1">
        <f t="array" ref="Y478">((Y$102=$R478)*((13-$S478)/12)+(Y$102&gt;$R478))*$Q478*INDEX($J$13:$O$39,$N478-1999,Y$102-2020)</f>
        <v>0</v>
      </c>
      <c r="Z478" s="33" cm="1">
        <f t="array" ref="Z478">((Z$102=$R478)*((13-$S478)/12)+(Z$102&gt;$R478))*$Q478*INDEX($J$13:$O$39,$N478-1999,Z$102-2020)</f>
        <v>0</v>
      </c>
      <c r="AA478" s="33" cm="1">
        <f t="array" ref="AA478">((AA$102=$R478)*((13-$S478)/12)+(AA$102&gt;$R478))*$Q478*INDEX($J$13:$O$39,$N478-1999,AA$102-2020)</f>
        <v>0</v>
      </c>
      <c r="AB478" s="33" cm="1">
        <f t="array" ref="AB478">((AB$102=$R478)*((13-$S478)/12)+(AB$102&gt;$R478))*$Q478*INDEX($J$13:$O$39,$N478-1999,AB$102-2020)</f>
        <v>78247.934245141427</v>
      </c>
      <c r="AC478" s="33" cm="1">
        <f t="array" ref="AC478">((AC$102=$R478)*((13-$S478)/12)+(AC$102&gt;$R478))*$Q478*INDEX($J$13:$O$39,$N478-1999,AC$102-2020)</f>
        <v>965266.51684806461</v>
      </c>
    </row>
    <row r="479" spans="2:29" x14ac:dyDescent="0.2">
      <c r="B479" s="32">
        <f>'13. Input desinvesteringen'!B392</f>
        <v>376</v>
      </c>
      <c r="J479" s="32" t="str">
        <f>'13. Input desinvesteringen'!C392</f>
        <v>Transport</v>
      </c>
      <c r="K479" s="32" t="str">
        <f>'13. Input desinvesteringen'!D392</f>
        <v>EHS</v>
      </c>
      <c r="L479" s="32" t="str">
        <f>'13. Input desinvesteringen'!E392</f>
        <v>Nee</v>
      </c>
      <c r="M479" s="32" t="str">
        <f>'13. Input desinvesteringen'!F392</f>
        <v>Hoogspanningsstations primair</v>
      </c>
      <c r="N479" s="82">
        <f>'13. Input desinvesteringen'!G392</f>
        <v>2007</v>
      </c>
      <c r="O479" s="82"/>
      <c r="P479" s="82"/>
      <c r="Q479" s="32">
        <f>'13. Input desinvesteringen'!H392</f>
        <v>176834</v>
      </c>
      <c r="R479" s="82">
        <f>'13. Input desinvesteringen'!I392</f>
        <v>2025</v>
      </c>
      <c r="S479" s="32">
        <f>'13. Input desinvesteringen'!J392</f>
        <v>12</v>
      </c>
      <c r="U479" s="76">
        <f t="shared" si="21"/>
        <v>1</v>
      </c>
      <c r="V479" s="76">
        <f t="shared" si="22"/>
        <v>0</v>
      </c>
      <c r="X479" s="33" cm="1">
        <f t="array" ref="X479">((X$102=$R479)*((13-$S479)/12)+(X$102&gt;$R479))*$Q479*INDEX($J$13:$O$39,$N479-1999,X$102-2020)</f>
        <v>0</v>
      </c>
      <c r="Y479" s="33" cm="1">
        <f t="array" ref="Y479">((Y$102=$R479)*((13-$S479)/12)+(Y$102&gt;$R479))*$Q479*INDEX($J$13:$O$39,$N479-1999,Y$102-2020)</f>
        <v>0</v>
      </c>
      <c r="Z479" s="33" cm="1">
        <f t="array" ref="Z479">((Z$102=$R479)*((13-$S479)/12)+(Z$102&gt;$R479))*$Q479*INDEX($J$13:$O$39,$N479-1999,Z$102-2020)</f>
        <v>0</v>
      </c>
      <c r="AA479" s="33" cm="1">
        <f t="array" ref="AA479">((AA$102=$R479)*((13-$S479)/12)+(AA$102&gt;$R479))*$Q479*INDEX($J$13:$O$39,$N479-1999,AA$102-2020)</f>
        <v>0</v>
      </c>
      <c r="AB479" s="33" cm="1">
        <f t="array" ref="AB479">((AB$102=$R479)*((13-$S479)/12)+(AB$102&gt;$R479))*$Q479*INDEX($J$13:$O$39,$N479-1999,AB$102-2020)</f>
        <v>22596.924325626667</v>
      </c>
      <c r="AC479" s="33" cm="1">
        <f t="array" ref="AC479">((AC$102=$R479)*((13-$S479)/12)+(AC$102&gt;$R479))*$Q479*INDEX($J$13:$O$39,$N479-1999,AC$102-2020)</f>
        <v>278755.65848093061</v>
      </c>
    </row>
    <row r="480" spans="2:29" x14ac:dyDescent="0.2">
      <c r="B480" s="32">
        <f>'13. Input desinvesteringen'!B393</f>
        <v>377</v>
      </c>
      <c r="J480" s="32" t="str">
        <f>'13. Input desinvesteringen'!C393</f>
        <v>Transport</v>
      </c>
      <c r="K480" s="32" t="str">
        <f>'13. Input desinvesteringen'!D393</f>
        <v>EHS</v>
      </c>
      <c r="L480" s="32" t="str">
        <f>'13. Input desinvesteringen'!E393</f>
        <v>Nee</v>
      </c>
      <c r="M480" s="32" t="str">
        <f>'13. Input desinvesteringen'!F393</f>
        <v>(Proces)automatisering</v>
      </c>
      <c r="N480" s="82">
        <f>'13. Input desinvesteringen'!G393</f>
        <v>2016</v>
      </c>
      <c r="O480" s="82"/>
      <c r="P480" s="82"/>
      <c r="Q480" s="32">
        <f>'13. Input desinvesteringen'!H393</f>
        <v>15621</v>
      </c>
      <c r="R480" s="82">
        <f>'13. Input desinvesteringen'!I393</f>
        <v>2025</v>
      </c>
      <c r="S480" s="32">
        <f>'13. Input desinvesteringen'!J393</f>
        <v>7</v>
      </c>
      <c r="U480" s="76">
        <f t="shared" si="21"/>
        <v>0</v>
      </c>
      <c r="V480" s="76">
        <f t="shared" si="22"/>
        <v>1</v>
      </c>
      <c r="X480" s="33" cm="1">
        <f t="array" ref="X480">((X$102=$R480)*((13-$S480)/12)+(X$102&gt;$R480))*$Q480*INDEX($J$13:$O$39,$N480-1999,X$102-2020)</f>
        <v>0</v>
      </c>
      <c r="Y480" s="33" cm="1">
        <f t="array" ref="Y480">((Y$102=$R480)*((13-$S480)/12)+(Y$102&gt;$R480))*$Q480*INDEX($J$13:$O$39,$N480-1999,Y$102-2020)</f>
        <v>0</v>
      </c>
      <c r="Z480" s="33" cm="1">
        <f t="array" ref="Z480">((Z$102=$R480)*((13-$S480)/12)+(Z$102&gt;$R480))*$Q480*INDEX($J$13:$O$39,$N480-1999,Z$102-2020)</f>
        <v>0</v>
      </c>
      <c r="AA480" s="33" cm="1">
        <f t="array" ref="AA480">((AA$102=$R480)*((13-$S480)/12)+(AA$102&gt;$R480))*$Q480*INDEX($J$13:$O$39,$N480-1999,AA$102-2020)</f>
        <v>0</v>
      </c>
      <c r="AB480" s="33" cm="1">
        <f t="array" ref="AB480">((AB$102=$R480)*((13-$S480)/12)+(AB$102&gt;$R480))*$Q480*INDEX($J$13:$O$39,$N480-1999,AB$102-2020)</f>
        <v>10264.736373598316</v>
      </c>
      <c r="AC480" s="33" cm="1">
        <f t="array" ref="AC480">((AC$102=$R480)*((13-$S480)/12)+(AC$102&gt;$R480))*$Q480*INDEX($J$13:$O$39,$N480-1999,AC$102-2020)</f>
        <v>21104.297984118137</v>
      </c>
    </row>
    <row r="481" spans="2:29" x14ac:dyDescent="0.2">
      <c r="B481" s="32">
        <f>'13. Input desinvesteringen'!B394</f>
        <v>378</v>
      </c>
      <c r="J481" s="32" t="str">
        <f>'13. Input desinvesteringen'!C394</f>
        <v>Transport</v>
      </c>
      <c r="K481" s="32" t="str">
        <f>'13. Input desinvesteringen'!D394</f>
        <v>EHS</v>
      </c>
      <c r="L481" s="32" t="str">
        <f>'13. Input desinvesteringen'!E394</f>
        <v>Nee</v>
      </c>
      <c r="M481" s="32" t="str">
        <f>'13. Input desinvesteringen'!F394</f>
        <v>Computerapparatuur</v>
      </c>
      <c r="N481" s="82">
        <f>'13. Input desinvesteringen'!G394</f>
        <v>2020</v>
      </c>
      <c r="O481" s="82"/>
      <c r="P481" s="82"/>
      <c r="Q481" s="32">
        <f>'13. Input desinvesteringen'!H394</f>
        <v>862711</v>
      </c>
      <c r="R481" s="82">
        <f>'13. Input desinvesteringen'!I394</f>
        <v>2025</v>
      </c>
      <c r="S481" s="32">
        <f>'13. Input desinvesteringen'!J394</f>
        <v>12</v>
      </c>
      <c r="U481" s="76">
        <f t="shared" si="21"/>
        <v>1</v>
      </c>
      <c r="V481" s="76">
        <f t="shared" si="22"/>
        <v>0</v>
      </c>
      <c r="X481" s="33" cm="1">
        <f t="array" ref="X481">((X$102=$R481)*((13-$S481)/12)+(X$102&gt;$R481))*$Q481*INDEX($J$13:$O$39,$N481-1999,X$102-2020)</f>
        <v>0</v>
      </c>
      <c r="Y481" s="33" cm="1">
        <f t="array" ref="Y481">((Y$102=$R481)*((13-$S481)/12)+(Y$102&gt;$R481))*$Q481*INDEX($J$13:$O$39,$N481-1999,Y$102-2020)</f>
        <v>0</v>
      </c>
      <c r="Z481" s="33" cm="1">
        <f t="array" ref="Z481">((Z$102=$R481)*((13-$S481)/12)+(Z$102&gt;$R481))*$Q481*INDEX($J$13:$O$39,$N481-1999,Z$102-2020)</f>
        <v>0</v>
      </c>
      <c r="AA481" s="33" cm="1">
        <f t="array" ref="AA481">((AA$102=$R481)*((13-$S481)/12)+(AA$102&gt;$R481))*$Q481*INDEX($J$13:$O$39,$N481-1999,AA$102-2020)</f>
        <v>0</v>
      </c>
      <c r="AB481" s="33" cm="1">
        <f t="array" ref="AB481">((AB$102=$R481)*((13-$S481)/12)+(AB$102&gt;$R481))*$Q481*INDEX($J$13:$O$39,$N481-1999,AB$102-2020)</f>
        <v>88598.938667692288</v>
      </c>
      <c r="AC481" s="33" cm="1">
        <f t="array" ref="AC481">((AC$102=$R481)*((13-$S481)/12)+(AC$102&gt;$R481))*$Q481*INDEX($J$13:$O$39,$N481-1999,AC$102-2020)</f>
        <v>1092956.5074046522</v>
      </c>
    </row>
    <row r="482" spans="2:29" x14ac:dyDescent="0.2">
      <c r="B482" s="32">
        <f>'13. Input desinvesteringen'!B395</f>
        <v>379</v>
      </c>
      <c r="J482" s="32" t="str">
        <f>'13. Input desinvesteringen'!C395</f>
        <v>Transport</v>
      </c>
      <c r="K482" s="32" t="str">
        <f>'13. Input desinvesteringen'!D395</f>
        <v>EHS</v>
      </c>
      <c r="L482" s="32" t="str">
        <f>'13. Input desinvesteringen'!E395</f>
        <v>Nee</v>
      </c>
      <c r="M482" s="32" t="str">
        <f>'13. Input desinvesteringen'!F395</f>
        <v>Gebouwen bij de stations</v>
      </c>
      <c r="N482" s="82">
        <f>'13. Input desinvesteringen'!G395</f>
        <v>2015</v>
      </c>
      <c r="O482" s="82"/>
      <c r="P482" s="82"/>
      <c r="Q482" s="32">
        <f>'13. Input desinvesteringen'!H395</f>
        <v>12064</v>
      </c>
      <c r="R482" s="82">
        <f>'13. Input desinvesteringen'!I395</f>
        <v>2025</v>
      </c>
      <c r="S482" s="32">
        <f>'13. Input desinvesteringen'!J395</f>
        <v>12</v>
      </c>
      <c r="U482" s="76">
        <f t="shared" si="21"/>
        <v>0</v>
      </c>
      <c r="V482" s="76">
        <f t="shared" si="22"/>
        <v>1</v>
      </c>
      <c r="X482" s="33" cm="1">
        <f t="array" ref="X482">((X$102=$R482)*((13-$S482)/12)+(X$102&gt;$R482))*$Q482*INDEX($J$13:$O$39,$N482-1999,X$102-2020)</f>
        <v>0</v>
      </c>
      <c r="Y482" s="33" cm="1">
        <f t="array" ref="Y482">((Y$102=$R482)*((13-$S482)/12)+(Y$102&gt;$R482))*$Q482*INDEX($J$13:$O$39,$N482-1999,Y$102-2020)</f>
        <v>0</v>
      </c>
      <c r="Z482" s="33" cm="1">
        <f t="array" ref="Z482">((Z$102=$R482)*((13-$S482)/12)+(Z$102&gt;$R482))*$Q482*INDEX($J$13:$O$39,$N482-1999,Z$102-2020)</f>
        <v>0</v>
      </c>
      <c r="AA482" s="33" cm="1">
        <f t="array" ref="AA482">((AA$102=$R482)*((13-$S482)/12)+(AA$102&gt;$R482))*$Q482*INDEX($J$13:$O$39,$N482-1999,AA$102-2020)</f>
        <v>0</v>
      </c>
      <c r="AB482" s="33" cm="1">
        <f t="array" ref="AB482">((AB$102=$R482)*((13-$S482)/12)+(AB$102&gt;$R482))*$Q482*INDEX($J$13:$O$39,$N482-1999,AB$102-2020)</f>
        <v>1331.8017396237844</v>
      </c>
      <c r="AC482" s="33" cm="1">
        <f t="array" ref="AC482">((AC$102=$R482)*((13-$S482)/12)+(AC$102&gt;$R482))*$Q482*INDEX($J$13:$O$39,$N482-1999,AC$102-2020)</f>
        <v>16429.106259999007</v>
      </c>
    </row>
    <row r="483" spans="2:29" x14ac:dyDescent="0.2">
      <c r="B483" s="32">
        <f>'13. Input desinvesteringen'!B396</f>
        <v>380</v>
      </c>
      <c r="J483" s="32" t="str">
        <f>'13. Input desinvesteringen'!C396</f>
        <v>Transport</v>
      </c>
      <c r="K483" s="32" t="str">
        <f>'13. Input desinvesteringen'!D396</f>
        <v>EHS</v>
      </c>
      <c r="L483" s="32" t="str">
        <f>'13. Input desinvesteringen'!E396</f>
        <v>Nee</v>
      </c>
      <c r="M483" s="32" t="str">
        <f>'13. Input desinvesteringen'!F396</f>
        <v>Hoogspanningsstations secundair</v>
      </c>
      <c r="N483" s="82">
        <f>'13. Input desinvesteringen'!G396</f>
        <v>2015</v>
      </c>
      <c r="O483" s="82"/>
      <c r="P483" s="82"/>
      <c r="Q483" s="32">
        <f>'13. Input desinvesteringen'!H396</f>
        <v>241749</v>
      </c>
      <c r="R483" s="82">
        <f>'13. Input desinvesteringen'!I396</f>
        <v>2025</v>
      </c>
      <c r="S483" s="32">
        <f>'13. Input desinvesteringen'!J396</f>
        <v>12</v>
      </c>
      <c r="U483" s="76">
        <f t="shared" si="21"/>
        <v>1</v>
      </c>
      <c r="V483" s="76">
        <f t="shared" si="22"/>
        <v>0</v>
      </c>
      <c r="X483" s="33" cm="1">
        <f t="array" ref="X483">((X$102=$R483)*((13-$S483)/12)+(X$102&gt;$R483))*$Q483*INDEX($J$13:$O$39,$N483-1999,X$102-2020)</f>
        <v>0</v>
      </c>
      <c r="Y483" s="33" cm="1">
        <f t="array" ref="Y483">((Y$102=$R483)*((13-$S483)/12)+(Y$102&gt;$R483))*$Q483*INDEX($J$13:$O$39,$N483-1999,Y$102-2020)</f>
        <v>0</v>
      </c>
      <c r="Z483" s="33" cm="1">
        <f t="array" ref="Z483">((Z$102=$R483)*((13-$S483)/12)+(Z$102&gt;$R483))*$Q483*INDEX($J$13:$O$39,$N483-1999,Z$102-2020)</f>
        <v>0</v>
      </c>
      <c r="AA483" s="33" cm="1">
        <f t="array" ref="AA483">((AA$102=$R483)*((13-$S483)/12)+(AA$102&gt;$R483))*$Q483*INDEX($J$13:$O$39,$N483-1999,AA$102-2020)</f>
        <v>0</v>
      </c>
      <c r="AB483" s="33" cm="1">
        <f t="array" ref="AB483">((AB$102=$R483)*((13-$S483)/12)+(AB$102&gt;$R483))*$Q483*INDEX($J$13:$O$39,$N483-1999,AB$102-2020)</f>
        <v>26687.809909840045</v>
      </c>
      <c r="AC483" s="33" cm="1">
        <f t="array" ref="AC483">((AC$102=$R483)*((13-$S483)/12)+(AC$102&gt;$R483))*$Q483*INDEX($J$13:$O$39,$N483-1999,AC$102-2020)</f>
        <v>329220.82304778683</v>
      </c>
    </row>
    <row r="484" spans="2:29" x14ac:dyDescent="0.2">
      <c r="B484" s="32">
        <f>'13. Input desinvesteringen'!B397</f>
        <v>381</v>
      </c>
      <c r="J484" s="32" t="str">
        <f>'13. Input desinvesteringen'!C397</f>
        <v>Transport</v>
      </c>
      <c r="K484" s="32" t="str">
        <f>'13. Input desinvesteringen'!D397</f>
        <v>EHS</v>
      </c>
      <c r="L484" s="32" t="str">
        <f>'13. Input desinvesteringen'!E397</f>
        <v>Nee</v>
      </c>
      <c r="M484" s="32" t="str">
        <f>'13. Input desinvesteringen'!F397</f>
        <v>Gebouwen bij de stations</v>
      </c>
      <c r="N484" s="82">
        <f>'13. Input desinvesteringen'!G397</f>
        <v>2010</v>
      </c>
      <c r="O484" s="82"/>
      <c r="P484" s="82"/>
      <c r="Q484" s="32">
        <f>'13. Input desinvesteringen'!H397</f>
        <v>27504</v>
      </c>
      <c r="R484" s="82">
        <f>'13. Input desinvesteringen'!I397</f>
        <v>2025</v>
      </c>
      <c r="S484" s="32">
        <f>'13. Input desinvesteringen'!J397</f>
        <v>1</v>
      </c>
      <c r="U484" s="76">
        <f t="shared" si="21"/>
        <v>0</v>
      </c>
      <c r="V484" s="76">
        <f t="shared" si="22"/>
        <v>1</v>
      </c>
      <c r="X484" s="33" cm="1">
        <f t="array" ref="X484">((X$102=$R484)*((13-$S484)/12)+(X$102&gt;$R484))*$Q484*INDEX($J$13:$O$39,$N484-1999,X$102-2020)</f>
        <v>0</v>
      </c>
      <c r="Y484" s="33" cm="1">
        <f t="array" ref="Y484">((Y$102=$R484)*((13-$S484)/12)+(Y$102&gt;$R484))*$Q484*INDEX($J$13:$O$39,$N484-1999,Y$102-2020)</f>
        <v>0</v>
      </c>
      <c r="Z484" s="33" cm="1">
        <f t="array" ref="Z484">((Z$102=$R484)*((13-$S484)/12)+(Z$102&gt;$R484))*$Q484*INDEX($J$13:$O$39,$N484-1999,Z$102-2020)</f>
        <v>0</v>
      </c>
      <c r="AA484" s="33" cm="1">
        <f t="array" ref="AA484">((AA$102=$R484)*((13-$S484)/12)+(AA$102&gt;$R484))*$Q484*INDEX($J$13:$O$39,$N484-1999,AA$102-2020)</f>
        <v>0</v>
      </c>
      <c r="AB484" s="33" cm="1">
        <f t="array" ref="AB484">((AB$102=$R484)*((13-$S484)/12)+(AB$102&gt;$R484))*$Q484*INDEX($J$13:$O$39,$N484-1999,AB$102-2020)</f>
        <v>40302.211693323516</v>
      </c>
      <c r="AC484" s="33" cm="1">
        <f t="array" ref="AC484">((AC$102=$R484)*((13-$S484)/12)+(AC$102&gt;$R484))*$Q484*INDEX($J$13:$O$39,$N484-1999,AC$102-2020)</f>
        <v>41430.673620736576</v>
      </c>
    </row>
    <row r="485" spans="2:29" x14ac:dyDescent="0.2">
      <c r="B485" s="32">
        <f>'13. Input desinvesteringen'!B398</f>
        <v>382</v>
      </c>
      <c r="J485" s="32" t="str">
        <f>'13. Input desinvesteringen'!C398</f>
        <v>Transport</v>
      </c>
      <c r="K485" s="32" t="str">
        <f>'13. Input desinvesteringen'!D398</f>
        <v>EHS</v>
      </c>
      <c r="L485" s="32" t="str">
        <f>'13. Input desinvesteringen'!E398</f>
        <v>Nee</v>
      </c>
      <c r="M485" s="32" t="str">
        <f>'13. Input desinvesteringen'!F398</f>
        <v>Hoogspanningsstations primair</v>
      </c>
      <c r="N485" s="82">
        <f>'13. Input desinvesteringen'!G398</f>
        <v>2006</v>
      </c>
      <c r="O485" s="82"/>
      <c r="P485" s="82"/>
      <c r="Q485" s="32">
        <f>'13. Input desinvesteringen'!H398</f>
        <v>25228</v>
      </c>
      <c r="R485" s="82">
        <f>'13. Input desinvesteringen'!I398</f>
        <v>2025</v>
      </c>
      <c r="S485" s="32">
        <f>'13. Input desinvesteringen'!J398</f>
        <v>12</v>
      </c>
      <c r="U485" s="76">
        <f t="shared" si="21"/>
        <v>1</v>
      </c>
      <c r="V485" s="76">
        <f t="shared" si="22"/>
        <v>0</v>
      </c>
      <c r="X485" s="33" cm="1">
        <f t="array" ref="X485">((X$102=$R485)*((13-$S485)/12)+(X$102&gt;$R485))*$Q485*INDEX($J$13:$O$39,$N485-1999,X$102-2020)</f>
        <v>0</v>
      </c>
      <c r="Y485" s="33" cm="1">
        <f t="array" ref="Y485">((Y$102=$R485)*((13-$S485)/12)+(Y$102&gt;$R485))*$Q485*INDEX($J$13:$O$39,$N485-1999,Y$102-2020)</f>
        <v>0</v>
      </c>
      <c r="Z485" s="33" cm="1">
        <f t="array" ref="Z485">((Z$102=$R485)*((13-$S485)/12)+(Z$102&gt;$R485))*$Q485*INDEX($J$13:$O$39,$N485-1999,Z$102-2020)</f>
        <v>0</v>
      </c>
      <c r="AA485" s="33" cm="1">
        <f t="array" ref="AA485">((AA$102=$R485)*((13-$S485)/12)+(AA$102&gt;$R485))*$Q485*INDEX($J$13:$O$39,$N485-1999,AA$102-2020)</f>
        <v>0</v>
      </c>
      <c r="AB485" s="33" cm="1">
        <f t="array" ref="AB485">((AB$102=$R485)*((13-$S485)/12)+(AB$102&gt;$R485))*$Q485*INDEX($J$13:$O$39,$N485-1999,AB$102-2020)</f>
        <v>3268.9203421475881</v>
      </c>
      <c r="AC485" s="33" cm="1">
        <f t="array" ref="AC485">((AC$102=$R485)*((13-$S485)/12)+(AC$102&gt;$R485))*$Q485*INDEX($J$13:$O$39,$N485-1999,AC$102-2020)</f>
        <v>40325.401340732649</v>
      </c>
    </row>
    <row r="486" spans="2:29" x14ac:dyDescent="0.2">
      <c r="B486" s="32">
        <f>'13. Input desinvesteringen'!B399</f>
        <v>383</v>
      </c>
      <c r="J486" s="32" t="str">
        <f>'13. Input desinvesteringen'!C399</f>
        <v>Transport</v>
      </c>
      <c r="K486" s="32" t="str">
        <f>'13. Input desinvesteringen'!D399</f>
        <v>EHS</v>
      </c>
      <c r="L486" s="32" t="str">
        <f>'13. Input desinvesteringen'!E399</f>
        <v>Nee</v>
      </c>
      <c r="M486" s="32" t="str">
        <f>'13. Input desinvesteringen'!F399</f>
        <v>Hoogspanningsstations primair</v>
      </c>
      <c r="N486" s="82">
        <f>'13. Input desinvesteringen'!G399</f>
        <v>2010</v>
      </c>
      <c r="O486" s="82"/>
      <c r="P486" s="82"/>
      <c r="Q486" s="32">
        <f>'13. Input desinvesteringen'!H399</f>
        <v>28951</v>
      </c>
      <c r="R486" s="82">
        <f>'13. Input desinvesteringen'!I399</f>
        <v>2025</v>
      </c>
      <c r="S486" s="32">
        <f>'13. Input desinvesteringen'!J399</f>
        <v>12</v>
      </c>
      <c r="U486" s="76">
        <f t="shared" si="21"/>
        <v>1</v>
      </c>
      <c r="V486" s="76">
        <f t="shared" si="22"/>
        <v>0</v>
      </c>
      <c r="X486" s="33" cm="1">
        <f t="array" ref="X486">((X$102=$R486)*((13-$S486)/12)+(X$102&gt;$R486))*$Q486*INDEX($J$13:$O$39,$N486-1999,X$102-2020)</f>
        <v>0</v>
      </c>
      <c r="Y486" s="33" cm="1">
        <f t="array" ref="Y486">((Y$102=$R486)*((13-$S486)/12)+(Y$102&gt;$R486))*$Q486*INDEX($J$13:$O$39,$N486-1999,Y$102-2020)</f>
        <v>0</v>
      </c>
      <c r="Z486" s="33" cm="1">
        <f t="array" ref="Z486">((Z$102=$R486)*((13-$S486)/12)+(Z$102&gt;$R486))*$Q486*INDEX($J$13:$O$39,$N486-1999,Z$102-2020)</f>
        <v>0</v>
      </c>
      <c r="AA486" s="33" cm="1">
        <f t="array" ref="AA486">((AA$102=$R486)*((13-$S486)/12)+(AA$102&gt;$R486))*$Q486*INDEX($J$13:$O$39,$N486-1999,AA$102-2020)</f>
        <v>0</v>
      </c>
      <c r="AB486" s="33" cm="1">
        <f t="array" ref="AB486">((AB$102=$R486)*((13-$S486)/12)+(AB$102&gt;$R486))*$Q486*INDEX($J$13:$O$39,$N486-1999,AB$102-2020)</f>
        <v>3535.2110321329292</v>
      </c>
      <c r="AC486" s="33" cm="1">
        <f t="array" ref="AC486">((AC$102=$R486)*((13-$S486)/12)+(AC$102&gt;$R486))*$Q486*INDEX($J$13:$O$39,$N486-1999,AC$102-2020)</f>
        <v>43610.363292391819</v>
      </c>
    </row>
    <row r="487" spans="2:29" x14ac:dyDescent="0.2">
      <c r="B487" s="32">
        <f>'13. Input desinvesteringen'!B400</f>
        <v>384</v>
      </c>
      <c r="J487" s="32" t="str">
        <f>'13. Input desinvesteringen'!C400</f>
        <v>Transport</v>
      </c>
      <c r="K487" s="32" t="str">
        <f>'13. Input desinvesteringen'!D400</f>
        <v>EHS</v>
      </c>
      <c r="L487" s="32" t="str">
        <f>'13. Input desinvesteringen'!E400</f>
        <v>Nee</v>
      </c>
      <c r="M487" s="32" t="str">
        <f>'13. Input desinvesteringen'!F400</f>
        <v>Mast en fundatie</v>
      </c>
      <c r="N487" s="82">
        <f>'13. Input desinvesteringen'!G400</f>
        <v>2023</v>
      </c>
      <c r="O487" s="82"/>
      <c r="P487" s="82"/>
      <c r="Q487" s="32">
        <f>'13. Input desinvesteringen'!H400</f>
        <v>81266</v>
      </c>
      <c r="R487" s="82">
        <f>'13. Input desinvesteringen'!I400</f>
        <v>2025</v>
      </c>
      <c r="S487" s="32">
        <f>'13. Input desinvesteringen'!J400</f>
        <v>11</v>
      </c>
      <c r="U487" s="76">
        <f t="shared" si="21"/>
        <v>1</v>
      </c>
      <c r="V487" s="76">
        <f t="shared" si="22"/>
        <v>0</v>
      </c>
      <c r="X487" s="33" cm="1">
        <f t="array" ref="X487">((X$102=$R487)*((13-$S487)/12)+(X$102&gt;$R487))*$Q487*INDEX($J$13:$O$39,$N487-1999,X$102-2020)</f>
        <v>0</v>
      </c>
      <c r="Y487" s="33" cm="1">
        <f t="array" ref="Y487">((Y$102=$R487)*((13-$S487)/12)+(Y$102&gt;$R487))*$Q487*INDEX($J$13:$O$39,$N487-1999,Y$102-2020)</f>
        <v>0</v>
      </c>
      <c r="Z487" s="33" cm="1">
        <f t="array" ref="Z487">((Z$102=$R487)*((13-$S487)/12)+(Z$102&gt;$R487))*$Q487*INDEX($J$13:$O$39,$N487-1999,Z$102-2020)</f>
        <v>0</v>
      </c>
      <c r="AA487" s="33" cm="1">
        <f t="array" ref="AA487">((AA$102=$R487)*((13-$S487)/12)+(AA$102&gt;$R487))*$Q487*INDEX($J$13:$O$39,$N487-1999,AA$102-2020)</f>
        <v>0</v>
      </c>
      <c r="AB487" s="33" cm="1">
        <f t="array" ref="AB487">((AB$102=$R487)*((13-$S487)/12)+(AB$102&gt;$R487))*$Q487*INDEX($J$13:$O$39,$N487-1999,AB$102-2020)</f>
        <v>14452.887213333332</v>
      </c>
      <c r="AC487" s="33" cm="1">
        <f t="array" ref="AC487">((AC$102=$R487)*((13-$S487)/12)+(AC$102&gt;$R487))*$Q487*INDEX($J$13:$O$39,$N487-1999,AC$102-2020)</f>
        <v>89145.408331839993</v>
      </c>
    </row>
    <row r="488" spans="2:29" x14ac:dyDescent="0.2">
      <c r="B488" s="32">
        <f>'13. Input desinvesteringen'!B401</f>
        <v>385</v>
      </c>
      <c r="J488" s="32" t="str">
        <f>'13. Input desinvesteringen'!C401</f>
        <v>Transport</v>
      </c>
      <c r="K488" s="32" t="str">
        <f>'13. Input desinvesteringen'!D401</f>
        <v>EHS</v>
      </c>
      <c r="L488" s="32" t="str">
        <f>'13. Input desinvesteringen'!E401</f>
        <v>Nee</v>
      </c>
      <c r="M488" s="32" t="str">
        <f>'13. Input desinvesteringen'!F401</f>
        <v>Elektrotechnisch gedeelte</v>
      </c>
      <c r="N488" s="82">
        <f>'13. Input desinvesteringen'!G401</f>
        <v>2023</v>
      </c>
      <c r="O488" s="82"/>
      <c r="P488" s="82"/>
      <c r="Q488" s="32">
        <f>'13. Input desinvesteringen'!H401</f>
        <v>3608223</v>
      </c>
      <c r="R488" s="82">
        <f>'13. Input desinvesteringen'!I401</f>
        <v>2025</v>
      </c>
      <c r="S488" s="32">
        <f>'13. Input desinvesteringen'!J401</f>
        <v>11</v>
      </c>
      <c r="U488" s="76">
        <f t="shared" si="21"/>
        <v>1</v>
      </c>
      <c r="V488" s="76">
        <f t="shared" si="22"/>
        <v>0</v>
      </c>
      <c r="X488" s="33" cm="1">
        <f t="array" ref="X488">((X$102=$R488)*((13-$S488)/12)+(X$102&gt;$R488))*$Q488*INDEX($J$13:$O$39,$N488-1999,X$102-2020)</f>
        <v>0</v>
      </c>
      <c r="Y488" s="33" cm="1">
        <f t="array" ref="Y488">((Y$102=$R488)*((13-$S488)/12)+(Y$102&gt;$R488))*$Q488*INDEX($J$13:$O$39,$N488-1999,Y$102-2020)</f>
        <v>0</v>
      </c>
      <c r="Z488" s="33" cm="1">
        <f t="array" ref="Z488">((Z$102=$R488)*((13-$S488)/12)+(Z$102&gt;$R488))*$Q488*INDEX($J$13:$O$39,$N488-1999,Z$102-2020)</f>
        <v>0</v>
      </c>
      <c r="AA488" s="33" cm="1">
        <f t="array" ref="AA488">((AA$102=$R488)*((13-$S488)/12)+(AA$102&gt;$R488))*$Q488*INDEX($J$13:$O$39,$N488-1999,AA$102-2020)</f>
        <v>0</v>
      </c>
      <c r="AB488" s="33" cm="1">
        <f t="array" ref="AB488">((AB$102=$R488)*((13-$S488)/12)+(AB$102&gt;$R488))*$Q488*INDEX($J$13:$O$39,$N488-1999,AB$102-2020)</f>
        <v>641710.43313999998</v>
      </c>
      <c r="AC488" s="33" cm="1">
        <f t="array" ref="AC488">((AC$102=$R488)*((13-$S488)/12)+(AC$102&gt;$R488))*$Q488*INDEX($J$13:$O$39,$N488-1999,AC$102-2020)</f>
        <v>3958069.9516075198</v>
      </c>
    </row>
    <row r="489" spans="2:29" x14ac:dyDescent="0.2">
      <c r="B489" s="32">
        <f>'13. Input desinvesteringen'!B402</f>
        <v>386</v>
      </c>
      <c r="J489" s="32" t="str">
        <f>'13. Input desinvesteringen'!C402</f>
        <v>Transport</v>
      </c>
      <c r="K489" s="32" t="str">
        <f>'13. Input desinvesteringen'!D402</f>
        <v>EHS</v>
      </c>
      <c r="L489" s="32" t="str">
        <f>'13. Input desinvesteringen'!E402</f>
        <v>Ja</v>
      </c>
      <c r="M489" s="32" t="str">
        <f>'13. Input desinvesteringen'!F402</f>
        <v>Gebouwen bij de stations</v>
      </c>
      <c r="N489" s="82">
        <f>'13. Input desinvesteringen'!G402</f>
        <v>2015</v>
      </c>
      <c r="O489" s="82"/>
      <c r="P489" s="82"/>
      <c r="Q489" s="32">
        <f>'13. Input desinvesteringen'!H402</f>
        <v>21577</v>
      </c>
      <c r="R489" s="82">
        <f>'13. Input desinvesteringen'!I402</f>
        <v>2025</v>
      </c>
      <c r="S489" s="32">
        <f>'13. Input desinvesteringen'!J402</f>
        <v>1</v>
      </c>
      <c r="U489" s="76">
        <f t="shared" si="21"/>
        <v>0</v>
      </c>
      <c r="V489" s="76">
        <f t="shared" si="22"/>
        <v>1</v>
      </c>
      <c r="X489" s="33" cm="1">
        <f t="array" ref="X489">((X$102=$R489)*((13-$S489)/12)+(X$102&gt;$R489))*$Q489*INDEX($J$13:$O$39,$N489-1999,X$102-2020)</f>
        <v>0</v>
      </c>
      <c r="Y489" s="33" cm="1">
        <f t="array" ref="Y489">((Y$102=$R489)*((13-$S489)/12)+(Y$102&gt;$R489))*$Q489*INDEX($J$13:$O$39,$N489-1999,Y$102-2020)</f>
        <v>0</v>
      </c>
      <c r="Z489" s="33" cm="1">
        <f t="array" ref="Z489">((Z$102=$R489)*((13-$S489)/12)+(Z$102&gt;$R489))*$Q489*INDEX($J$13:$O$39,$N489-1999,Z$102-2020)</f>
        <v>0</v>
      </c>
      <c r="AA489" s="33" cm="1">
        <f t="array" ref="AA489">((AA$102=$R489)*((13-$S489)/12)+(AA$102&gt;$R489))*$Q489*INDEX($J$13:$O$39,$N489-1999,AA$102-2020)</f>
        <v>0</v>
      </c>
      <c r="AB489" s="33" cm="1">
        <f t="array" ref="AB489">((AB$102=$R489)*((13-$S489)/12)+(AB$102&gt;$R489))*$Q489*INDEX($J$13:$O$39,$N489-1999,AB$102-2020)</f>
        <v>28583.838994558089</v>
      </c>
      <c r="AC489" s="33" cm="1">
        <f t="array" ref="AC489">((AC$102=$R489)*((13-$S489)/12)+(AC$102&gt;$R489))*$Q489*INDEX($J$13:$O$39,$N489-1999,AC$102-2020)</f>
        <v>29384.186486405721</v>
      </c>
    </row>
    <row r="490" spans="2:29" x14ac:dyDescent="0.2">
      <c r="B490" s="32">
        <f>'13. Input desinvesteringen'!B403</f>
        <v>387</v>
      </c>
      <c r="J490" s="32" t="str">
        <f>'13. Input desinvesteringen'!C403</f>
        <v>Transport</v>
      </c>
      <c r="K490" s="32" t="str">
        <f>'13. Input desinvesteringen'!D403</f>
        <v>HS</v>
      </c>
      <c r="L490" s="32" t="str">
        <f>'13. Input desinvesteringen'!E403</f>
        <v>Nee</v>
      </c>
      <c r="M490" s="32" t="str">
        <f>'13. Input desinvesteringen'!F403</f>
        <v>Gebouwen bij de stations</v>
      </c>
      <c r="N490" s="82">
        <f>'13. Input desinvesteringen'!G403</f>
        <v>2019</v>
      </c>
      <c r="O490" s="82"/>
      <c r="P490" s="82"/>
      <c r="Q490" s="32">
        <f>'13. Input desinvesteringen'!H403</f>
        <v>149697</v>
      </c>
      <c r="R490" s="82">
        <f>'13. Input desinvesteringen'!I403</f>
        <v>2025</v>
      </c>
      <c r="S490" s="32">
        <f>'13. Input desinvesteringen'!J403</f>
        <v>7</v>
      </c>
      <c r="U490" s="76">
        <f t="shared" si="21"/>
        <v>0</v>
      </c>
      <c r="V490" s="76">
        <f t="shared" si="22"/>
        <v>1</v>
      </c>
      <c r="X490" s="33" cm="1">
        <f t="array" ref="X490">((X$102=$R490)*((13-$S490)/12)+(X$102&gt;$R490))*$Q490*INDEX($J$13:$O$39,$N490-1999,X$102-2020)</f>
        <v>0</v>
      </c>
      <c r="Y490" s="33" cm="1">
        <f t="array" ref="Y490">((Y$102=$R490)*((13-$S490)/12)+(Y$102&gt;$R490))*$Q490*INDEX($J$13:$O$39,$N490-1999,Y$102-2020)</f>
        <v>0</v>
      </c>
      <c r="Z490" s="33" cm="1">
        <f t="array" ref="Z490">((Z$102=$R490)*((13-$S490)/12)+(Z$102&gt;$R490))*$Q490*INDEX($J$13:$O$39,$N490-1999,Z$102-2020)</f>
        <v>0</v>
      </c>
      <c r="AA490" s="33" cm="1">
        <f t="array" ref="AA490">((AA$102=$R490)*((13-$S490)/12)+(AA$102&gt;$R490))*$Q490*INDEX($J$13:$O$39,$N490-1999,AA$102-2020)</f>
        <v>0</v>
      </c>
      <c r="AB490" s="33" cm="1">
        <f t="array" ref="AB490">((AB$102=$R490)*((13-$S490)/12)+(AB$102&gt;$R490))*$Q490*INDEX($J$13:$O$39,$N490-1999,AB$102-2020)</f>
        <v>94824.518459225772</v>
      </c>
      <c r="AC490" s="33" cm="1">
        <f t="array" ref="AC490">((AC$102=$R490)*((13-$S490)/12)+(AC$102&gt;$R490))*$Q490*INDEX($J$13:$O$39,$N490-1999,AC$102-2020)</f>
        <v>194959.2099521682</v>
      </c>
    </row>
    <row r="491" spans="2:29" x14ac:dyDescent="0.2">
      <c r="B491" s="32">
        <f>'13. Input desinvesteringen'!B404</f>
        <v>388</v>
      </c>
      <c r="J491" s="32" t="str">
        <f>'13. Input desinvesteringen'!C404</f>
        <v>Transport</v>
      </c>
      <c r="K491" s="32" t="str">
        <f>'13. Input desinvesteringen'!D404</f>
        <v>HS</v>
      </c>
      <c r="L491" s="32" t="str">
        <f>'13. Input desinvesteringen'!E404</f>
        <v>Nee</v>
      </c>
      <c r="M491" s="32" t="str">
        <f>'13. Input desinvesteringen'!F404</f>
        <v>Gebouwen bij de stations</v>
      </c>
      <c r="N491" s="82">
        <f>'13. Input desinvesteringen'!G404</f>
        <v>2019</v>
      </c>
      <c r="O491" s="82"/>
      <c r="P491" s="82"/>
      <c r="Q491" s="32">
        <f>'13. Input desinvesteringen'!H404</f>
        <v>880770</v>
      </c>
      <c r="R491" s="82">
        <f>'13. Input desinvesteringen'!I404</f>
        <v>2025</v>
      </c>
      <c r="S491" s="32">
        <f>'13. Input desinvesteringen'!J404</f>
        <v>7</v>
      </c>
      <c r="U491" s="76">
        <f t="shared" si="21"/>
        <v>0</v>
      </c>
      <c r="V491" s="76">
        <f t="shared" si="22"/>
        <v>1</v>
      </c>
      <c r="X491" s="33" cm="1">
        <f t="array" ref="X491">((X$102=$R491)*((13-$S491)/12)+(X$102&gt;$R491))*$Q491*INDEX($J$13:$O$39,$N491-1999,X$102-2020)</f>
        <v>0</v>
      </c>
      <c r="Y491" s="33" cm="1">
        <f t="array" ref="Y491">((Y$102=$R491)*((13-$S491)/12)+(Y$102&gt;$R491))*$Q491*INDEX($J$13:$O$39,$N491-1999,Y$102-2020)</f>
        <v>0</v>
      </c>
      <c r="Z491" s="33" cm="1">
        <f t="array" ref="Z491">((Z$102=$R491)*((13-$S491)/12)+(Z$102&gt;$R491))*$Q491*INDEX($J$13:$O$39,$N491-1999,Z$102-2020)</f>
        <v>0</v>
      </c>
      <c r="AA491" s="33" cm="1">
        <f t="array" ref="AA491">((AA$102=$R491)*((13-$S491)/12)+(AA$102&gt;$R491))*$Q491*INDEX($J$13:$O$39,$N491-1999,AA$102-2020)</f>
        <v>0</v>
      </c>
      <c r="AB491" s="33" cm="1">
        <f t="array" ref="AB491">((AB$102=$R491)*((13-$S491)/12)+(AB$102&gt;$R491))*$Q491*INDEX($J$13:$O$39,$N491-1999,AB$102-2020)</f>
        <v>557917.60104298871</v>
      </c>
      <c r="AC491" s="33" cm="1">
        <f t="array" ref="AC491">((AC$102=$R491)*((13-$S491)/12)+(AC$102&gt;$R491))*$Q491*INDEX($J$13:$O$39,$N491-1999,AC$102-2020)</f>
        <v>1147078.587744385</v>
      </c>
    </row>
    <row r="492" spans="2:29" x14ac:dyDescent="0.2">
      <c r="B492" s="32">
        <f>'13. Input desinvesteringen'!B405</f>
        <v>389</v>
      </c>
      <c r="J492" s="32" t="str">
        <f>'13. Input desinvesteringen'!C405</f>
        <v>Transport</v>
      </c>
      <c r="K492" s="32" t="str">
        <f>'13. Input desinvesteringen'!D405</f>
        <v>HS</v>
      </c>
      <c r="L492" s="32" t="str">
        <f>'13. Input desinvesteringen'!E405</f>
        <v>Nee</v>
      </c>
      <c r="M492" s="32" t="str">
        <f>'13. Input desinvesteringen'!F405</f>
        <v>Hoogspanningsstations primair</v>
      </c>
      <c r="N492" s="82">
        <f>'13. Input desinvesteringen'!G405</f>
        <v>2019</v>
      </c>
      <c r="O492" s="82"/>
      <c r="P492" s="82"/>
      <c r="Q492" s="32">
        <f>'13. Input desinvesteringen'!H405</f>
        <v>880208</v>
      </c>
      <c r="R492" s="82">
        <f>'13. Input desinvesteringen'!I405</f>
        <v>2025</v>
      </c>
      <c r="S492" s="32">
        <f>'13. Input desinvesteringen'!J405</f>
        <v>7</v>
      </c>
      <c r="U492" s="76">
        <f t="shared" si="21"/>
        <v>1</v>
      </c>
      <c r="V492" s="76">
        <f t="shared" si="22"/>
        <v>0</v>
      </c>
      <c r="X492" s="33" cm="1">
        <f t="array" ref="X492">((X$102=$R492)*((13-$S492)/12)+(X$102&gt;$R492))*$Q492*INDEX($J$13:$O$39,$N492-1999,X$102-2020)</f>
        <v>0</v>
      </c>
      <c r="Y492" s="33" cm="1">
        <f t="array" ref="Y492">((Y$102=$R492)*((13-$S492)/12)+(Y$102&gt;$R492))*$Q492*INDEX($J$13:$O$39,$N492-1999,Y$102-2020)</f>
        <v>0</v>
      </c>
      <c r="Z492" s="33" cm="1">
        <f t="array" ref="Z492">((Z$102=$R492)*((13-$S492)/12)+(Z$102&gt;$R492))*$Q492*INDEX($J$13:$O$39,$N492-1999,Z$102-2020)</f>
        <v>0</v>
      </c>
      <c r="AA492" s="33" cm="1">
        <f t="array" ref="AA492">((AA$102=$R492)*((13-$S492)/12)+(AA$102&gt;$R492))*$Q492*INDEX($J$13:$O$39,$N492-1999,AA$102-2020)</f>
        <v>0</v>
      </c>
      <c r="AB492" s="33" cm="1">
        <f t="array" ref="AB492">((AB$102=$R492)*((13-$S492)/12)+(AB$102&gt;$R492))*$Q492*INDEX($J$13:$O$39,$N492-1999,AB$102-2020)</f>
        <v>557561.60607065074</v>
      </c>
      <c r="AC492" s="33" cm="1">
        <f t="array" ref="AC492">((AC$102=$R492)*((13-$S492)/12)+(AC$102&gt;$R492))*$Q492*INDEX($J$13:$O$39,$N492-1999,AC$102-2020)</f>
        <v>1146346.6620812579</v>
      </c>
    </row>
    <row r="493" spans="2:29" x14ac:dyDescent="0.2">
      <c r="B493" s="32">
        <f>'13. Input desinvesteringen'!B406</f>
        <v>390</v>
      </c>
      <c r="J493" s="32" t="str">
        <f>'13. Input desinvesteringen'!C406</f>
        <v>Transport</v>
      </c>
      <c r="K493" s="32" t="str">
        <f>'13. Input desinvesteringen'!D406</f>
        <v>HS</v>
      </c>
      <c r="L493" s="32" t="str">
        <f>'13. Input desinvesteringen'!E406</f>
        <v>Nee</v>
      </c>
      <c r="M493" s="32" t="str">
        <f>'13. Input desinvesteringen'!F406</f>
        <v>Hoogspanningsstations primair</v>
      </c>
      <c r="N493" s="82">
        <f>'13. Input desinvesteringen'!G406</f>
        <v>2015</v>
      </c>
      <c r="O493" s="82"/>
      <c r="P493" s="82"/>
      <c r="Q493" s="32">
        <f>'13. Input desinvesteringen'!H406</f>
        <v>88742</v>
      </c>
      <c r="R493" s="82">
        <f>'13. Input desinvesteringen'!I406</f>
        <v>2025</v>
      </c>
      <c r="S493" s="32">
        <f>'13. Input desinvesteringen'!J406</f>
        <v>11</v>
      </c>
      <c r="U493" s="76">
        <f t="shared" si="21"/>
        <v>1</v>
      </c>
      <c r="V493" s="76">
        <f t="shared" si="22"/>
        <v>0</v>
      </c>
      <c r="X493" s="33" cm="1">
        <f t="array" ref="X493">((X$102=$R493)*((13-$S493)/12)+(X$102&gt;$R493))*$Q493*INDEX($J$13:$O$39,$N493-1999,X$102-2020)</f>
        <v>0</v>
      </c>
      <c r="Y493" s="33" cm="1">
        <f t="array" ref="Y493">((Y$102=$R493)*((13-$S493)/12)+(Y$102&gt;$R493))*$Q493*INDEX($J$13:$O$39,$N493-1999,Y$102-2020)</f>
        <v>0</v>
      </c>
      <c r="Z493" s="33" cm="1">
        <f t="array" ref="Z493">((Z$102=$R493)*((13-$S493)/12)+(Z$102&gt;$R493))*$Q493*INDEX($J$13:$O$39,$N493-1999,Z$102-2020)</f>
        <v>0</v>
      </c>
      <c r="AA493" s="33" cm="1">
        <f t="array" ref="AA493">((AA$102=$R493)*((13-$S493)/12)+(AA$102&gt;$R493))*$Q493*INDEX($J$13:$O$39,$N493-1999,AA$102-2020)</f>
        <v>0</v>
      </c>
      <c r="AB493" s="33" cm="1">
        <f t="array" ref="AB493">((AB$102=$R493)*((13-$S493)/12)+(AB$102&gt;$R493))*$Q493*INDEX($J$13:$O$39,$N493-1999,AB$102-2020)</f>
        <v>19593.294094445271</v>
      </c>
      <c r="AC493" s="33" cm="1">
        <f t="array" ref="AC493">((AC$102=$R493)*((13-$S493)/12)+(AC$102&gt;$R493))*$Q493*INDEX($J$13:$O$39,$N493-1999,AC$102-2020)</f>
        <v>120851.43797453846</v>
      </c>
    </row>
    <row r="494" spans="2:29" x14ac:dyDescent="0.2">
      <c r="B494" s="32">
        <f>'13. Input desinvesteringen'!B407</f>
        <v>391</v>
      </c>
      <c r="J494" s="32" t="str">
        <f>'13. Input desinvesteringen'!C407</f>
        <v>Transport</v>
      </c>
      <c r="K494" s="32" t="str">
        <f>'13. Input desinvesteringen'!D407</f>
        <v>HS</v>
      </c>
      <c r="L494" s="32" t="str">
        <f>'13. Input desinvesteringen'!E407</f>
        <v>Nee</v>
      </c>
      <c r="M494" s="32" t="str">
        <f>'13. Input desinvesteringen'!F407</f>
        <v>Hoogspanningsstations secundair</v>
      </c>
      <c r="N494" s="82">
        <f>'13. Input desinvesteringen'!G407</f>
        <v>2019</v>
      </c>
      <c r="O494" s="82"/>
      <c r="P494" s="82"/>
      <c r="Q494" s="32">
        <f>'13. Input desinvesteringen'!H407</f>
        <v>23651</v>
      </c>
      <c r="R494" s="82">
        <f>'13. Input desinvesteringen'!I407</f>
        <v>2025</v>
      </c>
      <c r="S494" s="32">
        <f>'13. Input desinvesteringen'!J407</f>
        <v>7</v>
      </c>
      <c r="U494" s="76">
        <f t="shared" si="21"/>
        <v>1</v>
      </c>
      <c r="V494" s="76">
        <f t="shared" si="22"/>
        <v>0</v>
      </c>
      <c r="X494" s="33" cm="1">
        <f t="array" ref="X494">((X$102=$R494)*((13-$S494)/12)+(X$102&gt;$R494))*$Q494*INDEX($J$13:$O$39,$N494-1999,X$102-2020)</f>
        <v>0</v>
      </c>
      <c r="Y494" s="33" cm="1">
        <f t="array" ref="Y494">((Y$102=$R494)*((13-$S494)/12)+(Y$102&gt;$R494))*$Q494*INDEX($J$13:$O$39,$N494-1999,Y$102-2020)</f>
        <v>0</v>
      </c>
      <c r="Z494" s="33" cm="1">
        <f t="array" ref="Z494">((Z$102=$R494)*((13-$S494)/12)+(Z$102&gt;$R494))*$Q494*INDEX($J$13:$O$39,$N494-1999,Z$102-2020)</f>
        <v>0</v>
      </c>
      <c r="AA494" s="33" cm="1">
        <f t="array" ref="AA494">((AA$102=$R494)*((13-$S494)/12)+(AA$102&gt;$R494))*$Q494*INDEX($J$13:$O$39,$N494-1999,AA$102-2020)</f>
        <v>0</v>
      </c>
      <c r="AB494" s="33" cm="1">
        <f t="array" ref="AB494">((AB$102=$R494)*((13-$S494)/12)+(AB$102&gt;$R494))*$Q494*INDEX($J$13:$O$39,$N494-1999,AB$102-2020)</f>
        <v>14981.560659726973</v>
      </c>
      <c r="AC494" s="33" cm="1">
        <f t="array" ref="AC494">((AC$102=$R494)*((13-$S494)/12)+(AC$102&gt;$R494))*$Q494*INDEX($J$13:$O$39,$N494-1999,AC$102-2020)</f>
        <v>30802.088716398659</v>
      </c>
    </row>
    <row r="495" spans="2:29" x14ac:dyDescent="0.2">
      <c r="B495" s="32">
        <f>'13. Input desinvesteringen'!B408</f>
        <v>392</v>
      </c>
      <c r="J495" s="32" t="str">
        <f>'13. Input desinvesteringen'!C408</f>
        <v>Transport</v>
      </c>
      <c r="K495" s="32" t="str">
        <f>'13. Input desinvesteringen'!D408</f>
        <v>HS</v>
      </c>
      <c r="L495" s="32" t="str">
        <f>'13. Input desinvesteringen'!E408</f>
        <v>Nee</v>
      </c>
      <c r="M495" s="32" t="str">
        <f>'13. Input desinvesteringen'!F408</f>
        <v>Hoogspanningsstations secundair</v>
      </c>
      <c r="N495" s="82">
        <f>'13. Input desinvesteringen'!G408</f>
        <v>2019</v>
      </c>
      <c r="O495" s="82"/>
      <c r="P495" s="82"/>
      <c r="Q495" s="32">
        <f>'13. Input desinvesteringen'!H408</f>
        <v>662051</v>
      </c>
      <c r="R495" s="82">
        <f>'13. Input desinvesteringen'!I408</f>
        <v>2025</v>
      </c>
      <c r="S495" s="32">
        <f>'13. Input desinvesteringen'!J408</f>
        <v>7</v>
      </c>
      <c r="U495" s="76">
        <f t="shared" si="21"/>
        <v>1</v>
      </c>
      <c r="V495" s="76">
        <f t="shared" si="22"/>
        <v>0</v>
      </c>
      <c r="X495" s="33" cm="1">
        <f t="array" ref="X495">((X$102=$R495)*((13-$S495)/12)+(X$102&gt;$R495))*$Q495*INDEX($J$13:$O$39,$N495-1999,X$102-2020)</f>
        <v>0</v>
      </c>
      <c r="Y495" s="33" cm="1">
        <f t="array" ref="Y495">((Y$102=$R495)*((13-$S495)/12)+(Y$102&gt;$R495))*$Q495*INDEX($J$13:$O$39,$N495-1999,Y$102-2020)</f>
        <v>0</v>
      </c>
      <c r="Z495" s="33" cm="1">
        <f t="array" ref="Z495">((Z$102=$R495)*((13-$S495)/12)+(Z$102&gt;$R495))*$Q495*INDEX($J$13:$O$39,$N495-1999,Z$102-2020)</f>
        <v>0</v>
      </c>
      <c r="AA495" s="33" cm="1">
        <f t="array" ref="AA495">((AA$102=$R495)*((13-$S495)/12)+(AA$102&gt;$R495))*$Q495*INDEX($J$13:$O$39,$N495-1999,AA$102-2020)</f>
        <v>0</v>
      </c>
      <c r="AB495" s="33" cm="1">
        <f t="array" ref="AB495">((AB$102=$R495)*((13-$S495)/12)+(AB$102&gt;$R495))*$Q495*INDEX($J$13:$O$39,$N495-1999,AB$102-2020)</f>
        <v>419371.57905935909</v>
      </c>
      <c r="AC495" s="33" cm="1">
        <f t="array" ref="AC495">((AC$102=$R495)*((13-$S495)/12)+(AC$102&gt;$R495))*$Q495*INDEX($J$13:$O$39,$N495-1999,AC$102-2020)</f>
        <v>862227.96654604236</v>
      </c>
    </row>
    <row r="496" spans="2:29" x14ac:dyDescent="0.2">
      <c r="B496" s="32">
        <f>'13. Input desinvesteringen'!B409</f>
        <v>393</v>
      </c>
      <c r="J496" s="32" t="str">
        <f>'13. Input desinvesteringen'!C409</f>
        <v>Transport</v>
      </c>
      <c r="K496" s="32" t="str">
        <f>'13. Input desinvesteringen'!D409</f>
        <v>HS</v>
      </c>
      <c r="L496" s="32" t="str">
        <f>'13. Input desinvesteringen'!E409</f>
        <v>Nee</v>
      </c>
      <c r="M496" s="32" t="str">
        <f>'13. Input desinvesteringen'!F409</f>
        <v>Telecommunicatienet</v>
      </c>
      <c r="N496" s="82">
        <f>'13. Input desinvesteringen'!G409</f>
        <v>2015</v>
      </c>
      <c r="O496" s="82"/>
      <c r="P496" s="82"/>
      <c r="Q496" s="32">
        <f>'13. Input desinvesteringen'!H409</f>
        <v>78467</v>
      </c>
      <c r="R496" s="82">
        <f>'13. Input desinvesteringen'!I409</f>
        <v>2025</v>
      </c>
      <c r="S496" s="32">
        <f>'13. Input desinvesteringen'!J409</f>
        <v>7</v>
      </c>
      <c r="U496" s="76">
        <f t="shared" si="21"/>
        <v>1</v>
      </c>
      <c r="V496" s="76">
        <f t="shared" si="22"/>
        <v>0</v>
      </c>
      <c r="X496" s="33" cm="1">
        <f t="array" ref="X496">((X$102=$R496)*((13-$S496)/12)+(X$102&gt;$R496))*$Q496*INDEX($J$13:$O$39,$N496-1999,X$102-2020)</f>
        <v>0</v>
      </c>
      <c r="Y496" s="33" cm="1">
        <f t="array" ref="Y496">((Y$102=$R496)*((13-$S496)/12)+(Y$102&gt;$R496))*$Q496*INDEX($J$13:$O$39,$N496-1999,Y$102-2020)</f>
        <v>0</v>
      </c>
      <c r="Z496" s="33" cm="1">
        <f t="array" ref="Z496">((Z$102=$R496)*((13-$S496)/12)+(Z$102&gt;$R496))*$Q496*INDEX($J$13:$O$39,$N496-1999,Z$102-2020)</f>
        <v>0</v>
      </c>
      <c r="AA496" s="33" cm="1">
        <f t="array" ref="AA496">((AA$102=$R496)*((13-$S496)/12)+(AA$102&gt;$R496))*$Q496*INDEX($J$13:$O$39,$N496-1999,AA$102-2020)</f>
        <v>0</v>
      </c>
      <c r="AB496" s="33" cm="1">
        <f t="array" ref="AB496">((AB$102=$R496)*((13-$S496)/12)+(AB$102&gt;$R496))*$Q496*INDEX($J$13:$O$39,$N496-1999,AB$102-2020)</f>
        <v>51974.048625526942</v>
      </c>
      <c r="AC496" s="33" cm="1">
        <f t="array" ref="AC496">((AC$102=$R496)*((13-$S496)/12)+(AC$102&gt;$R496))*$Q496*INDEX($J$13:$O$39,$N496-1999,AC$102-2020)</f>
        <v>106858.6439740834</v>
      </c>
    </row>
    <row r="497" spans="2:29" x14ac:dyDescent="0.2">
      <c r="B497" s="32">
        <f>'13. Input desinvesteringen'!B410</f>
        <v>394</v>
      </c>
      <c r="J497" s="32" t="str">
        <f>'13. Input desinvesteringen'!C410</f>
        <v>Transport</v>
      </c>
      <c r="K497" s="32" t="str">
        <f>'13. Input desinvesteringen'!D410</f>
        <v>HS</v>
      </c>
      <c r="L497" s="32" t="str">
        <f>'13. Input desinvesteringen'!E410</f>
        <v>Nee</v>
      </c>
      <c r="M497" s="32" t="str">
        <f>'13. Input desinvesteringen'!F410</f>
        <v>Computerapparatuur</v>
      </c>
      <c r="N497" s="82">
        <f>'13. Input desinvesteringen'!G410</f>
        <v>2020</v>
      </c>
      <c r="O497" s="82"/>
      <c r="P497" s="82"/>
      <c r="Q497" s="32">
        <f>'13. Input desinvesteringen'!H410</f>
        <v>2728325</v>
      </c>
      <c r="R497" s="82">
        <f>'13. Input desinvesteringen'!I410</f>
        <v>2025</v>
      </c>
      <c r="S497" s="32">
        <f>'13. Input desinvesteringen'!J410</f>
        <v>12</v>
      </c>
      <c r="U497" s="76">
        <f t="shared" si="21"/>
        <v>1</v>
      </c>
      <c r="V497" s="76">
        <f t="shared" si="22"/>
        <v>0</v>
      </c>
      <c r="X497" s="33" cm="1">
        <f t="array" ref="X497">((X$102=$R497)*((13-$S497)/12)+(X$102&gt;$R497))*$Q497*INDEX($J$13:$O$39,$N497-1999,X$102-2020)</f>
        <v>0</v>
      </c>
      <c r="Y497" s="33" cm="1">
        <f t="array" ref="Y497">((Y$102=$R497)*((13-$S497)/12)+(Y$102&gt;$R497))*$Q497*INDEX($J$13:$O$39,$N497-1999,Y$102-2020)</f>
        <v>0</v>
      </c>
      <c r="Z497" s="33" cm="1">
        <f t="array" ref="Z497">((Z$102=$R497)*((13-$S497)/12)+(Z$102&gt;$R497))*$Q497*INDEX($J$13:$O$39,$N497-1999,Z$102-2020)</f>
        <v>0</v>
      </c>
      <c r="AA497" s="33" cm="1">
        <f t="array" ref="AA497">((AA$102=$R497)*((13-$S497)/12)+(AA$102&gt;$R497))*$Q497*INDEX($J$13:$O$39,$N497-1999,AA$102-2020)</f>
        <v>0</v>
      </c>
      <c r="AB497" s="33" cm="1">
        <f t="array" ref="AB497">((AB$102=$R497)*((13-$S497)/12)+(AB$102&gt;$R497))*$Q497*INDEX($J$13:$O$39,$N497-1999,AB$102-2020)</f>
        <v>280194.29373281618</v>
      </c>
      <c r="AC497" s="33" cm="1">
        <f t="array" ref="AC497">((AC$102=$R497)*((13-$S497)/12)+(AC$102&gt;$R497))*$Q497*INDEX($J$13:$O$39,$N497-1999,AC$102-2020)</f>
        <v>3456476.8074880205</v>
      </c>
    </row>
    <row r="498" spans="2:29" x14ac:dyDescent="0.2">
      <c r="B498" s="32">
        <f>'13. Input desinvesteringen'!B411</f>
        <v>395</v>
      </c>
      <c r="J498" s="32" t="str">
        <f>'13. Input desinvesteringen'!C411</f>
        <v>Transport</v>
      </c>
      <c r="K498" s="32" t="str">
        <f>'13. Input desinvesteringen'!D411</f>
        <v>HS</v>
      </c>
      <c r="L498" s="32" t="str">
        <f>'13. Input desinvesteringen'!E411</f>
        <v>Nee</v>
      </c>
      <c r="M498" s="32" t="str">
        <f>'13. Input desinvesteringen'!F411</f>
        <v>Gebouwen bij de stations</v>
      </c>
      <c r="N498" s="82">
        <f>'13. Input desinvesteringen'!G411</f>
        <v>2019</v>
      </c>
      <c r="O498" s="82"/>
      <c r="P498" s="82"/>
      <c r="Q498" s="32">
        <f>'13. Input desinvesteringen'!H411</f>
        <v>2005</v>
      </c>
      <c r="R498" s="82">
        <f>'13. Input desinvesteringen'!I411</f>
        <v>2025</v>
      </c>
      <c r="S498" s="32">
        <f>'13. Input desinvesteringen'!J411</f>
        <v>7</v>
      </c>
      <c r="U498" s="76">
        <f t="shared" si="21"/>
        <v>0</v>
      </c>
      <c r="V498" s="76">
        <f t="shared" si="22"/>
        <v>1</v>
      </c>
      <c r="X498" s="33" cm="1">
        <f t="array" ref="X498">((X$102=$R498)*((13-$S498)/12)+(X$102&gt;$R498))*$Q498*INDEX($J$13:$O$39,$N498-1999,X$102-2020)</f>
        <v>0</v>
      </c>
      <c r="Y498" s="33" cm="1">
        <f t="array" ref="Y498">((Y$102=$R498)*((13-$S498)/12)+(Y$102&gt;$R498))*$Q498*INDEX($J$13:$O$39,$N498-1999,Y$102-2020)</f>
        <v>0</v>
      </c>
      <c r="Z498" s="33" cm="1">
        <f t="array" ref="Z498">((Z$102=$R498)*((13-$S498)/12)+(Z$102&gt;$R498))*$Q498*INDEX($J$13:$O$39,$N498-1999,Z$102-2020)</f>
        <v>0</v>
      </c>
      <c r="AA498" s="33" cm="1">
        <f t="array" ref="AA498">((AA$102=$R498)*((13-$S498)/12)+(AA$102&gt;$R498))*$Q498*INDEX($J$13:$O$39,$N498-1999,AA$102-2020)</f>
        <v>0</v>
      </c>
      <c r="AB498" s="33" cm="1">
        <f t="array" ref="AB498">((AB$102=$R498)*((13-$S498)/12)+(AB$102&gt;$R498))*$Q498*INDEX($J$13:$O$39,$N498-1999,AB$102-2020)</f>
        <v>1270.0532376116266</v>
      </c>
      <c r="AC498" s="33" cm="1">
        <f t="array" ref="AC498">((AC$102=$R498)*((13-$S498)/12)+(AC$102&gt;$R498))*$Q498*INDEX($J$13:$O$39,$N498-1999,AC$102-2020)</f>
        <v>2611.2294565295047</v>
      </c>
    </row>
    <row r="499" spans="2:29" x14ac:dyDescent="0.2">
      <c r="B499" s="32">
        <f>'13. Input desinvesteringen'!B412</f>
        <v>396</v>
      </c>
      <c r="J499" s="32" t="str">
        <f>'13. Input desinvesteringen'!C412</f>
        <v>Transport</v>
      </c>
      <c r="K499" s="32" t="str">
        <f>'13. Input desinvesteringen'!D412</f>
        <v>HS</v>
      </c>
      <c r="L499" s="32" t="str">
        <f>'13. Input desinvesteringen'!E412</f>
        <v>Nee</v>
      </c>
      <c r="M499" s="32" t="str">
        <f>'13. Input desinvesteringen'!F412</f>
        <v>Gebouwen bij de stations</v>
      </c>
      <c r="N499" s="82">
        <f>'13. Input desinvesteringen'!G412</f>
        <v>2015</v>
      </c>
      <c r="O499" s="82"/>
      <c r="P499" s="82"/>
      <c r="Q499" s="32">
        <f>'13. Input desinvesteringen'!H412</f>
        <v>4547</v>
      </c>
      <c r="R499" s="82">
        <f>'13. Input desinvesteringen'!I412</f>
        <v>2025</v>
      </c>
      <c r="S499" s="32">
        <f>'13. Input desinvesteringen'!J412</f>
        <v>7</v>
      </c>
      <c r="U499" s="76">
        <f t="shared" si="21"/>
        <v>0</v>
      </c>
      <c r="V499" s="76">
        <f t="shared" si="22"/>
        <v>1</v>
      </c>
      <c r="X499" s="33" cm="1">
        <f t="array" ref="X499">((X$102=$R499)*((13-$S499)/12)+(X$102&gt;$R499))*$Q499*INDEX($J$13:$O$39,$N499-1999,X$102-2020)</f>
        <v>0</v>
      </c>
      <c r="Y499" s="33" cm="1">
        <f t="array" ref="Y499">((Y$102=$R499)*((13-$S499)/12)+(Y$102&gt;$R499))*$Q499*INDEX($J$13:$O$39,$N499-1999,Y$102-2020)</f>
        <v>0</v>
      </c>
      <c r="Z499" s="33" cm="1">
        <f t="array" ref="Z499">((Z$102=$R499)*((13-$S499)/12)+(Z$102&gt;$R499))*$Q499*INDEX($J$13:$O$39,$N499-1999,Z$102-2020)</f>
        <v>0</v>
      </c>
      <c r="AA499" s="33" cm="1">
        <f t="array" ref="AA499">((AA$102=$R499)*((13-$S499)/12)+(AA$102&gt;$R499))*$Q499*INDEX($J$13:$O$39,$N499-1999,AA$102-2020)</f>
        <v>0</v>
      </c>
      <c r="AB499" s="33" cm="1">
        <f t="array" ref="AB499">((AB$102=$R499)*((13-$S499)/12)+(AB$102&gt;$R499))*$Q499*INDEX($J$13:$O$39,$N499-1999,AB$102-2020)</f>
        <v>3011.78838365518</v>
      </c>
      <c r="AC499" s="33" cm="1">
        <f t="array" ref="AC499">((AC$102=$R499)*((13-$S499)/12)+(AC$102&gt;$R499))*$Q499*INDEX($J$13:$O$39,$N499-1999,AC$102-2020)</f>
        <v>6192.2369167950501</v>
      </c>
    </row>
    <row r="500" spans="2:29" x14ac:dyDescent="0.2">
      <c r="B500" s="32">
        <f>'13. Input desinvesteringen'!B413</f>
        <v>397</v>
      </c>
      <c r="J500" s="32" t="str">
        <f>'13. Input desinvesteringen'!C413</f>
        <v>Transport</v>
      </c>
      <c r="K500" s="32" t="str">
        <f>'13. Input desinvesteringen'!D413</f>
        <v>HS</v>
      </c>
      <c r="L500" s="32" t="str">
        <f>'13. Input desinvesteringen'!E413</f>
        <v>Nee</v>
      </c>
      <c r="M500" s="32" t="str">
        <f>'13. Input desinvesteringen'!F413</f>
        <v>Hoogspanningsstations primair</v>
      </c>
      <c r="N500" s="82">
        <f>'13. Input desinvesteringen'!G413</f>
        <v>2018</v>
      </c>
      <c r="O500" s="82"/>
      <c r="P500" s="82"/>
      <c r="Q500" s="32">
        <f>'13. Input desinvesteringen'!H413</f>
        <v>112533</v>
      </c>
      <c r="R500" s="82">
        <f>'13. Input desinvesteringen'!I413</f>
        <v>2025</v>
      </c>
      <c r="S500" s="32">
        <f>'13. Input desinvesteringen'!J413</f>
        <v>7</v>
      </c>
      <c r="U500" s="76">
        <f t="shared" ref="U500:U513" si="23">(J500="Transport")*(L500="Nee")*(VLOOKUP($M500,$B$64:$H$97,7,FALSE))</f>
        <v>1</v>
      </c>
      <c r="V500" s="76">
        <f t="shared" ref="V500:V513" si="24">1-U500</f>
        <v>0</v>
      </c>
      <c r="X500" s="33" cm="1">
        <f t="array" ref="X500">((X$102=$R500)*((13-$S500)/12)+(X$102&gt;$R500))*$Q500*INDEX($J$13:$O$39,$N500-1999,X$102-2020)</f>
        <v>0</v>
      </c>
      <c r="Y500" s="33" cm="1">
        <f t="array" ref="Y500">((Y$102=$R500)*((13-$S500)/12)+(Y$102&gt;$R500))*$Q500*INDEX($J$13:$O$39,$N500-1999,Y$102-2020)</f>
        <v>0</v>
      </c>
      <c r="Z500" s="33" cm="1">
        <f t="array" ref="Z500">((Z$102=$R500)*((13-$S500)/12)+(Z$102&gt;$R500))*$Q500*INDEX($J$13:$O$39,$N500-1999,Z$102-2020)</f>
        <v>0</v>
      </c>
      <c r="AA500" s="33" cm="1">
        <f t="array" ref="AA500">((AA$102=$R500)*((13-$S500)/12)+(AA$102&gt;$R500))*$Q500*INDEX($J$13:$O$39,$N500-1999,AA$102-2020)</f>
        <v>0</v>
      </c>
      <c r="AB500" s="33" cm="1">
        <f t="array" ref="AB500">((AB$102=$R500)*((13-$S500)/12)+(AB$102&gt;$R500))*$Q500*INDEX($J$13:$O$39,$N500-1999,AB$102-2020)</f>
        <v>72780.190478254503</v>
      </c>
      <c r="AC500" s="33" cm="1">
        <f t="array" ref="AC500">((AC$102=$R500)*((13-$S500)/12)+(AC$102&gt;$R500))*$Q500*INDEX($J$13:$O$39,$N500-1999,AC$102-2020)</f>
        <v>149636.07162329127</v>
      </c>
    </row>
    <row r="501" spans="2:29" x14ac:dyDescent="0.2">
      <c r="B501" s="32">
        <f>'13. Input desinvesteringen'!B414</f>
        <v>398</v>
      </c>
      <c r="J501" s="32" t="str">
        <f>'13. Input desinvesteringen'!C414</f>
        <v>Transport</v>
      </c>
      <c r="K501" s="32" t="str">
        <f>'13. Input desinvesteringen'!D414</f>
        <v>HS</v>
      </c>
      <c r="L501" s="32" t="str">
        <f>'13. Input desinvesteringen'!E414</f>
        <v>Nee</v>
      </c>
      <c r="M501" s="32" t="str">
        <f>'13. Input desinvesteringen'!F414</f>
        <v>Hoogspanningsstations primair</v>
      </c>
      <c r="N501" s="82">
        <f>'13. Input desinvesteringen'!G414</f>
        <v>2019</v>
      </c>
      <c r="O501" s="82"/>
      <c r="P501" s="82"/>
      <c r="Q501" s="32">
        <f>'13. Input desinvesteringen'!H414</f>
        <v>192622</v>
      </c>
      <c r="R501" s="82">
        <f>'13. Input desinvesteringen'!I414</f>
        <v>2025</v>
      </c>
      <c r="S501" s="32">
        <f>'13. Input desinvesteringen'!J414</f>
        <v>7</v>
      </c>
      <c r="U501" s="76">
        <f t="shared" si="23"/>
        <v>1</v>
      </c>
      <c r="V501" s="76">
        <f t="shared" si="24"/>
        <v>0</v>
      </c>
      <c r="X501" s="33" cm="1">
        <f t="array" ref="X501">((X$102=$R501)*((13-$S501)/12)+(X$102&gt;$R501))*$Q501*INDEX($J$13:$O$39,$N501-1999,X$102-2020)</f>
        <v>0</v>
      </c>
      <c r="Y501" s="33" cm="1">
        <f t="array" ref="Y501">((Y$102=$R501)*((13-$S501)/12)+(Y$102&gt;$R501))*$Q501*INDEX($J$13:$O$39,$N501-1999,Y$102-2020)</f>
        <v>0</v>
      </c>
      <c r="Z501" s="33" cm="1">
        <f t="array" ref="Z501">((Z$102=$R501)*((13-$S501)/12)+(Z$102&gt;$R501))*$Q501*INDEX($J$13:$O$39,$N501-1999,Z$102-2020)</f>
        <v>0</v>
      </c>
      <c r="AA501" s="33" cm="1">
        <f t="array" ref="AA501">((AA$102=$R501)*((13-$S501)/12)+(AA$102&gt;$R501))*$Q501*INDEX($J$13:$O$39,$N501-1999,AA$102-2020)</f>
        <v>0</v>
      </c>
      <c r="AB501" s="33" cm="1">
        <f t="array" ref="AB501">((AB$102=$R501)*((13-$S501)/12)+(AB$102&gt;$R501))*$Q501*INDEX($J$13:$O$39,$N501-1999,AB$102-2020)</f>
        <v>122015.05971831757</v>
      </c>
      <c r="AC501" s="33" cm="1">
        <f t="array" ref="AC501">((AC$102=$R501)*((13-$S501)/12)+(AC$102&gt;$R501))*$Q501*INDEX($J$13:$O$39,$N501-1999,AC$102-2020)</f>
        <v>250862.96278086095</v>
      </c>
    </row>
    <row r="502" spans="2:29" x14ac:dyDescent="0.2">
      <c r="B502" s="32">
        <f>'13. Input desinvesteringen'!B415</f>
        <v>399</v>
      </c>
      <c r="J502" s="32" t="str">
        <f>'13. Input desinvesteringen'!C415</f>
        <v>Transport</v>
      </c>
      <c r="K502" s="32" t="str">
        <f>'13. Input desinvesteringen'!D415</f>
        <v>HS</v>
      </c>
      <c r="L502" s="32" t="str">
        <f>'13. Input desinvesteringen'!E415</f>
        <v>Nee</v>
      </c>
      <c r="M502" s="32" t="str">
        <f>'13. Input desinvesteringen'!F415</f>
        <v>Hoogspanningsstations primair</v>
      </c>
      <c r="N502" s="82">
        <f>'13. Input desinvesteringen'!G415</f>
        <v>2014</v>
      </c>
      <c r="O502" s="82"/>
      <c r="P502" s="82"/>
      <c r="Q502" s="32">
        <f>'13. Input desinvesteringen'!H415</f>
        <v>124</v>
      </c>
      <c r="R502" s="82">
        <f>'13. Input desinvesteringen'!I415</f>
        <v>2025</v>
      </c>
      <c r="S502" s="32">
        <f>'13. Input desinvesteringen'!J415</f>
        <v>7</v>
      </c>
      <c r="U502" s="76">
        <f t="shared" si="23"/>
        <v>1</v>
      </c>
      <c r="V502" s="76">
        <f t="shared" si="24"/>
        <v>0</v>
      </c>
      <c r="X502" s="33" cm="1">
        <f t="array" ref="X502">((X$102=$R502)*((13-$S502)/12)+(X$102&gt;$R502))*$Q502*INDEX($J$13:$O$39,$N502-1999,X$102-2020)</f>
        <v>0</v>
      </c>
      <c r="Y502" s="33" cm="1">
        <f t="array" ref="Y502">((Y$102=$R502)*((13-$S502)/12)+(Y$102&gt;$R502))*$Q502*INDEX($J$13:$O$39,$N502-1999,Y$102-2020)</f>
        <v>0</v>
      </c>
      <c r="Z502" s="33" cm="1">
        <f t="array" ref="Z502">((Z$102=$R502)*((13-$S502)/12)+(Z$102&gt;$R502))*$Q502*INDEX($J$13:$O$39,$N502-1999,Z$102-2020)</f>
        <v>0</v>
      </c>
      <c r="AA502" s="33" cm="1">
        <f t="array" ref="AA502">((AA$102=$R502)*((13-$S502)/12)+(AA$102&gt;$R502))*$Q502*INDEX($J$13:$O$39,$N502-1999,AA$102-2020)</f>
        <v>0</v>
      </c>
      <c r="AB502" s="33" cm="1">
        <f t="array" ref="AB502">((AB$102=$R502)*((13-$S502)/12)+(AB$102&gt;$R502))*$Q502*INDEX($J$13:$O$39,$N502-1999,AB$102-2020)</f>
        <v>82.954998277760026</v>
      </c>
      <c r="AC502" s="33" cm="1">
        <f t="array" ref="AC502">((AC$102=$R502)*((13-$S502)/12)+(AC$102&gt;$R502))*$Q502*INDEX($J$13:$O$39,$N502-1999,AC$102-2020)</f>
        <v>170.55547645907461</v>
      </c>
    </row>
    <row r="503" spans="2:29" x14ac:dyDescent="0.2">
      <c r="B503" s="32">
        <f>'13. Input desinvesteringen'!B416</f>
        <v>400</v>
      </c>
      <c r="J503" s="32" t="str">
        <f>'13. Input desinvesteringen'!C416</f>
        <v>Transport</v>
      </c>
      <c r="K503" s="32" t="str">
        <f>'13. Input desinvesteringen'!D416</f>
        <v>HS</v>
      </c>
      <c r="L503" s="32" t="str">
        <f>'13. Input desinvesteringen'!E416</f>
        <v>Nee</v>
      </c>
      <c r="M503" s="32" t="str">
        <f>'13. Input desinvesteringen'!F416</f>
        <v>Hoogspanningsstations primair</v>
      </c>
      <c r="N503" s="82">
        <f>'13. Input desinvesteringen'!G416</f>
        <v>2014</v>
      </c>
      <c r="O503" s="82"/>
      <c r="P503" s="82"/>
      <c r="Q503" s="32">
        <f>'13. Input desinvesteringen'!H416</f>
        <v>68407</v>
      </c>
      <c r="R503" s="82">
        <f>'13. Input desinvesteringen'!I416</f>
        <v>2025</v>
      </c>
      <c r="S503" s="32">
        <f>'13. Input desinvesteringen'!J416</f>
        <v>7</v>
      </c>
      <c r="U503" s="76">
        <f t="shared" si="23"/>
        <v>1</v>
      </c>
      <c r="V503" s="76">
        <f t="shared" si="24"/>
        <v>0</v>
      </c>
      <c r="X503" s="33" cm="1">
        <f t="array" ref="X503">((X$102=$R503)*((13-$S503)/12)+(X$102&gt;$R503))*$Q503*INDEX($J$13:$O$39,$N503-1999,X$102-2020)</f>
        <v>0</v>
      </c>
      <c r="Y503" s="33" cm="1">
        <f t="array" ref="Y503">((Y$102=$R503)*((13-$S503)/12)+(Y$102&gt;$R503))*$Q503*INDEX($J$13:$O$39,$N503-1999,Y$102-2020)</f>
        <v>0</v>
      </c>
      <c r="Z503" s="33" cm="1">
        <f t="array" ref="Z503">((Z$102=$R503)*((13-$S503)/12)+(Z$102&gt;$R503))*$Q503*INDEX($J$13:$O$39,$N503-1999,Z$102-2020)</f>
        <v>0</v>
      </c>
      <c r="AA503" s="33" cm="1">
        <f t="array" ref="AA503">((AA$102=$R503)*((13-$S503)/12)+(AA$102&gt;$R503))*$Q503*INDEX($J$13:$O$39,$N503-1999,AA$102-2020)</f>
        <v>0</v>
      </c>
      <c r="AB503" s="33" cm="1">
        <f t="array" ref="AB503">((AB$102=$R503)*((13-$S503)/12)+(AB$102&gt;$R503))*$Q503*INDEX($J$13:$O$39,$N503-1999,AB$102-2020)</f>
        <v>45763.730380538145</v>
      </c>
      <c r="AC503" s="33" cm="1">
        <f t="array" ref="AC503">((AC$102=$R503)*((13-$S503)/12)+(AC$102&gt;$R503))*$Q503*INDEX($J$13:$O$39,$N503-1999,AC$102-2020)</f>
        <v>94090.229662386424</v>
      </c>
    </row>
    <row r="504" spans="2:29" x14ac:dyDescent="0.2">
      <c r="B504" s="32">
        <f>'13. Input desinvesteringen'!B417</f>
        <v>401</v>
      </c>
      <c r="J504" s="32" t="str">
        <f>'13. Input desinvesteringen'!C417</f>
        <v>Transport</v>
      </c>
      <c r="K504" s="32" t="str">
        <f>'13. Input desinvesteringen'!D417</f>
        <v>HS</v>
      </c>
      <c r="L504" s="32" t="str">
        <f>'13. Input desinvesteringen'!E417</f>
        <v>Nee</v>
      </c>
      <c r="M504" s="32" t="str">
        <f>'13. Input desinvesteringen'!F417</f>
        <v>Hoogspanningsstations primair</v>
      </c>
      <c r="N504" s="82">
        <f>'13. Input desinvesteringen'!G417</f>
        <v>2015</v>
      </c>
      <c r="O504" s="82"/>
      <c r="P504" s="82"/>
      <c r="Q504" s="32">
        <f>'13. Input desinvesteringen'!H417</f>
        <v>128919</v>
      </c>
      <c r="R504" s="82">
        <f>'13. Input desinvesteringen'!I417</f>
        <v>2025</v>
      </c>
      <c r="S504" s="32">
        <f>'13. Input desinvesteringen'!J417</f>
        <v>7</v>
      </c>
      <c r="U504" s="76">
        <f t="shared" si="23"/>
        <v>1</v>
      </c>
      <c r="V504" s="76">
        <f t="shared" si="24"/>
        <v>0</v>
      </c>
      <c r="X504" s="33" cm="1">
        <f t="array" ref="X504">((X$102=$R504)*((13-$S504)/12)+(X$102&gt;$R504))*$Q504*INDEX($J$13:$O$39,$N504-1999,X$102-2020)</f>
        <v>0</v>
      </c>
      <c r="Y504" s="33" cm="1">
        <f t="array" ref="Y504">((Y$102=$R504)*((13-$S504)/12)+(Y$102&gt;$R504))*$Q504*INDEX($J$13:$O$39,$N504-1999,Y$102-2020)</f>
        <v>0</v>
      </c>
      <c r="Z504" s="33" cm="1">
        <f t="array" ref="Z504">((Z$102=$R504)*((13-$S504)/12)+(Z$102&gt;$R504))*$Q504*INDEX($J$13:$O$39,$N504-1999,Z$102-2020)</f>
        <v>0</v>
      </c>
      <c r="AA504" s="33" cm="1">
        <f t="array" ref="AA504">((AA$102=$R504)*((13-$S504)/12)+(AA$102&gt;$R504))*$Q504*INDEX($J$13:$O$39,$N504-1999,AA$102-2020)</f>
        <v>0</v>
      </c>
      <c r="AB504" s="33" cm="1">
        <f t="array" ref="AB504">((AB$102=$R504)*((13-$S504)/12)+(AB$102&gt;$R504))*$Q504*INDEX($J$13:$O$39,$N504-1999,AB$102-2020)</f>
        <v>85391.85102978714</v>
      </c>
      <c r="AC504" s="33" cm="1">
        <f t="array" ref="AC504">((AC$102=$R504)*((13-$S504)/12)+(AC$102&gt;$R504))*$Q504*INDEX($J$13:$O$39,$N504-1999,AC$102-2020)</f>
        <v>175565.64571724238</v>
      </c>
    </row>
    <row r="505" spans="2:29" x14ac:dyDescent="0.2">
      <c r="B505" s="32">
        <f>'13. Input desinvesteringen'!B418</f>
        <v>402</v>
      </c>
      <c r="J505" s="32" t="str">
        <f>'13. Input desinvesteringen'!C418</f>
        <v>Transport</v>
      </c>
      <c r="K505" s="32" t="str">
        <f>'13. Input desinvesteringen'!D418</f>
        <v>HS</v>
      </c>
      <c r="L505" s="32" t="str">
        <f>'13. Input desinvesteringen'!E418</f>
        <v>Nee</v>
      </c>
      <c r="M505" s="32" t="str">
        <f>'13. Input desinvesteringen'!F418</f>
        <v>Hoogspanningsstations secundair</v>
      </c>
      <c r="N505" s="82">
        <f>'13. Input desinvesteringen'!G418</f>
        <v>2015</v>
      </c>
      <c r="O505" s="82"/>
      <c r="P505" s="82"/>
      <c r="Q505" s="32">
        <f>'13. Input desinvesteringen'!H418</f>
        <v>6752</v>
      </c>
      <c r="R505" s="82">
        <f>'13. Input desinvesteringen'!I418</f>
        <v>2025</v>
      </c>
      <c r="S505" s="32">
        <f>'13. Input desinvesteringen'!J418</f>
        <v>7</v>
      </c>
      <c r="U505" s="76">
        <f t="shared" si="23"/>
        <v>1</v>
      </c>
      <c r="V505" s="76">
        <f t="shared" si="24"/>
        <v>0</v>
      </c>
      <c r="X505" s="33" cm="1">
        <f t="array" ref="X505">((X$102=$R505)*((13-$S505)/12)+(X$102&gt;$R505))*$Q505*INDEX($J$13:$O$39,$N505-1999,X$102-2020)</f>
        <v>0</v>
      </c>
      <c r="Y505" s="33" cm="1">
        <f t="array" ref="Y505">((Y$102=$R505)*((13-$S505)/12)+(Y$102&gt;$R505))*$Q505*INDEX($J$13:$O$39,$N505-1999,Y$102-2020)</f>
        <v>0</v>
      </c>
      <c r="Z505" s="33" cm="1">
        <f t="array" ref="Z505">((Z$102=$R505)*((13-$S505)/12)+(Z$102&gt;$R505))*$Q505*INDEX($J$13:$O$39,$N505-1999,Z$102-2020)</f>
        <v>0</v>
      </c>
      <c r="AA505" s="33" cm="1">
        <f t="array" ref="AA505">((AA$102=$R505)*((13-$S505)/12)+(AA$102&gt;$R505))*$Q505*INDEX($J$13:$O$39,$N505-1999,AA$102-2020)</f>
        <v>0</v>
      </c>
      <c r="AB505" s="33" cm="1">
        <f t="array" ref="AB505">((AB$102=$R505)*((13-$S505)/12)+(AB$102&gt;$R505))*$Q505*INDEX($J$13:$O$39,$N505-1999,AB$102-2020)</f>
        <v>4472.310351097377</v>
      </c>
      <c r="AC505" s="33" cm="1">
        <f t="array" ref="AC505">((AC$102=$R505)*((13-$S505)/12)+(AC$102&gt;$R505))*$Q505*INDEX($J$13:$O$39,$N505-1999,AC$102-2020)</f>
        <v>9195.0700818562091</v>
      </c>
    </row>
    <row r="506" spans="2:29" x14ac:dyDescent="0.2">
      <c r="B506" s="32">
        <f>'13. Input desinvesteringen'!B419</f>
        <v>403</v>
      </c>
      <c r="J506" s="32" t="str">
        <f>'13. Input desinvesteringen'!C419</f>
        <v>Transport</v>
      </c>
      <c r="K506" s="32" t="str">
        <f>'13. Input desinvesteringen'!D419</f>
        <v>HS</v>
      </c>
      <c r="L506" s="32" t="str">
        <f>'13. Input desinvesteringen'!E419</f>
        <v>Nee</v>
      </c>
      <c r="M506" s="32" t="str">
        <f>'13. Input desinvesteringen'!F419</f>
        <v>Hoogspanningsstations secundair</v>
      </c>
      <c r="N506" s="82">
        <f>'13. Input desinvesteringen'!G419</f>
        <v>2016</v>
      </c>
      <c r="O506" s="82"/>
      <c r="P506" s="82"/>
      <c r="Q506" s="32">
        <f>'13. Input desinvesteringen'!H419</f>
        <v>68446</v>
      </c>
      <c r="R506" s="82">
        <f>'13. Input desinvesteringen'!I419</f>
        <v>2025</v>
      </c>
      <c r="S506" s="32">
        <f>'13. Input desinvesteringen'!J419</f>
        <v>7</v>
      </c>
      <c r="U506" s="76">
        <f t="shared" si="23"/>
        <v>1</v>
      </c>
      <c r="V506" s="76">
        <f t="shared" si="24"/>
        <v>0</v>
      </c>
      <c r="X506" s="33" cm="1">
        <f t="array" ref="X506">((X$102=$R506)*((13-$S506)/12)+(X$102&gt;$R506))*$Q506*INDEX($J$13:$O$39,$N506-1999,X$102-2020)</f>
        <v>0</v>
      </c>
      <c r="Y506" s="33" cm="1">
        <f t="array" ref="Y506">((Y$102=$R506)*((13-$S506)/12)+(Y$102&gt;$R506))*$Q506*INDEX($J$13:$O$39,$N506-1999,Y$102-2020)</f>
        <v>0</v>
      </c>
      <c r="Z506" s="33" cm="1">
        <f t="array" ref="Z506">((Z$102=$R506)*((13-$S506)/12)+(Z$102&gt;$R506))*$Q506*INDEX($J$13:$O$39,$N506-1999,Z$102-2020)</f>
        <v>0</v>
      </c>
      <c r="AA506" s="33" cm="1">
        <f t="array" ref="AA506">((AA$102=$R506)*((13-$S506)/12)+(AA$102&gt;$R506))*$Q506*INDEX($J$13:$O$39,$N506-1999,AA$102-2020)</f>
        <v>0</v>
      </c>
      <c r="AB506" s="33" cm="1">
        <f t="array" ref="AB506">((AB$102=$R506)*((13-$S506)/12)+(AB$102&gt;$R506))*$Q506*INDEX($J$13:$O$39,$N506-1999,AB$102-2020)</f>
        <v>44976.643353646396</v>
      </c>
      <c r="AC506" s="33" cm="1">
        <f t="array" ref="AC506">((AC$102=$R506)*((13-$S506)/12)+(AC$102&gt;$R506))*$Q506*INDEX($J$13:$O$39,$N506-1999,AC$102-2020)</f>
        <v>92471.978735096985</v>
      </c>
    </row>
    <row r="507" spans="2:29" x14ac:dyDescent="0.2">
      <c r="B507" s="32">
        <f>'13. Input desinvesteringen'!B420</f>
        <v>404</v>
      </c>
      <c r="J507" s="32" t="str">
        <f>'13. Input desinvesteringen'!C420</f>
        <v>Transport</v>
      </c>
      <c r="K507" s="32" t="str">
        <f>'13. Input desinvesteringen'!D420</f>
        <v>HS</v>
      </c>
      <c r="L507" s="32" t="str">
        <f>'13. Input desinvesteringen'!E420</f>
        <v>Nee</v>
      </c>
      <c r="M507" s="32" t="str">
        <f>'13. Input desinvesteringen'!F420</f>
        <v>Hoogspanningsstations secundair</v>
      </c>
      <c r="N507" s="82">
        <f>'13. Input desinvesteringen'!G420</f>
        <v>2016</v>
      </c>
      <c r="O507" s="82"/>
      <c r="P507" s="82"/>
      <c r="Q507" s="32">
        <f>'13. Input desinvesteringen'!H420</f>
        <v>6640</v>
      </c>
      <c r="R507" s="82">
        <f>'13. Input desinvesteringen'!I420</f>
        <v>2025</v>
      </c>
      <c r="S507" s="32">
        <f>'13. Input desinvesteringen'!J420</f>
        <v>7</v>
      </c>
      <c r="U507" s="76">
        <f t="shared" si="23"/>
        <v>1</v>
      </c>
      <c r="V507" s="76">
        <f t="shared" si="24"/>
        <v>0</v>
      </c>
      <c r="X507" s="33" cm="1">
        <f t="array" ref="X507">((X$102=$R507)*((13-$S507)/12)+(X$102&gt;$R507))*$Q507*INDEX($J$13:$O$39,$N507-1999,X$102-2020)</f>
        <v>0</v>
      </c>
      <c r="Y507" s="33" cm="1">
        <f t="array" ref="Y507">((Y$102=$R507)*((13-$S507)/12)+(Y$102&gt;$R507))*$Q507*INDEX($J$13:$O$39,$N507-1999,Y$102-2020)</f>
        <v>0</v>
      </c>
      <c r="Z507" s="33" cm="1">
        <f t="array" ref="Z507">((Z$102=$R507)*((13-$S507)/12)+(Z$102&gt;$R507))*$Q507*INDEX($J$13:$O$39,$N507-1999,Z$102-2020)</f>
        <v>0</v>
      </c>
      <c r="AA507" s="33" cm="1">
        <f t="array" ref="AA507">((AA$102=$R507)*((13-$S507)/12)+(AA$102&gt;$R507))*$Q507*INDEX($J$13:$O$39,$N507-1999,AA$102-2020)</f>
        <v>0</v>
      </c>
      <c r="AB507" s="33" cm="1">
        <f t="array" ref="AB507">((AB$102=$R507)*((13-$S507)/12)+(AB$102&gt;$R507))*$Q507*INDEX($J$13:$O$39,$N507-1999,AB$102-2020)</f>
        <v>4363.2193534788312</v>
      </c>
      <c r="AC507" s="33" cm="1">
        <f t="array" ref="AC507">((AC$102=$R507)*((13-$S507)/12)+(AC$102&gt;$R507))*$Q507*INDEX($J$13:$O$39,$N507-1999,AC$102-2020)</f>
        <v>8970.7789907524766</v>
      </c>
    </row>
    <row r="508" spans="2:29" x14ac:dyDescent="0.2">
      <c r="B508" s="32">
        <f>'13. Input desinvesteringen'!B421</f>
        <v>405</v>
      </c>
      <c r="J508" s="32" t="str">
        <f>'13. Input desinvesteringen'!C421</f>
        <v>Transport</v>
      </c>
      <c r="K508" s="32" t="str">
        <f>'13. Input desinvesteringen'!D421</f>
        <v>HS</v>
      </c>
      <c r="L508" s="32" t="str">
        <f>'13. Input desinvesteringen'!E421</f>
        <v>Nee</v>
      </c>
      <c r="M508" s="32" t="str">
        <f>'13. Input desinvesteringen'!F421</f>
        <v>Hoogspanningsstations secundair</v>
      </c>
      <c r="N508" s="82">
        <f>'13. Input desinvesteringen'!G421</f>
        <v>2014</v>
      </c>
      <c r="O508" s="82"/>
      <c r="P508" s="82"/>
      <c r="Q508" s="32">
        <f>'13. Input desinvesteringen'!H421</f>
        <v>584</v>
      </c>
      <c r="R508" s="82">
        <f>'13. Input desinvesteringen'!I421</f>
        <v>2025</v>
      </c>
      <c r="S508" s="32">
        <f>'13. Input desinvesteringen'!J421</f>
        <v>7</v>
      </c>
      <c r="U508" s="76">
        <f t="shared" si="23"/>
        <v>1</v>
      </c>
      <c r="V508" s="76">
        <f t="shared" si="24"/>
        <v>0</v>
      </c>
      <c r="X508" s="33" cm="1">
        <f t="array" ref="X508">((X$102=$R508)*((13-$S508)/12)+(X$102&gt;$R508))*$Q508*INDEX($J$13:$O$39,$N508-1999,X$102-2020)</f>
        <v>0</v>
      </c>
      <c r="Y508" s="33" cm="1">
        <f t="array" ref="Y508">((Y$102=$R508)*((13-$S508)/12)+(Y$102&gt;$R508))*$Q508*INDEX($J$13:$O$39,$N508-1999,Y$102-2020)</f>
        <v>0</v>
      </c>
      <c r="Z508" s="33" cm="1">
        <f t="array" ref="Z508">((Z$102=$R508)*((13-$S508)/12)+(Z$102&gt;$R508))*$Q508*INDEX($J$13:$O$39,$N508-1999,Z$102-2020)</f>
        <v>0</v>
      </c>
      <c r="AA508" s="33" cm="1">
        <f t="array" ref="AA508">((AA$102=$R508)*((13-$S508)/12)+(AA$102&gt;$R508))*$Q508*INDEX($J$13:$O$39,$N508-1999,AA$102-2020)</f>
        <v>0</v>
      </c>
      <c r="AB508" s="33" cm="1">
        <f t="array" ref="AB508">((AB$102=$R508)*((13-$S508)/12)+(AB$102&gt;$R508))*$Q508*INDEX($J$13:$O$39,$N508-1999,AB$102-2020)</f>
        <v>390.6912822113859</v>
      </c>
      <c r="AC508" s="33" cm="1">
        <f t="array" ref="AC508">((AC$102=$R508)*((13-$S508)/12)+(AC$102&gt;$R508))*$Q508*INDEX($J$13:$O$39,$N508-1999,AC$102-2020)</f>
        <v>803.26127622660943</v>
      </c>
    </row>
    <row r="509" spans="2:29" x14ac:dyDescent="0.2">
      <c r="B509" s="32">
        <f>'13. Input desinvesteringen'!B422</f>
        <v>406</v>
      </c>
      <c r="J509" s="32" t="str">
        <f>'13. Input desinvesteringen'!C422</f>
        <v>Transport</v>
      </c>
      <c r="K509" s="32" t="str">
        <f>'13. Input desinvesteringen'!D422</f>
        <v>HS</v>
      </c>
      <c r="L509" s="32" t="str">
        <f>'13. Input desinvesteringen'!E422</f>
        <v>Nee</v>
      </c>
      <c r="M509" s="32" t="str">
        <f>'13. Input desinvesteringen'!F422</f>
        <v>Hoogspanningsstations secundair</v>
      </c>
      <c r="N509" s="82">
        <f>'13. Input desinvesteringen'!G422</f>
        <v>2012</v>
      </c>
      <c r="O509" s="82"/>
      <c r="P509" s="82"/>
      <c r="Q509" s="32">
        <f>'13. Input desinvesteringen'!H422</f>
        <v>6021</v>
      </c>
      <c r="R509" s="82">
        <f>'13. Input desinvesteringen'!I422</f>
        <v>2025</v>
      </c>
      <c r="S509" s="32">
        <f>'13. Input desinvesteringen'!J422</f>
        <v>7</v>
      </c>
      <c r="U509" s="76">
        <f t="shared" si="23"/>
        <v>1</v>
      </c>
      <c r="V509" s="76">
        <f t="shared" si="24"/>
        <v>0</v>
      </c>
      <c r="X509" s="33" cm="1">
        <f t="array" ref="X509">((X$102=$R509)*((13-$S509)/12)+(X$102&gt;$R509))*$Q509*INDEX($J$13:$O$39,$N509-1999,X$102-2020)</f>
        <v>0</v>
      </c>
      <c r="Y509" s="33" cm="1">
        <f t="array" ref="Y509">((Y$102=$R509)*((13-$S509)/12)+(Y$102&gt;$R509))*$Q509*INDEX($J$13:$O$39,$N509-1999,Y$102-2020)</f>
        <v>0</v>
      </c>
      <c r="Z509" s="33" cm="1">
        <f t="array" ref="Z509">((Z$102=$R509)*((13-$S509)/12)+(Z$102&gt;$R509))*$Q509*INDEX($J$13:$O$39,$N509-1999,Z$102-2020)</f>
        <v>0</v>
      </c>
      <c r="AA509" s="33" cm="1">
        <f t="array" ref="AA509">((AA$102=$R509)*((13-$S509)/12)+(AA$102&gt;$R509))*$Q509*INDEX($J$13:$O$39,$N509-1999,AA$102-2020)</f>
        <v>0</v>
      </c>
      <c r="AB509" s="33" cm="1">
        <f t="array" ref="AB509">((AB$102=$R509)*((13-$S509)/12)+(AB$102&gt;$R509))*$Q509*INDEX($J$13:$O$39,$N509-1999,AB$102-2020)</f>
        <v>4236.0224105103616</v>
      </c>
      <c r="AC509" s="33" cm="1">
        <f t="array" ref="AC509">((AC$102=$R509)*((13-$S509)/12)+(AC$102&gt;$R509))*$Q509*INDEX($J$13:$O$39,$N509-1999,AC$102-2020)</f>
        <v>8709.2620760093032</v>
      </c>
    </row>
    <row r="510" spans="2:29" x14ac:dyDescent="0.2">
      <c r="B510" s="32">
        <f>'13. Input desinvesteringen'!B423</f>
        <v>407</v>
      </c>
      <c r="J510" s="32" t="str">
        <f>'13. Input desinvesteringen'!C423</f>
        <v>Transport</v>
      </c>
      <c r="K510" s="32" t="str">
        <f>'13. Input desinvesteringen'!D423</f>
        <v>HS</v>
      </c>
      <c r="L510" s="32" t="str">
        <f>'13. Input desinvesteringen'!E423</f>
        <v>Nee</v>
      </c>
      <c r="M510" s="32" t="str">
        <f>'13. Input desinvesteringen'!F423</f>
        <v>Mast en fundatie</v>
      </c>
      <c r="N510" s="82">
        <f>'13. Input desinvesteringen'!G423</f>
        <v>2014</v>
      </c>
      <c r="O510" s="82"/>
      <c r="P510" s="82"/>
      <c r="Q510" s="32">
        <f>'13. Input desinvesteringen'!H423</f>
        <v>50246</v>
      </c>
      <c r="R510" s="82">
        <f>'13. Input desinvesteringen'!I423</f>
        <v>2025</v>
      </c>
      <c r="S510" s="32">
        <f>'13. Input desinvesteringen'!J423</f>
        <v>10</v>
      </c>
      <c r="U510" s="76">
        <f t="shared" si="23"/>
        <v>1</v>
      </c>
      <c r="V510" s="76">
        <f t="shared" si="24"/>
        <v>0</v>
      </c>
      <c r="X510" s="33" cm="1">
        <f t="array" ref="X510">((X$102=$R510)*((13-$S510)/12)+(X$102&gt;$R510))*$Q510*INDEX($J$13:$O$39,$N510-1999,X$102-2020)</f>
        <v>0</v>
      </c>
      <c r="Y510" s="33" cm="1">
        <f t="array" ref="Y510">((Y$102=$R510)*((13-$S510)/12)+(Y$102&gt;$R510))*$Q510*INDEX($J$13:$O$39,$N510-1999,Y$102-2020)</f>
        <v>0</v>
      </c>
      <c r="Z510" s="33" cm="1">
        <f t="array" ref="Z510">((Z$102=$R510)*((13-$S510)/12)+(Z$102&gt;$R510))*$Q510*INDEX($J$13:$O$39,$N510-1999,Z$102-2020)</f>
        <v>0</v>
      </c>
      <c r="AA510" s="33" cm="1">
        <f t="array" ref="AA510">((AA$102=$R510)*((13-$S510)/12)+(AA$102&gt;$R510))*$Q510*INDEX($J$13:$O$39,$N510-1999,AA$102-2020)</f>
        <v>0</v>
      </c>
      <c r="AB510" s="33" cm="1">
        <f t="array" ref="AB510">((AB$102=$R510)*((13-$S510)/12)+(AB$102&gt;$R510))*$Q510*INDEX($J$13:$O$39,$N510-1999,AB$102-2020)</f>
        <v>16807.084046227137</v>
      </c>
      <c r="AC510" s="33" cm="1">
        <f t="array" ref="AC510">((AC$102=$R510)*((13-$S510)/12)+(AC$102&gt;$R510))*$Q510*INDEX($J$13:$O$39,$N510-1999,AC$102-2020)</f>
        <v>69110.729598085993</v>
      </c>
    </row>
    <row r="511" spans="2:29" x14ac:dyDescent="0.2">
      <c r="B511" s="32">
        <f>'13. Input desinvesteringen'!B424</f>
        <v>408</v>
      </c>
      <c r="J511" s="32" t="str">
        <f>'13. Input desinvesteringen'!C424</f>
        <v>Transport</v>
      </c>
      <c r="K511" s="32" t="str">
        <f>'13. Input desinvesteringen'!D424</f>
        <v>HS</v>
      </c>
      <c r="L511" s="32" t="str">
        <f>'13. Input desinvesteringen'!E424</f>
        <v>Nee</v>
      </c>
      <c r="M511" s="32" t="str">
        <f>'13. Input desinvesteringen'!F424</f>
        <v>Mast en fundatie</v>
      </c>
      <c r="N511" s="82">
        <f>'13. Input desinvesteringen'!G424</f>
        <v>2018</v>
      </c>
      <c r="O511" s="82"/>
      <c r="P511" s="82"/>
      <c r="Q511" s="32">
        <f>'13. Input desinvesteringen'!H424</f>
        <v>81513</v>
      </c>
      <c r="R511" s="82">
        <f>'13. Input desinvesteringen'!I424</f>
        <v>2025</v>
      </c>
      <c r="S511" s="32">
        <f>'13. Input desinvesteringen'!J424</f>
        <v>10</v>
      </c>
      <c r="U511" s="76">
        <f t="shared" si="23"/>
        <v>1</v>
      </c>
      <c r="V511" s="76">
        <f t="shared" si="24"/>
        <v>0</v>
      </c>
      <c r="X511" s="33" cm="1">
        <f t="array" ref="X511">((X$102=$R511)*((13-$S511)/12)+(X$102&gt;$R511))*$Q511*INDEX($J$13:$O$39,$N511-1999,X$102-2020)</f>
        <v>0</v>
      </c>
      <c r="Y511" s="33" cm="1">
        <f t="array" ref="Y511">((Y$102=$R511)*((13-$S511)/12)+(Y$102&gt;$R511))*$Q511*INDEX($J$13:$O$39,$N511-1999,Y$102-2020)</f>
        <v>0</v>
      </c>
      <c r="Z511" s="33" cm="1">
        <f t="array" ref="Z511">((Z$102=$R511)*((13-$S511)/12)+(Z$102&gt;$R511))*$Q511*INDEX($J$13:$O$39,$N511-1999,Z$102-2020)</f>
        <v>0</v>
      </c>
      <c r="AA511" s="33" cm="1">
        <f t="array" ref="AA511">((AA$102=$R511)*((13-$S511)/12)+(AA$102&gt;$R511))*$Q511*INDEX($J$13:$O$39,$N511-1999,AA$102-2020)</f>
        <v>0</v>
      </c>
      <c r="AB511" s="33" cm="1">
        <f t="array" ref="AB511">((AB$102=$R511)*((13-$S511)/12)+(AB$102&gt;$R511))*$Q511*INDEX($J$13:$O$39,$N511-1999,AB$102-2020)</f>
        <v>26359.075411008147</v>
      </c>
      <c r="AC511" s="33" cm="1">
        <f t="array" ref="AC511">((AC$102=$R511)*((13-$S511)/12)+(AC$102&gt;$R511))*$Q511*INDEX($J$13:$O$39,$N511-1999,AC$102-2020)</f>
        <v>108388.51809006551</v>
      </c>
    </row>
    <row r="512" spans="2:29" x14ac:dyDescent="0.2">
      <c r="B512" s="32">
        <f>'13. Input desinvesteringen'!B425</f>
        <v>409</v>
      </c>
      <c r="J512" s="32" t="str">
        <f>'13. Input desinvesteringen'!C425</f>
        <v>Transport</v>
      </c>
      <c r="K512" s="32" t="str">
        <f>'13. Input desinvesteringen'!D425</f>
        <v>HS</v>
      </c>
      <c r="L512" s="32" t="str">
        <f>'13. Input desinvesteringen'!E425</f>
        <v>Nee</v>
      </c>
      <c r="M512" s="32" t="str">
        <f>'13. Input desinvesteringen'!F425</f>
        <v>Telecommunicatienet</v>
      </c>
      <c r="N512" s="82">
        <f>'13. Input desinvesteringen'!G425</f>
        <v>2016</v>
      </c>
      <c r="O512" s="82"/>
      <c r="P512" s="82"/>
      <c r="Q512" s="32">
        <f>'13. Input desinvesteringen'!H425</f>
        <v>5074</v>
      </c>
      <c r="R512" s="82">
        <f>'13. Input desinvesteringen'!I425</f>
        <v>2025</v>
      </c>
      <c r="S512" s="32">
        <f>'13. Input desinvesteringen'!J425</f>
        <v>7</v>
      </c>
      <c r="U512" s="76">
        <f t="shared" si="23"/>
        <v>1</v>
      </c>
      <c r="V512" s="76">
        <f t="shared" si="24"/>
        <v>0</v>
      </c>
      <c r="X512" s="33" cm="1">
        <f t="array" ref="X512">((X$102=$R512)*((13-$S512)/12)+(X$102&gt;$R512))*$Q512*INDEX($J$13:$O$39,$N512-1999,X$102-2020)</f>
        <v>0</v>
      </c>
      <c r="Y512" s="33" cm="1">
        <f t="array" ref="Y512">((Y$102=$R512)*((13-$S512)/12)+(Y$102&gt;$R512))*$Q512*INDEX($J$13:$O$39,$N512-1999,Y$102-2020)</f>
        <v>0</v>
      </c>
      <c r="Z512" s="33" cm="1">
        <f t="array" ref="Z512">((Z$102=$R512)*((13-$S512)/12)+(Z$102&gt;$R512))*$Q512*INDEX($J$13:$O$39,$N512-1999,Z$102-2020)</f>
        <v>0</v>
      </c>
      <c r="AA512" s="33" cm="1">
        <f t="array" ref="AA512">((AA$102=$R512)*((13-$S512)/12)+(AA$102&gt;$R512))*$Q512*INDEX($J$13:$O$39,$N512-1999,AA$102-2020)</f>
        <v>0</v>
      </c>
      <c r="AB512" s="33" cm="1">
        <f t="array" ref="AB512">((AB$102=$R512)*((13-$S512)/12)+(AB$102&gt;$R512))*$Q512*INDEX($J$13:$O$39,$N512-1999,AB$102-2020)</f>
        <v>3334.1829818601791</v>
      </c>
      <c r="AC512" s="33" cm="1">
        <f t="array" ref="AC512">((AC$102=$R512)*((13-$S512)/12)+(AC$102&gt;$R512))*$Q512*INDEX($J$13:$O$39,$N512-1999,AC$102-2020)</f>
        <v>6855.0802107045274</v>
      </c>
    </row>
    <row r="513" spans="2:29" x14ac:dyDescent="0.2">
      <c r="B513" s="32">
        <f>'13. Input desinvesteringen'!B426</f>
        <v>410</v>
      </c>
      <c r="J513" s="32" t="str">
        <f>'13. Input desinvesteringen'!C426</f>
        <v>Transport</v>
      </c>
      <c r="K513" s="32" t="str">
        <f>'13. Input desinvesteringen'!D426</f>
        <v>HS</v>
      </c>
      <c r="L513" s="32" t="str">
        <f>'13. Input desinvesteringen'!E426</f>
        <v>Nee</v>
      </c>
      <c r="M513" s="32" t="str">
        <f>'13. Input desinvesteringen'!F426</f>
        <v>Hoogspanningskabels</v>
      </c>
      <c r="N513" s="82">
        <f>'13. Input desinvesteringen'!G426</f>
        <v>2019</v>
      </c>
      <c r="O513" s="82"/>
      <c r="P513" s="82"/>
      <c r="Q513" s="32">
        <f>'13. Input desinvesteringen'!H426</f>
        <v>438549</v>
      </c>
      <c r="R513" s="82">
        <f>'13. Input desinvesteringen'!I426</f>
        <v>2025</v>
      </c>
      <c r="S513" s="32">
        <f>'13. Input desinvesteringen'!J426</f>
        <v>7</v>
      </c>
      <c r="U513" s="76">
        <f t="shared" si="23"/>
        <v>1</v>
      </c>
      <c r="V513" s="76">
        <f t="shared" si="24"/>
        <v>0</v>
      </c>
      <c r="X513" s="33" cm="1">
        <f t="array" ref="X513">((X$102=$R513)*((13-$S513)/12)+(X$102&gt;$R513))*$Q513*INDEX($J$13:$O$39,$N513-1999,X$102-2020)</f>
        <v>0</v>
      </c>
      <c r="Y513" s="33" cm="1">
        <f t="array" ref="Y513">((Y$102=$R513)*((13-$S513)/12)+(Y$102&gt;$R513))*$Q513*INDEX($J$13:$O$39,$N513-1999,Y$102-2020)</f>
        <v>0</v>
      </c>
      <c r="Z513" s="33" cm="1">
        <f t="array" ref="Z513">((Z$102=$R513)*((13-$S513)/12)+(Z$102&gt;$R513))*$Q513*INDEX($J$13:$O$39,$N513-1999,Z$102-2020)</f>
        <v>0</v>
      </c>
      <c r="AA513" s="33" cm="1">
        <f t="array" ref="AA513">((AA$102=$R513)*((13-$S513)/12)+(AA$102&gt;$R513))*$Q513*INDEX($J$13:$O$39,$N513-1999,AA$102-2020)</f>
        <v>0</v>
      </c>
      <c r="AB513" s="33" cm="1">
        <f t="array" ref="AB513">((AB$102=$R513)*((13-$S513)/12)+(AB$102&gt;$R513))*$Q513*INDEX($J$13:$O$39,$N513-1999,AB$102-2020)</f>
        <v>277795.79915278865</v>
      </c>
      <c r="AC513" s="33" cm="1">
        <f t="array" ref="AC513">((AC$102=$R513)*((13-$S513)/12)+(AC$102&gt;$R513))*$Q513*INDEX($J$13:$O$39,$N513-1999,AC$102-2020)</f>
        <v>571148.16305813356</v>
      </c>
    </row>
    <row r="514" spans="2:29" x14ac:dyDescent="0.2">
      <c r="B514" s="32">
        <f>'13. Input desinvesteringen'!B427</f>
        <v>411</v>
      </c>
      <c r="J514" s="32" t="str">
        <f>'13. Input desinvesteringen'!C427</f>
        <v>Transport</v>
      </c>
      <c r="K514" s="32" t="str">
        <f>'13. Input desinvesteringen'!D427</f>
        <v>HS</v>
      </c>
      <c r="L514" s="32" t="str">
        <f>'13. Input desinvesteringen'!E427</f>
        <v>Nee</v>
      </c>
      <c r="M514" s="32" t="str">
        <f>'13. Input desinvesteringen'!F427</f>
        <v>Hoogspanningskabels</v>
      </c>
      <c r="N514" s="82">
        <f>'13. Input desinvesteringen'!G427</f>
        <v>2014</v>
      </c>
      <c r="O514" s="82"/>
      <c r="P514" s="82"/>
      <c r="Q514" s="32">
        <f>'13. Input desinvesteringen'!H427</f>
        <v>14</v>
      </c>
      <c r="R514" s="82">
        <f>'13. Input desinvesteringen'!I427</f>
        <v>2025</v>
      </c>
      <c r="S514" s="32">
        <f>'13. Input desinvesteringen'!J427</f>
        <v>7</v>
      </c>
      <c r="U514" s="76">
        <f t="shared" ref="U514" si="25">(J514="Transport")*(L514="Nee")*(VLOOKUP($M514,$B$64:$H$97,7,FALSE))</f>
        <v>1</v>
      </c>
      <c r="V514" s="76">
        <f t="shared" ref="V514" si="26">1-U514</f>
        <v>0</v>
      </c>
      <c r="X514" s="33" cm="1">
        <f t="array" ref="X514">((X$102=$R514)*((13-$S514)/12)+(X$102&gt;$R514))*$Q514*INDEX($J$13:$O$39,$N514-1999,X$102-2020)</f>
        <v>0</v>
      </c>
      <c r="Y514" s="33" cm="1">
        <f t="array" ref="Y514">((Y$102=$R514)*((13-$S514)/12)+(Y$102&gt;$R514))*$Q514*INDEX($J$13:$O$39,$N514-1999,Y$102-2020)</f>
        <v>0</v>
      </c>
      <c r="Z514" s="33" cm="1">
        <f t="array" ref="Z514">((Z$102=$R514)*((13-$S514)/12)+(Z$102&gt;$R514))*$Q514*INDEX($J$13:$O$39,$N514-1999,Z$102-2020)</f>
        <v>0</v>
      </c>
      <c r="AA514" s="33" cm="1">
        <f t="array" ref="AA514">((AA$102=$R514)*((13-$S514)/12)+(AA$102&gt;$R514))*$Q514*INDEX($J$13:$O$39,$N514-1999,AA$102-2020)</f>
        <v>0</v>
      </c>
      <c r="AB514" s="33" cm="1">
        <f t="array" ref="AB514">((AB$102=$R514)*((13-$S514)/12)+(AB$102&gt;$R514))*$Q514*INDEX($J$13:$O$39,$N514-1999,AB$102-2020)</f>
        <v>9.3658869023277447</v>
      </c>
      <c r="AC514" s="33" cm="1">
        <f t="array" ref="AC514">((AC$102=$R514)*((13-$S514)/12)+(AC$102&gt;$R514))*$Q514*INDEX($J$13:$O$39,$N514-1999,AC$102-2020)</f>
        <v>19.256263471185843</v>
      </c>
    </row>
    <row r="516" spans="2:29" s="7" customFormat="1" x14ac:dyDescent="0.2">
      <c r="B516" s="7" t="s">
        <v>279</v>
      </c>
      <c r="J516" s="54">
        <v>2021</v>
      </c>
      <c r="K516" s="54">
        <v>2022</v>
      </c>
      <c r="L516" s="54">
        <v>2023</v>
      </c>
      <c r="M516" s="54">
        <v>2024</v>
      </c>
      <c r="N516" s="54">
        <v>2025</v>
      </c>
      <c r="O516" s="54">
        <v>2026</v>
      </c>
      <c r="P516" s="54"/>
    </row>
    <row r="518" spans="2:29" x14ac:dyDescent="0.2">
      <c r="B518" s="21" t="s">
        <v>281</v>
      </c>
    </row>
    <row r="519" spans="2:29" x14ac:dyDescent="0.2">
      <c r="B519" s="81">
        <v>2021</v>
      </c>
      <c r="F519" s="2" t="s">
        <v>100</v>
      </c>
      <c r="K519" s="33" cm="1">
        <f t="array" ref="K519">SUMPRODUCT(($K$104:$K$514="EHS")*($J$104:$J$514="Transport")*($R$104:$R$514=$B519)*$U$104:$U$514*Y$104:Y$514)</f>
        <v>1980012.0905412729</v>
      </c>
      <c r="L519" s="33" cm="1">
        <f t="array" ref="L519">SUMPRODUCT(($K$104:$K$514="EHS")*($J$104:$J$514="Transport")*($R$104:$R$514=$B519)*$U$104:$U$514*Z$104:Z$514)</f>
        <v>2217613.5414062254</v>
      </c>
      <c r="M519" s="33" cm="1">
        <f t="array" ref="M519">SUMPRODUCT(($K$104:$K$514="EHS")*($J$104:$J$514="Transport")*($R$104:$R$514=$B519)*$U$104:$U$514*AA$104:AA$514)</f>
        <v>2284141.9476484121</v>
      </c>
      <c r="N519" s="33" cm="1">
        <f t="array" ref="N519">SUMPRODUCT(($K$104:$K$514="EHS")*($J$104:$J$514="Transport")*($R$104:$R$514=$B519)*$U$104:$U$514*AB$104:AB$514)</f>
        <v>2366371.0577637553</v>
      </c>
      <c r="O519" s="33" cm="1">
        <f t="array" ref="O519">SUMPRODUCT(($K$104:$K$514="EHS")*($J$104:$J$514="Transport")*($R$104:$R$514=$B519)*$U$104:$U$514*AC$104:AC$514)</f>
        <v>2432629.4473811402</v>
      </c>
      <c r="Q519" s="75"/>
    </row>
    <row r="520" spans="2:29" x14ac:dyDescent="0.2">
      <c r="B520" s="81">
        <v>2022</v>
      </c>
      <c r="F520" s="2" t="s">
        <v>100</v>
      </c>
      <c r="K520" s="33" cm="1">
        <f t="array" ref="K520">SUMPRODUCT(($K$104:$K$514="EHS")*($J$104:$J$514="Transport")*($R$104:$R$514=$B520)*$U$104:$U$514*Y$104:Y$514)</f>
        <v>4851845.7434117794</v>
      </c>
      <c r="L520" s="33" cm="1">
        <f t="array" ref="L520">SUMPRODUCT(($K$104:$K$514="EHS")*($J$104:$J$514="Transport")*($R$104:$R$514=$B520)*$U$104:$U$514*Z$104:Z$514)</f>
        <v>11779773.728601648</v>
      </c>
      <c r="M520" s="33" cm="1">
        <f t="array" ref="M520">SUMPRODUCT(($K$104:$K$514="EHS")*($J$104:$J$514="Transport")*($R$104:$R$514=$B520)*$U$104:$U$514*AA$104:AA$514)</f>
        <v>12133166.940459698</v>
      </c>
      <c r="N520" s="33" cm="1">
        <f t="array" ref="N520">SUMPRODUCT(($K$104:$K$514="EHS")*($J$104:$J$514="Transport")*($R$104:$R$514=$B520)*$U$104:$U$514*AB$104:AB$514)</f>
        <v>12569960.950316241</v>
      </c>
      <c r="O520" s="33" cm="1">
        <f t="array" ref="O520">SUMPRODUCT(($K$104:$K$514="EHS")*($J$104:$J$514="Transport")*($R$104:$R$514=$B520)*$U$104:$U$514*AC$104:AC$514)</f>
        <v>12921919.856925098</v>
      </c>
    </row>
    <row r="521" spans="2:29" x14ac:dyDescent="0.2">
      <c r="B521" s="81">
        <v>2023</v>
      </c>
      <c r="F521" s="2" t="s">
        <v>100</v>
      </c>
      <c r="K521" s="50"/>
      <c r="L521" s="33" cm="1">
        <f t="array" ref="L521">SUMPRODUCT(($K$104:$K$514="EHS")*($J$104:$J$514="Transport")*($R$104:$R$514=$B521)*$U$104:$U$514*Z$104:Z$514)</f>
        <v>33066730.268346217</v>
      </c>
      <c r="M521" s="33" cm="1">
        <f t="array" ref="M521">SUMPRODUCT(($K$104:$K$514="EHS")*($J$104:$J$514="Transport")*($R$104:$R$514=$B521)*$U$104:$U$514*AA$104:AA$514)</f>
        <v>45146973.573460989</v>
      </c>
      <c r="N521" s="33" cm="1">
        <f t="array" ref="N521">SUMPRODUCT(($K$104:$K$514="EHS")*($J$104:$J$514="Transport")*($R$104:$R$514=$B521)*$U$104:$U$514*AB$104:AB$514)</f>
        <v>46772264.622105606</v>
      </c>
      <c r="O521" s="33" cm="1">
        <f t="array" ref="O521">SUMPRODUCT(($K$104:$K$514="EHS")*($J$104:$J$514="Transport")*($R$104:$R$514=$B521)*$U$104:$U$514*AC$104:AC$514)</f>
        <v>48081888.031524569</v>
      </c>
    </row>
    <row r="522" spans="2:29" x14ac:dyDescent="0.2">
      <c r="B522" s="81">
        <v>2024</v>
      </c>
      <c r="F522" s="2" t="s">
        <v>100</v>
      </c>
      <c r="K522" s="50"/>
      <c r="L522" s="50"/>
      <c r="M522" s="33" cm="1">
        <f t="array" ref="M522">SUMPRODUCT(($K$104:$K$514="EHS")*($J$104:$J$514="Transport")*($R$104:$R$514=$B522)*$U$104:$U$514*AA$104:AA$514)</f>
        <v>25635716.632443998</v>
      </c>
      <c r="N522" s="33" cm="1">
        <f t="array" ref="N522">SUMPRODUCT(($K$104:$K$514="EHS")*($J$104:$J$514="Transport")*($R$104:$R$514=$B522)*$U$104:$U$514*AB$104:AB$514)</f>
        <v>57670128.370172568</v>
      </c>
      <c r="O522" s="33" cm="1">
        <f t="array" ref="O522">SUMPRODUCT(($K$104:$K$514="EHS")*($J$104:$J$514="Transport")*($R$104:$R$514=$B522)*$U$104:$U$514*AC$104:AC$514)</f>
        <v>59284891.964537404</v>
      </c>
    </row>
    <row r="523" spans="2:29" x14ac:dyDescent="0.2">
      <c r="B523" s="81">
        <v>2025</v>
      </c>
      <c r="F523" s="2" t="s">
        <v>100</v>
      </c>
      <c r="K523" s="50"/>
      <c r="L523" s="50"/>
      <c r="M523" s="50"/>
      <c r="N523" s="33" cm="1">
        <f t="array" ref="N523">SUMPRODUCT(($K$104:$K$514="EHS")*($J$104:$J$514="Transport")*($R$104:$R$514=$B523)*$U$104:$U$514*AB$104:AB$514)</f>
        <v>10276932.517430956</v>
      </c>
      <c r="O523" s="33" cm="1">
        <f t="array" ref="O523">SUMPRODUCT(($K$104:$K$514="EHS")*($J$104:$J$514="Transport")*($R$104:$R$514=$B523)*$U$104:$U$514*AC$104:AC$514)</f>
        <v>21069968.253974266</v>
      </c>
    </row>
    <row r="525" spans="2:29" x14ac:dyDescent="0.2">
      <c r="B525" s="21" t="s">
        <v>280</v>
      </c>
    </row>
    <row r="526" spans="2:29" x14ac:dyDescent="0.2">
      <c r="B526" s="81">
        <v>2021</v>
      </c>
      <c r="F526" s="2" t="s">
        <v>100</v>
      </c>
      <c r="K526" s="33" cm="1">
        <f t="array" ref="K526">SUMPRODUCT(($K$104:$K$514="EHS")*($J$104:$J$514="Transport")*($R$104:$R$514=$B526)*$V$104:$V$514*Y$104:Y$514)</f>
        <v>19801.451034350663</v>
      </c>
      <c r="L526" s="33" cm="1">
        <f t="array" ref="L526">SUMPRODUCT(($K$104:$K$514="EHS")*($J$104:$J$514="Transport")*($R$104:$R$514=$B526)*$V$104:$V$514*Z$104:Z$514)</f>
        <v>22177.625158472743</v>
      </c>
      <c r="M526" s="33" cm="1">
        <f t="array" ref="M526">SUMPRODUCT(($K$104:$K$514="EHS")*($J$104:$J$514="Transport")*($R$104:$R$514=$B526)*$V$104:$V$514*AA$104:AA$514)</f>
        <v>22842.953913226927</v>
      </c>
      <c r="N526" s="33" cm="1">
        <f t="array" ref="N526">SUMPRODUCT(($K$104:$K$514="EHS")*($J$104:$J$514="Transport")*($R$104:$R$514=$B526)*$V$104:$V$514*AB$104:AB$514)</f>
        <v>23665.300254103098</v>
      </c>
      <c r="O526" s="33" cm="1">
        <f t="array" ref="O526">SUMPRODUCT(($K$104:$K$514="EHS")*($J$104:$J$514="Transport")*($R$104:$R$514=$B526)*$V$104:$V$514*AC$104:AC$514)</f>
        <v>24327.928661217982</v>
      </c>
    </row>
    <row r="527" spans="2:29" x14ac:dyDescent="0.2">
      <c r="B527" s="81">
        <v>2022</v>
      </c>
      <c r="F527" s="2" t="s">
        <v>100</v>
      </c>
      <c r="K527" s="33" cm="1">
        <f t="array" ref="K527">SUMPRODUCT(($K$104:$K$514="EHS")*($J$104:$J$514="Transport")*($R$104:$R$514=$B527)*$V$104:$V$514*Y$104:Y$514)</f>
        <v>335973.32644361723</v>
      </c>
      <c r="L527" s="33" cm="1">
        <f t="array" ref="L527">SUMPRODUCT(($K$104:$K$514="EHS")*($J$104:$J$514="Transport")*($R$104:$R$514=$B527)*$V$104:$V$514*Z$104:Z$514)</f>
        <v>596160.52893358795</v>
      </c>
      <c r="M527" s="33" cm="1">
        <f t="array" ref="M527">SUMPRODUCT(($K$104:$K$514="EHS")*($J$104:$J$514="Transport")*($R$104:$R$514=$B527)*$V$104:$V$514*AA$104:AA$514)</f>
        <v>614045.34480159567</v>
      </c>
      <c r="N527" s="33" cm="1">
        <f t="array" ref="N527">SUMPRODUCT(($K$104:$K$514="EHS")*($J$104:$J$514="Transport")*($R$104:$R$514=$B527)*$V$104:$V$514*AB$104:AB$514)</f>
        <v>636150.97721445304</v>
      </c>
      <c r="O527" s="33" cm="1">
        <f t="array" ref="O527">SUMPRODUCT(($K$104:$K$514="EHS")*($J$104:$J$514="Transport")*($R$104:$R$514=$B527)*$V$104:$V$514*AC$104:AC$514)</f>
        <v>653963.20457645773</v>
      </c>
    </row>
    <row r="528" spans="2:29" x14ac:dyDescent="0.2">
      <c r="B528" s="81">
        <v>2023</v>
      </c>
      <c r="F528" s="2" t="s">
        <v>100</v>
      </c>
      <c r="K528" s="50"/>
      <c r="L528" s="33" cm="1">
        <f t="array" ref="L528">SUMPRODUCT(($K$104:$K$514="EHS")*($J$104:$J$514="Transport")*($R$104:$R$514=$B528)*$V$104:$V$514*Z$104:Z$514)</f>
        <v>6828744.9318647645</v>
      </c>
      <c r="M528" s="33" cm="1">
        <f t="array" ref="M528">SUMPRODUCT(($K$104:$K$514="EHS")*($J$104:$J$514="Transport")*($R$104:$R$514=$B528)*$V$104:$V$514*AA$104:AA$514)</f>
        <v>7309316.6692990968</v>
      </c>
      <c r="N528" s="33" cm="1">
        <f t="array" ref="N528">SUMPRODUCT(($K$104:$K$514="EHS")*($J$104:$J$514="Transport")*($R$104:$R$514=$B528)*$V$104:$V$514*AB$104:AB$514)</f>
        <v>7572452.0693938639</v>
      </c>
      <c r="O528" s="33" cm="1">
        <f t="array" ref="O528">SUMPRODUCT(($K$104:$K$514="EHS")*($J$104:$J$514="Transport")*($R$104:$R$514=$B528)*$V$104:$V$514*AC$104:AC$514)</f>
        <v>7784480.7273368929</v>
      </c>
    </row>
    <row r="529" spans="2:15" x14ac:dyDescent="0.2">
      <c r="B529" s="81">
        <v>2024</v>
      </c>
      <c r="F529" s="2" t="s">
        <v>100</v>
      </c>
      <c r="K529" s="50"/>
      <c r="L529" s="50"/>
      <c r="M529" s="33" cm="1">
        <f t="array" ref="M529">SUMPRODUCT(($K$104:$K$514="EHS")*($J$104:$J$514="Transport")*($R$104:$R$514=$B529)*$V$104:$V$514*AA$104:AA$514)</f>
        <v>647104.03004613391</v>
      </c>
      <c r="N529" s="33" cm="1">
        <f t="array" ref="N529">SUMPRODUCT(($K$104:$K$514="EHS")*($J$104:$J$514="Transport")*($R$104:$R$514=$B529)*$V$104:$V$514*AB$104:AB$514)</f>
        <v>1446846.0834508953</v>
      </c>
      <c r="O529" s="33" cm="1">
        <f t="array" ref="O529">SUMPRODUCT(($K$104:$K$514="EHS")*($J$104:$J$514="Transport")*($R$104:$R$514=$B529)*$V$104:$V$514*AC$104:AC$514)</f>
        <v>1487357.7737875206</v>
      </c>
    </row>
    <row r="530" spans="2:15" x14ac:dyDescent="0.2">
      <c r="B530" s="81">
        <v>2025</v>
      </c>
      <c r="F530" s="2" t="s">
        <v>100</v>
      </c>
      <c r="K530" s="50"/>
      <c r="L530" s="50"/>
      <c r="M530" s="50"/>
      <c r="N530" s="33" cm="1">
        <f t="array" ref="N530">SUMPRODUCT(($K$104:$K$514="EHS")*($J$104:$J$514="Transport")*($R$104:$R$514=$B530)*$V$104:$V$514*AB$104:AB$514)</f>
        <v>327012.43121195037</v>
      </c>
      <c r="O530" s="33" cm="1">
        <f t="array" ref="O530">SUMPRODUCT(($K$104:$K$514="EHS")*($J$104:$J$514="Transport")*($R$104:$R$514=$B530)*$V$104:$V$514*AC$104:AC$514)</f>
        <v>482756.49248796009</v>
      </c>
    </row>
    <row r="532" spans="2:15" x14ac:dyDescent="0.2">
      <c r="B532" s="21" t="s">
        <v>282</v>
      </c>
    </row>
    <row r="533" spans="2:15" x14ac:dyDescent="0.2">
      <c r="B533" s="81">
        <v>2021</v>
      </c>
      <c r="F533" s="2" t="s">
        <v>100</v>
      </c>
      <c r="K533" s="33" cm="1">
        <f t="array" ref="K533">SUMPRODUCT(($K$104:$K$514="HS")*($J$104:$J$514="Transport")*($R$104:$R$514=$B533)*$U$104:$U$514*Y$104:Y$514)</f>
        <v>20473512.017475467</v>
      </c>
      <c r="L533" s="33" cm="1">
        <f t="array" ref="L533">SUMPRODUCT(($K$104:$K$514="HS")*($J$104:$J$514="Transport")*($R$104:$R$514=$B533)*$U$104:$U$514*Z$104:Z$514)</f>
        <v>22930333.459572528</v>
      </c>
      <c r="M533" s="33" cm="1">
        <f t="array" ref="M533">SUMPRODUCT(($K$104:$K$514="HS")*($J$104:$J$514="Transport")*($R$104:$R$514=$B533)*$U$104:$U$514*AA$104:AA$514)</f>
        <v>23618243.463359702</v>
      </c>
      <c r="N533" s="33" cm="1">
        <f t="array" ref="N533">SUMPRODUCT(($K$104:$K$514="HS")*($J$104:$J$514="Transport")*($R$104:$R$514=$B533)*$U$104:$U$514*AB$104:AB$514)</f>
        <v>24468500.228040654</v>
      </c>
      <c r="O533" s="33" cm="1">
        <f t="array" ref="O533">SUMPRODUCT(($K$104:$K$514="HS")*($J$104:$J$514="Transport")*($R$104:$R$514=$B533)*$U$104:$U$514*AC$104:AC$514)</f>
        <v>25153618.234425798</v>
      </c>
    </row>
    <row r="534" spans="2:15" x14ac:dyDescent="0.2">
      <c r="B534" s="81">
        <v>2022</v>
      </c>
      <c r="F534" s="2" t="s">
        <v>100</v>
      </c>
      <c r="K534" s="33" cm="1">
        <f t="array" ref="K534">SUMPRODUCT(($K$104:$K$514="HS")*($J$104:$J$514="Transport")*($R$104:$R$514=$B534)*$U$104:$U$514*Y$104:Y$514)</f>
        <v>2868196.5524097579</v>
      </c>
      <c r="L534" s="33" cm="1">
        <f t="array" ref="L534">SUMPRODUCT(($K$104:$K$514="HS")*($J$104:$J$514="Transport")*($R$104:$R$514=$B534)*$U$104:$U$514*Z$104:Z$514)</f>
        <v>33295398.191566713</v>
      </c>
      <c r="M534" s="33" cm="1">
        <f t="array" ref="M534">SUMPRODUCT(($K$104:$K$514="HS")*($J$104:$J$514="Transport")*($R$104:$R$514=$B534)*$U$104:$U$514*AA$104:AA$514)</f>
        <v>34294260.137313724</v>
      </c>
      <c r="N534" s="33" cm="1">
        <f t="array" ref="N534">SUMPRODUCT(($K$104:$K$514="HS")*($J$104:$J$514="Transport")*($R$104:$R$514=$B534)*$U$104:$U$514*AB$104:AB$514)</f>
        <v>35528853.502257019</v>
      </c>
      <c r="O534" s="33" cm="1">
        <f t="array" ref="O534">SUMPRODUCT(($K$104:$K$514="HS")*($J$104:$J$514="Transport")*($R$104:$R$514=$B534)*$U$104:$U$514*AC$104:AC$514)</f>
        <v>36523661.40032021</v>
      </c>
    </row>
    <row r="535" spans="2:15" x14ac:dyDescent="0.2">
      <c r="B535" s="81">
        <v>2023</v>
      </c>
      <c r="F535" s="2" t="s">
        <v>100</v>
      </c>
      <c r="K535" s="50"/>
      <c r="L535" s="33" cm="1">
        <f t="array" ref="L535">SUMPRODUCT(($K$104:$K$340="HS")*($J$104:$J$340="Transport")*($R$104:$R$340=$B535)*$U$104:$U$340*Z$104:Z$340)</f>
        <v>9026665.3482263274</v>
      </c>
      <c r="M535" s="33" cm="1">
        <f t="array" ref="M535">SUMPRODUCT(($K$104:$K$514="HS")*($J$104:$J$514="Transport")*($R$104:$R$514=$B535)*$U$104:$U$514*AA$104:AA$514)</f>
        <v>25017967.449933194</v>
      </c>
      <c r="N535" s="33" cm="1">
        <f t="array" ref="N535">SUMPRODUCT(($K$104:$K$514="HS")*($J$104:$J$514="Transport")*($R$104:$R$514=$B535)*$U$104:$U$514*AB$104:AB$514)</f>
        <v>25918614.278130796</v>
      </c>
      <c r="O535" s="33" cm="1">
        <f t="array" ref="O535">SUMPRODUCT(($K$104:$K$514="HS")*($J$104:$J$514="Transport")*($R$104:$R$514=$B535)*$U$104:$U$514*AC$104:AC$514)</f>
        <v>26644335.477918461</v>
      </c>
    </row>
    <row r="536" spans="2:15" x14ac:dyDescent="0.2">
      <c r="B536" s="81">
        <v>2024</v>
      </c>
      <c r="F536" s="2" t="s">
        <v>100</v>
      </c>
      <c r="K536" s="50"/>
      <c r="L536" s="50"/>
      <c r="M536" s="33" cm="1">
        <f t="array" ref="M536">SUMPRODUCT(($K$104:$K$514="HS")*($J$104:$J$514="Transport")*($R$104:$R$514=$B536)*$U$104:$U$514*AA$104:AA$514)</f>
        <v>8394954.4925199375</v>
      </c>
      <c r="N536" s="33" cm="1">
        <f t="array" ref="N536">SUMPRODUCT(($K$104:$K$514="HS")*($J$104:$J$514="Transport")*($R$104:$R$514=$B536)*$U$104:$U$514*AB$104:AB$514)</f>
        <v>22061887.534566261</v>
      </c>
      <c r="O536" s="33" cm="1">
        <f t="array" ref="O536">SUMPRODUCT(($K$104:$K$514="HS")*($J$104:$J$514="Transport")*($R$104:$R$514=$B536)*$U$104:$U$514*AC$104:AC$514)</f>
        <v>22679620.385534123</v>
      </c>
    </row>
    <row r="537" spans="2:15" x14ac:dyDescent="0.2">
      <c r="B537" s="81">
        <v>2025</v>
      </c>
      <c r="F537" s="2" t="s">
        <v>100</v>
      </c>
      <c r="K537" s="50"/>
      <c r="L537" s="50"/>
      <c r="M537" s="50"/>
      <c r="N537" s="33" cm="1">
        <f t="array" ref="N537">SUMPRODUCT(($K$104:$K$514="HS")*($J$104:$J$514="Transport")*($R$104:$R$514=$B537)*$U$104:$U$514*AB$104:AB$514)</f>
        <v>5866084.9994852683</v>
      </c>
      <c r="O537" s="33" cm="1">
        <f t="array" ref="O537">SUMPRODUCT(($K$104:$K$514="HS")*($J$104:$J$514="Transport")*($R$104:$R$514=$B537)*$U$104:$U$514*AC$104:AC$514)</f>
        <v>16232868.715720786</v>
      </c>
    </row>
    <row r="539" spans="2:15" x14ac:dyDescent="0.2">
      <c r="B539" s="21" t="s">
        <v>283</v>
      </c>
    </row>
    <row r="540" spans="2:15" x14ac:dyDescent="0.2">
      <c r="B540" s="81">
        <v>2021</v>
      </c>
      <c r="F540" s="2" t="s">
        <v>100</v>
      </c>
      <c r="K540" s="33" cm="1">
        <f t="array" ref="K540">SUMPRODUCT(($K$104:$K$514="HS")*($J$104:$J$514="Transport")*($R$104:$R$514=$B540)*$V$104:$V$514*Y$104:Y$514)</f>
        <v>818006.88146541652</v>
      </c>
      <c r="L540" s="33" cm="1">
        <f t="array" ref="L540">SUMPRODUCT(($K$104:$K$514="HS")*($J$104:$J$514="Transport")*($R$104:$R$514=$B540)*$V$104:$V$514*Z$104:Z$514)</f>
        <v>916167.7072412665</v>
      </c>
      <c r="M540" s="33" cm="1">
        <f t="array" ref="M540">SUMPRODUCT(($K$104:$K$514="HS")*($J$104:$J$514="Transport")*($R$104:$R$514=$B540)*$V$104:$V$514*AA$104:AA$514)</f>
        <v>943652.73845850455</v>
      </c>
      <c r="N540" s="33" cm="1">
        <f t="array" ref="N540">SUMPRODUCT(($K$104:$K$514="HS")*($J$104:$J$514="Transport")*($R$104:$R$514=$B540)*$V$104:$V$514*AB$104:AB$514)</f>
        <v>977624.23704301089</v>
      </c>
      <c r="O540" s="33" cm="1">
        <f t="array" ref="O540">SUMPRODUCT(($K$104:$K$514="HS")*($J$104:$J$514="Transport")*($R$104:$R$514=$B540)*$V$104:$V$514*AC$104:AC$514)</f>
        <v>1004997.7156802153</v>
      </c>
    </row>
    <row r="541" spans="2:15" x14ac:dyDescent="0.2">
      <c r="B541" s="81">
        <v>2022</v>
      </c>
      <c r="F541" s="2" t="s">
        <v>100</v>
      </c>
      <c r="K541" s="33" cm="1">
        <f t="array" ref="K541">SUMPRODUCT(($K$104:$K$514="HS")*($J$104:$J$514="Transport")*($R$104:$R$514=$B541)*$V$104:$V$514*Y$104:Y$514)</f>
        <v>299630.05949781602</v>
      </c>
      <c r="L541" s="33" cm="1">
        <f t="array" ref="L541">SUMPRODUCT(($K$104:$K$514="HS")*($J$104:$J$514="Transport")*($R$104:$R$514=$B541)*$V$104:$V$514*Z$104:Z$514)</f>
        <v>1850033.1909964457</v>
      </c>
      <c r="M541" s="33" cm="1">
        <f t="array" ref="M541">SUMPRODUCT(($K$104:$K$514="HS")*($J$104:$J$514="Transport")*($R$104:$R$514=$B541)*$V$104:$V$514*AA$104:AA$514)</f>
        <v>1905534.1867263392</v>
      </c>
      <c r="N541" s="33" cm="1">
        <f t="array" ref="N541">SUMPRODUCT(($K$104:$K$514="HS")*($J$104:$J$514="Transport")*($R$104:$R$514=$B541)*$V$104:$V$514*AB$104:AB$514)</f>
        <v>1974133.4174484876</v>
      </c>
      <c r="O541" s="33" cm="1">
        <f t="array" ref="O541">SUMPRODUCT(($K$104:$K$514="HS")*($J$104:$J$514="Transport")*($R$104:$R$514=$B541)*$V$104:$V$514*AC$104:AC$514)</f>
        <v>2029409.1531370454</v>
      </c>
    </row>
    <row r="542" spans="2:15" x14ac:dyDescent="0.2">
      <c r="B542" s="81">
        <v>2023</v>
      </c>
      <c r="F542" s="2" t="s">
        <v>100</v>
      </c>
      <c r="K542" s="50"/>
      <c r="L542" s="33" cm="1">
        <f t="array" ref="L542">SUMPRODUCT(($K$104:$K$514="HS")*($J$104:$J$514="Transport")*($R$104:$R$514=$B542)*$V$104:$V$514*Z$104:Z$514)</f>
        <v>408417.76850043744</v>
      </c>
      <c r="M542" s="33" cm="1">
        <f t="array" ref="M542">SUMPRODUCT(($K$104:$K$514="HS")*($J$104:$J$514="Transport")*($R$104:$R$514=$B542)*$V$104:$V$514*AA$104:AA$514)</f>
        <v>1215994.6733967909</v>
      </c>
      <c r="N542" s="33" cm="1">
        <f t="array" ref="N542">SUMPRODUCT(($K$104:$K$514="HS")*($J$104:$J$514="Transport")*($R$104:$R$514=$B542)*$V$104:$V$514*AB$104:AB$514)</f>
        <v>1259770.4816390756</v>
      </c>
      <c r="O542" s="33" cm="1">
        <f t="array" ref="O542">SUMPRODUCT(($K$104:$K$514="HS")*($J$104:$J$514="Transport")*($R$104:$R$514=$B542)*$V$104:$V$514*AC$104:AC$514)</f>
        <v>1295044.0551249692</v>
      </c>
    </row>
    <row r="543" spans="2:15" x14ac:dyDescent="0.2">
      <c r="B543" s="81">
        <v>2024</v>
      </c>
      <c r="F543" s="2" t="s">
        <v>100</v>
      </c>
      <c r="K543" s="50"/>
      <c r="L543" s="50"/>
      <c r="M543" s="33" cm="1">
        <f t="array" ref="M543">SUMPRODUCT(($K$104:$K$514="HS")*($J$104:$J$514="Transport")*($R$104:$R$514=$B543)*$V$104:$V$514*AA$104:AA$514)</f>
        <v>1237910.8025491626</v>
      </c>
      <c r="N543" s="33" cm="1">
        <f t="array" ref="N543">SUMPRODUCT(($K$104:$K$514="HS")*($J$104:$J$514="Transport")*($R$104:$R$514=$B543)*$V$104:$V$514*AB$104:AB$514)</f>
        <v>2548622.672843955</v>
      </c>
      <c r="O543" s="33" cm="1">
        <f t="array" ref="O543">SUMPRODUCT(($K$104:$K$514="HS")*($J$104:$J$514="Transport")*($R$104:$R$514=$B543)*$V$104:$V$514*AC$104:AC$514)</f>
        <v>2619984.107683586</v>
      </c>
    </row>
    <row r="544" spans="2:15" x14ac:dyDescent="0.2">
      <c r="B544" s="81">
        <v>2025</v>
      </c>
      <c r="F544" s="2" t="s">
        <v>100</v>
      </c>
      <c r="K544" s="50"/>
      <c r="L544" s="50"/>
      <c r="M544" s="50"/>
      <c r="N544" s="33" cm="1">
        <f t="array" ref="N544">SUMPRODUCT(($K$104:$K$514="HS")*($J$104:$J$514="Transport")*($R$104:$R$514=$B544)*$V$104:$V$514*AB$104:AB$514)</f>
        <v>868626.68253313366</v>
      </c>
      <c r="O544" s="33" cm="1">
        <f t="array" ref="O544">SUMPRODUCT(($K$104:$K$514="HS")*($J$104:$J$514="Transport")*($R$104:$R$514=$B544)*$V$104:$V$514*AC$104:AC$514)</f>
        <v>1938387.2459815119</v>
      </c>
    </row>
    <row r="546" spans="2:16" x14ac:dyDescent="0.2">
      <c r="B546" s="21" t="s">
        <v>284</v>
      </c>
    </row>
    <row r="547" spans="2:16" x14ac:dyDescent="0.2">
      <c r="B547" s="81">
        <v>2021</v>
      </c>
      <c r="F547" s="2" t="s">
        <v>100</v>
      </c>
      <c r="K547" s="33" cm="1">
        <f t="array" ref="K547">SUMPRODUCT(($J$104:$J$514="Systeem")*($R$104:$R$514=$B547)*$V$104:$V$514*Y$104:Y$514)</f>
        <v>704648.55135953322</v>
      </c>
      <c r="L547" s="33" cm="1">
        <f t="array" ref="L547">SUMPRODUCT(($J$104:$J$514="Systeem")*($R$104:$R$514=$B547)*$V$104:$V$514*Z$104:Z$514)</f>
        <v>789206.3775226773</v>
      </c>
      <c r="M547" s="33" cm="1">
        <f t="array" ref="M547">SUMPRODUCT(($J$104:$J$514="Systeem")*($R$104:$R$514=$B547)*$V$104:$V$514*AA$104:AA$514)</f>
        <v>812882.56884835765</v>
      </c>
      <c r="N547" s="33" cm="1">
        <f t="array" ref="N547">SUMPRODUCT(($J$104:$J$514="Systeem")*($R$104:$R$514=$B547)*$V$104:$V$514*AB$104:AB$514)</f>
        <v>842146.34132689855</v>
      </c>
      <c r="O547" s="33" cm="1">
        <f t="array" ref="O547">SUMPRODUCT(($J$104:$J$514="Systeem")*($R$104:$R$514=$B547)*$V$104:$V$514*AC$104:AC$514)</f>
        <v>865726.43888405163</v>
      </c>
    </row>
    <row r="548" spans="2:16" x14ac:dyDescent="0.2">
      <c r="B548" s="81">
        <v>2022</v>
      </c>
      <c r="F548" s="2" t="s">
        <v>100</v>
      </c>
      <c r="K548" s="33" cm="1">
        <f t="array" ref="K548">SUMPRODUCT(($J$104:$J$514="Systeem")*($R$104:$R$514=$B548)*$V$104:$V$514*Y$104:Y$514)</f>
        <v>315281.14758338261</v>
      </c>
      <c r="L548" s="33" cm="1">
        <f t="array" ref="L548">SUMPRODUCT(($J$104:$J$514="Systeem")*($R$104:$R$514=$B548)*$V$104:$V$514*Z$104:Z$514)</f>
        <v>3479237.3493165993</v>
      </c>
      <c r="M548" s="33" cm="1">
        <f t="array" ref="M548">SUMPRODUCT(($J$104:$J$514="Systeem")*($R$104:$R$514=$B548)*$V$104:$V$514*AA$104:AA$514)</f>
        <v>3583614.4697960969</v>
      </c>
      <c r="N548" s="33" cm="1">
        <f t="array" ref="N548">SUMPRODUCT(($J$104:$J$514="Systeem")*($R$104:$R$514=$B548)*$V$104:$V$514*AB$104:AB$514)</f>
        <v>3712624.5907087568</v>
      </c>
      <c r="O548" s="33" cm="1">
        <f t="array" ref="O548">SUMPRODUCT(($J$104:$J$514="Systeem")*($R$104:$R$514=$B548)*$V$104:$V$514*AC$104:AC$514)</f>
        <v>3816578.079248602</v>
      </c>
    </row>
    <row r="549" spans="2:16" x14ac:dyDescent="0.2">
      <c r="B549" s="81">
        <v>2023</v>
      </c>
      <c r="F549" s="2" t="s">
        <v>100</v>
      </c>
      <c r="K549" s="50"/>
      <c r="L549" s="33" cm="1">
        <f t="array" ref="L549">SUMPRODUCT(($J$104:$J$514="Systeem")*($R$104:$R$514=$B549)*$V$104:$V$514*Z$104:Z$514)</f>
        <v>612900.76094415085</v>
      </c>
      <c r="M549" s="33" cm="1">
        <f t="array" ref="M549">SUMPRODUCT(($J$104:$J$514="Systeem")*($R$104:$R$514=$B549)*$V$104:$V$514*AA$104:AA$514)</f>
        <v>989473.32030578039</v>
      </c>
      <c r="N549" s="33" cm="1">
        <f t="array" ref="N549">SUMPRODUCT(($J$104:$J$514="Systeem")*($R$104:$R$514=$B549)*$V$104:$V$514*AB$104:AB$514)</f>
        <v>1025094.3598367885</v>
      </c>
      <c r="O549" s="33" cm="1">
        <f t="array" ref="O549">SUMPRODUCT(($J$104:$J$514="Systeem")*($R$104:$R$514=$B549)*$V$104:$V$514*AC$104:AC$514)</f>
        <v>1053797.0019122185</v>
      </c>
    </row>
    <row r="550" spans="2:16" x14ac:dyDescent="0.2">
      <c r="B550" s="81">
        <v>2024</v>
      </c>
      <c r="F550" s="2" t="s">
        <v>100</v>
      </c>
      <c r="K550" s="50"/>
      <c r="L550" s="50"/>
      <c r="M550" s="33" cm="1">
        <f t="array" ref="M550">SUMPRODUCT(($J$104:$J$514="Systeem")*($R$104:$R$514=$B550)*$V$104:$V$514*AA$104:AA$514)</f>
        <v>11801358.142245464</v>
      </c>
      <c r="N550" s="33" cm="1">
        <f t="array" ref="N550">SUMPRODUCT(($J$104:$J$514="Systeem")*($R$104:$R$514=$B550)*$V$104:$V$514*AB$104:AB$514)</f>
        <v>21147574.076610085</v>
      </c>
      <c r="O550" s="33" cm="1">
        <f t="array" ref="O550">SUMPRODUCT(($J$104:$J$514="Systeem")*($R$104:$R$514=$B550)*$V$104:$V$514*AC$104:AC$514)</f>
        <v>21739706.150755167</v>
      </c>
    </row>
    <row r="551" spans="2:16" x14ac:dyDescent="0.2">
      <c r="B551" s="81">
        <v>2025</v>
      </c>
      <c r="F551" s="2" t="s">
        <v>100</v>
      </c>
      <c r="K551" s="50"/>
      <c r="L551" s="50"/>
      <c r="M551" s="50"/>
      <c r="N551" s="33" cm="1">
        <f t="array" ref="N551">SUMPRODUCT(($J$104:$J$514="Systeem")*($R$104:$R$514=$B551)*$V$104:$V$514*AB$104:AB$514)</f>
        <v>88246.375461188378</v>
      </c>
      <c r="O551" s="33" cm="1">
        <f t="array" ref="O551">SUMPRODUCT(($J$104:$J$514="Systeem")*($R$104:$R$514=$B551)*$V$104:$V$514*AC$104:AC$514)</f>
        <v>1088607.2876892202</v>
      </c>
    </row>
    <row r="553" spans="2:16" s="7" customFormat="1" x14ac:dyDescent="0.2">
      <c r="B553" s="7" t="s">
        <v>325</v>
      </c>
      <c r="J553" s="54">
        <v>2021</v>
      </c>
      <c r="K553" s="54">
        <v>2022</v>
      </c>
      <c r="L553" s="54">
        <v>2023</v>
      </c>
      <c r="M553" s="54">
        <v>2024</v>
      </c>
      <c r="N553" s="54">
        <v>2025</v>
      </c>
      <c r="O553" s="54">
        <v>2026</v>
      </c>
      <c r="P553" s="54"/>
    </row>
    <row r="555" spans="2:16" x14ac:dyDescent="0.2">
      <c r="B555" s="21" t="s">
        <v>348</v>
      </c>
    </row>
    <row r="556" spans="2:16" x14ac:dyDescent="0.2">
      <c r="B556" s="81">
        <v>2021</v>
      </c>
      <c r="F556" s="2" t="s">
        <v>100</v>
      </c>
      <c r="K556" s="33" cm="1">
        <f t="array" ref="K556">-$H$58*K519*INDEX($J$42:$O$47,$B556-2020,K$553-2020)*K$61-$H$58*K526*INDEX($J$42:$O$47,$B556-2020,K$553-2020)</f>
        <v>-19898.144738677453</v>
      </c>
      <c r="L556" s="33" cm="1">
        <f t="array" ref="L556">-$H$58*L519*INDEX($J$42:$O$47,$B556-2020,L$553-2020)*L$61-$H$58*L526*INDEX($J$42:$O$47,$B556-2020,L$553-2020)</f>
        <v>-22174.492496782153</v>
      </c>
      <c r="M556" s="33" cm="1">
        <f t="array" ref="M556">-$H$58*M519*INDEX($J$42:$O$47,$B556-2020,M$553-2020)*M$61-$H$58*M526*INDEX($J$42:$O$47,$B556-2020,M$553-2020)</f>
        <v>-22725.528635327188</v>
      </c>
      <c r="N556" s="33" cm="1">
        <f t="array" ref="N556">-$H$58*N519*INDEX($J$42:$O$47,$B556-2020,N$553-2020)*N$61-$H$58*N526*INDEX($J$42:$O$47,$B556-2020,N$553-2020)</f>
        <v>-23425.929427867977</v>
      </c>
      <c r="O556" s="33" cm="1">
        <f t="array" ref="O556">-$H$58*O519*INDEX($J$42:$O$47,$B556-2020,O$553-2020)*O$61-$H$58*O526*INDEX($J$42:$O$47,$B556-2020,O$553-2020)</f>
        <v>-23961.446174589037</v>
      </c>
    </row>
    <row r="557" spans="2:16" x14ac:dyDescent="0.2">
      <c r="B557" s="81">
        <v>2022</v>
      </c>
      <c r="F557" s="2" t="s">
        <v>100</v>
      </c>
      <c r="K557" s="33" cm="1">
        <f t="array" ref="K557">-$H$58*K520*INDEX($J$42:$O$47,$B557-2020,K$553-2020)*K$61-$H$58*K527*INDEX($J$42:$O$47,$B557-2020,K$553-2020)</f>
        <v>-51878.190698553968</v>
      </c>
      <c r="L557" s="33" cm="1">
        <f t="array" ref="L557">-$H$58*L520*INDEX($J$42:$O$47,$B557-2020,L$553-2020)*L$61-$H$58*L527*INDEX($J$42:$O$47,$B557-2020,L$553-2020)</f>
        <v>-123140.5458624756</v>
      </c>
      <c r="M557" s="33" cm="1">
        <f t="array" ref="M557">-$H$58*M520*INDEX($J$42:$O$47,$B557-2020,M$553-2020)*M$61-$H$58*M527*INDEX($J$42:$O$47,$B557-2020,M$553-2020)</f>
        <v>-126200.58842715815</v>
      </c>
      <c r="N557" s="33" cm="1">
        <f t="array" ref="N557">-$H$58*N520*INDEX($J$42:$O$47,$B557-2020,N$553-2020)*N$61-$H$58*N527*INDEX($J$42:$O$47,$B557-2020,N$553-2020)</f>
        <v>-130090.09056248309</v>
      </c>
      <c r="O557" s="33" cm="1">
        <f t="array" ref="O557">-$H$58*O520*INDEX($J$42:$O$47,$B557-2020,O$553-2020)*O$61-$H$58*O527*INDEX($J$42:$O$47,$B557-2020,O$553-2020)</f>
        <v>-133063.95003274147</v>
      </c>
    </row>
    <row r="558" spans="2:16" x14ac:dyDescent="0.2">
      <c r="B558" s="81">
        <v>2023</v>
      </c>
      <c r="F558" s="2" t="s">
        <v>100</v>
      </c>
      <c r="K558" s="50"/>
      <c r="L558" s="33" cm="1">
        <f t="array" ref="L558">-$H$58*L521*INDEX($J$42:$O$47,$B558-2020,L$553-2020)*L$61-$H$58*L528*INDEX($J$42:$O$47,$B558-2020,L$553-2020)</f>
        <v>-398954.75200210977</v>
      </c>
      <c r="M558" s="33" cm="1">
        <f t="array" ref="M558">-$H$58*M521*INDEX($J$42:$O$47,$B558-2020,M$553-2020)*M$61-$H$58*M528*INDEX($J$42:$O$47,$B558-2020,M$553-2020)</f>
        <v>-521940.08791546285</v>
      </c>
      <c r="N558" s="33" cm="1">
        <f t="array" ref="N558">-$H$58*N521*INDEX($J$42:$O$47,$B558-2020,N$553-2020)*N$61-$H$58*N528*INDEX($J$42:$O$47,$B558-2020,N$553-2020)</f>
        <v>-538026.28142501763</v>
      </c>
      <c r="O558" s="33" cm="1">
        <f t="array" ref="O558">-$H$58*O521*INDEX($J$42:$O$47,$B558-2020,O$553-2020)*O$61-$H$58*O528*INDEX($J$42:$O$47,$B558-2020,O$553-2020)</f>
        <v>-550325.56221839366</v>
      </c>
    </row>
    <row r="559" spans="2:16" x14ac:dyDescent="0.2">
      <c r="B559" s="81">
        <v>2024</v>
      </c>
      <c r="F559" s="2" t="s">
        <v>100</v>
      </c>
      <c r="K559" s="50"/>
      <c r="L559" s="50"/>
      <c r="M559" s="33" cm="1">
        <f t="array" ref="M559">-$H$58*M522*INDEX($J$42:$O$47,$B559-2020,M$553-2020)*M$61-$H$58*M529*INDEX($J$42:$O$47,$B559-2020,M$553-2020)</f>
        <v>-262828.20662490133</v>
      </c>
      <c r="N559" s="33" cm="1">
        <f t="array" ref="N559">-$H$58*N522*INDEX($J$42:$O$47,$B559-2020,N$553-2020)*N$61-$H$58*N529*INDEX($J$42:$O$47,$B559-2020,N$553-2020)</f>
        <v>-588213.89581355348</v>
      </c>
      <c r="O559" s="33" cm="1">
        <f t="array" ref="O559">-$H$58*O522*INDEX($J$42:$O$47,$B559-2020,O$553-2020)*O$61-$H$58*O529*INDEX($J$42:$O$47,$B559-2020,O$553-2020)</f>
        <v>-601660.46547185141</v>
      </c>
    </row>
    <row r="560" spans="2:16" x14ac:dyDescent="0.2">
      <c r="B560" s="81">
        <v>2025</v>
      </c>
      <c r="F560" s="2" t="s">
        <v>100</v>
      </c>
      <c r="K560" s="50"/>
      <c r="L560" s="50"/>
      <c r="M560" s="50"/>
      <c r="N560" s="33" cm="1">
        <f t="array" ref="N560">-$H$58*N523*INDEX($J$42:$O$47,$B560-2020,N$553-2020)*N$61-$H$58*N530*INDEX($J$42:$O$47,$B560-2020,N$553-2020)</f>
        <v>-106039.44948642906</v>
      </c>
      <c r="O560" s="33" cm="1">
        <f t="array" ref="O560">-$H$58*O523*INDEX($J$42:$O$47,$B560-2020,O$553-2020)*O$61-$H$58*O530*INDEX($J$42:$O$47,$B560-2020,O$553-2020)</f>
        <v>-214449.61122729917</v>
      </c>
    </row>
    <row r="562" spans="2:16" x14ac:dyDescent="0.2">
      <c r="B562" s="21" t="s">
        <v>349</v>
      </c>
    </row>
    <row r="563" spans="2:16" x14ac:dyDescent="0.2">
      <c r="B563" s="81">
        <v>2021</v>
      </c>
      <c r="F563" s="2" t="s">
        <v>100</v>
      </c>
      <c r="K563" s="33" cm="1">
        <f t="array" ref="K563">-$H$58*K533*INDEX($J$42:$O$47,$B563-2020,K$553-2020)*K$61-$H$58*K540*INDEX($J$42:$O$47,$B563-2020,K$553-2020)</f>
        <v>-211850.61304446179</v>
      </c>
      <c r="L563" s="33" cm="1">
        <f t="array" ref="L563">-$H$58*L533*INDEX($J$42:$O$47,$B563-2020,L$553-2020)*L$61-$H$58*L540*INDEX($J$42:$O$47,$B563-2020,L$553-2020)</f>
        <v>-236086.32317674829</v>
      </c>
      <c r="M563" s="33" cm="1">
        <f t="array" ref="M563">-$H$58*M533*INDEX($J$42:$O$47,$B563-2020,M$553-2020)*M$61-$H$58*M540*INDEX($J$42:$O$47,$B563-2020,M$553-2020)</f>
        <v>-241953.06830769047</v>
      </c>
      <c r="N563" s="33" cm="1">
        <f t="array" ref="N563">-$H$58*N533*INDEX($J$42:$O$47,$B563-2020,N$553-2020)*N$61-$H$58*N540*INDEX($J$42:$O$47,$B563-2020,N$553-2020)</f>
        <v>-249410.06187293353</v>
      </c>
      <c r="O563" s="33" cm="1">
        <f t="array" ref="O563">-$H$58*O533*INDEX($J$42:$O$47,$B563-2020,O$553-2020)*O$61-$H$58*O540*INDEX($J$42:$O$47,$B563-2020,O$553-2020)</f>
        <v>-255111.57588734882</v>
      </c>
    </row>
    <row r="564" spans="2:16" x14ac:dyDescent="0.2">
      <c r="B564" s="81">
        <v>2022</v>
      </c>
      <c r="F564" s="2" t="s">
        <v>100</v>
      </c>
      <c r="K564" s="33" cm="1">
        <f t="array" ref="K564">-$H$58*K534*INDEX($J$42:$O$47,$B564-2020,K$553-2020)*K$61-$H$58*K541*INDEX($J$42:$O$47,$B564-2020,K$553-2020)</f>
        <v>-31678.266119075743</v>
      </c>
      <c r="L564" s="33" cm="1">
        <f t="array" ref="L564">-$H$58*L534*INDEX($J$42:$O$47,$B564-2020,L$553-2020)*L$61-$H$58*L541*INDEX($J$42:$O$47,$B564-2020,L$553-2020)</f>
        <v>-349697.04225650342</v>
      </c>
      <c r="M564" s="33" cm="1">
        <f t="array" ref="M564">-$H$58*M534*INDEX($J$42:$O$47,$B564-2020,M$553-2020)*M$61-$H$58*M541*INDEX($J$42:$O$47,$B564-2020,M$553-2020)</f>
        <v>-358387.01375657768</v>
      </c>
      <c r="N564" s="33" cm="1">
        <f t="array" ref="N564">-$H$58*N534*INDEX($J$42:$O$47,$B564-2020,N$553-2020)*N$61-$H$58*N541*INDEX($J$42:$O$47,$B564-2020,N$553-2020)</f>
        <v>-369432.50152055541</v>
      </c>
      <c r="O564" s="33" cm="1">
        <f t="array" ref="O564">-$H$58*O534*INDEX($J$42:$O$47,$B564-2020,O$553-2020)*O$61-$H$58*O541*INDEX($J$42:$O$47,$B564-2020,O$553-2020)</f>
        <v>-377877.72850531526</v>
      </c>
    </row>
    <row r="565" spans="2:16" x14ac:dyDescent="0.2">
      <c r="B565" s="81">
        <v>2023</v>
      </c>
      <c r="F565" s="2" t="s">
        <v>100</v>
      </c>
      <c r="K565" s="50"/>
      <c r="L565" s="33" cm="1">
        <f t="array" ref="L565">-$H$58*L535*INDEX($J$42:$O$47,$B565-2020,L$553-2020)*L$61-$H$58*L542*INDEX($J$42:$O$47,$B565-2020,L$553-2020)</f>
        <v>-94350.83116726765</v>
      </c>
      <c r="M565" s="33" cm="1">
        <f t="array" ref="M565">-$H$58*M535*INDEX($J$42:$O$47,$B565-2020,M$553-2020)*M$61-$H$58*M542*INDEX($J$42:$O$47,$B565-2020,M$553-2020)</f>
        <v>-261027.92312713337</v>
      </c>
      <c r="N565" s="33" cm="1">
        <f t="array" ref="N565">-$H$58*N535*INDEX($J$42:$O$47,$B565-2020,N$553-2020)*N$61-$H$58*N542*INDEX($J$42:$O$47,$B565-2020,N$553-2020)</f>
        <v>-269072.80371791165</v>
      </c>
      <c r="O565" s="33" cm="1">
        <f t="array" ref="O565">-$H$58*O535*INDEX($J$42:$O$47,$B565-2020,O$553-2020)*O$61-$H$58*O542*INDEX($J$42:$O$47,$B565-2020,O$553-2020)</f>
        <v>-275223.80801090319</v>
      </c>
    </row>
    <row r="566" spans="2:16" x14ac:dyDescent="0.2">
      <c r="B566" s="81">
        <v>2024</v>
      </c>
      <c r="F566" s="2" t="s">
        <v>100</v>
      </c>
      <c r="K566" s="50"/>
      <c r="L566" s="50"/>
      <c r="M566" s="33" cm="1">
        <f t="array" ref="M566">-$H$58*M536*INDEX($J$42:$O$47,$B566-2020,M$553-2020)*M$61-$H$58*M543*INDEX($J$42:$O$47,$B566-2020,M$553-2020)</f>
        <v>-96328.652950691001</v>
      </c>
      <c r="N566" s="33" cm="1">
        <f t="array" ref="N566">-$H$58*N536*INDEX($J$42:$O$47,$B566-2020,N$553-2020)*N$61-$H$58*N543*INDEX($J$42:$O$47,$B566-2020,N$553-2020)</f>
        <v>-244874.57656373165</v>
      </c>
      <c r="O566" s="33" cm="1">
        <f t="array" ref="O566">-$H$58*O536*INDEX($J$42:$O$47,$B566-2020,O$553-2020)*O$61-$H$58*O543*INDEX($J$42:$O$47,$B566-2020,O$553-2020)</f>
        <v>-250472.40938397864</v>
      </c>
    </row>
    <row r="567" spans="2:16" x14ac:dyDescent="0.2">
      <c r="B567" s="81">
        <v>2025</v>
      </c>
      <c r="F567" s="2" t="s">
        <v>100</v>
      </c>
      <c r="K567" s="50"/>
      <c r="L567" s="50"/>
      <c r="M567" s="50"/>
      <c r="N567" s="33" cm="1">
        <f t="array" ref="N567">-$H$58*N537*INDEX($J$42:$O$47,$B567-2020,N$553-2020)*N$61-$H$58*N544*INDEX($J$42:$O$47,$B567-2020,N$553-2020)</f>
        <v>-67347.116820184019</v>
      </c>
      <c r="O567" s="33" cm="1">
        <f t="array" ref="O567">-$H$58*O537*INDEX($J$42:$O$47,$B567-2020,O$553-2020)*O$61-$H$58*O544*INDEX($J$42:$O$47,$B567-2020,O$553-2020)</f>
        <v>-180803.99681893789</v>
      </c>
    </row>
    <row r="569" spans="2:16" x14ac:dyDescent="0.2">
      <c r="B569" s="21" t="s">
        <v>326</v>
      </c>
    </row>
    <row r="570" spans="2:16" x14ac:dyDescent="0.2">
      <c r="B570" s="81">
        <v>2021</v>
      </c>
      <c r="F570" s="2" t="s">
        <v>100</v>
      </c>
      <c r="K570" s="33" cm="1">
        <f t="array" ref="K570">-$H$58*K547*INDEX($J$42:$O$47,$B570-2020,K$553-2020)</f>
        <v>-7011.2530860273555</v>
      </c>
      <c r="L570" s="33" cm="1">
        <f t="array" ref="L570">-$H$58*L547*INDEX($J$42:$O$47,$B570-2020,L$553-2020)</f>
        <v>-7813.3404390688866</v>
      </c>
      <c r="M570" s="33" cm="1">
        <f t="array" ref="M570">-$H$58*M547*INDEX($J$42:$O$47,$B570-2020,M$553-2020)</f>
        <v>-8007.5019489797478</v>
      </c>
      <c r="N570" s="33" cm="1">
        <f t="array" ref="N570">-$H$58*N547*INDEX($J$42:$O$47,$B570-2020,N$553-2020)</f>
        <v>-8254.2931590473054</v>
      </c>
      <c r="O570" s="33" cm="1">
        <f t="array" ref="O570">-$H$58*O547*INDEX($J$42:$O$47,$B570-2020,O$553-2020)</f>
        <v>-8442.9863006631258</v>
      </c>
    </row>
    <row r="571" spans="2:16" x14ac:dyDescent="0.2">
      <c r="B571" s="81">
        <v>2022</v>
      </c>
      <c r="F571" s="2" t="s">
        <v>100</v>
      </c>
      <c r="K571" s="33" cm="1">
        <f t="array" ref="K571">-$H$58*K548*INDEX($J$42:$O$47,$B571-2020,K$553-2020)</f>
        <v>-3152.8114758338261</v>
      </c>
      <c r="L571" s="33" cm="1">
        <f t="array" ref="L571">-$H$58*L548*INDEX($J$42:$O$47,$B571-2020,L$553-2020)</f>
        <v>-34618.411625700166</v>
      </c>
      <c r="M571" s="33" cm="1">
        <f t="array" ref="M571">-$H$58*M548*INDEX($J$42:$O$47,$B571-2020,M$553-2020)</f>
        <v>-35478.679154598809</v>
      </c>
      <c r="N571" s="33" cm="1">
        <f t="array" ref="N571">-$H$58*N548*INDEX($J$42:$O$47,$B571-2020,N$553-2020)</f>
        <v>-36572.132046143553</v>
      </c>
      <c r="O571" s="33" cm="1">
        <f t="array" ref="O571">-$H$58*O548*INDEX($J$42:$O$47,$B571-2020,O$553-2020)</f>
        <v>-37408.170984718396</v>
      </c>
    </row>
    <row r="572" spans="2:16" x14ac:dyDescent="0.2">
      <c r="B572" s="81">
        <v>2023</v>
      </c>
      <c r="F572" s="2" t="s">
        <v>100</v>
      </c>
      <c r="K572" s="50"/>
      <c r="L572" s="33" cm="1">
        <f t="array" ref="L572">-$H$58*L549*INDEX($J$42:$O$47,$B572-2020,L$553-2020)</f>
        <v>-6129.007609441509</v>
      </c>
      <c r="M572" s="33" cm="1">
        <f t="array" ref="M572">-$H$58*M549*INDEX($J$42:$O$47,$B572-2020,M$553-2020)</f>
        <v>-9845.2595370425151</v>
      </c>
      <c r="N572" s="33" cm="1">
        <f t="array" ref="N572">-$H$58*N549*INDEX($J$42:$O$47,$B572-2020,N$553-2020)</f>
        <v>-10148.690435974166</v>
      </c>
      <c r="O572" s="33" cm="1">
        <f t="array" ref="O572">-$H$58*O549*INDEX($J$42:$O$47,$B572-2020,O$553-2020)</f>
        <v>-10380.689499340535</v>
      </c>
    </row>
    <row r="573" spans="2:16" x14ac:dyDescent="0.2">
      <c r="B573" s="81">
        <v>2024</v>
      </c>
      <c r="F573" s="2" t="s">
        <v>100</v>
      </c>
      <c r="K573" s="50"/>
      <c r="L573" s="50"/>
      <c r="M573" s="33" cm="1">
        <f t="array" ref="M573">-$H$58*M550*INDEX($J$42:$O$47,$B573-2020,M$553-2020)</f>
        <v>-118013.58142245465</v>
      </c>
      <c r="N573" s="33" cm="1">
        <f t="array" ref="N573">-$H$58*N550*INDEX($J$42:$O$47,$B573-2020,N$553-2020)</f>
        <v>-210418.36206227035</v>
      </c>
      <c r="O573" s="33" cm="1">
        <f t="array" ref="O573">-$H$58*O550*INDEX($J$42:$O$47,$B573-2020,O$553-2020)</f>
        <v>-215228.52581901386</v>
      </c>
    </row>
    <row r="574" spans="2:16" x14ac:dyDescent="0.2">
      <c r="B574" s="81">
        <v>2025</v>
      </c>
      <c r="F574" s="2" t="s">
        <v>100</v>
      </c>
      <c r="K574" s="50"/>
      <c r="L574" s="50"/>
      <c r="M574" s="50"/>
      <c r="N574" s="33" cm="1">
        <f t="array" ref="N574">-$H$58*N551*INDEX($J$42:$O$47,$B574-2020,N$553-2020)</f>
        <v>-882.46375461188381</v>
      </c>
      <c r="O574" s="33" cm="1">
        <f t="array" ref="O574">-$H$58*O551*INDEX($J$42:$O$47,$B574-2020,O$553-2020)</f>
        <v>-10831.64251250774</v>
      </c>
    </row>
    <row r="575" spans="2:16" x14ac:dyDescent="0.2">
      <c r="B575" s="81"/>
    </row>
    <row r="576" spans="2:16" s="7" customFormat="1" x14ac:dyDescent="0.2">
      <c r="B576" s="7" t="s">
        <v>347</v>
      </c>
      <c r="J576" s="54">
        <v>2021</v>
      </c>
      <c r="K576" s="54">
        <v>2022</v>
      </c>
      <c r="L576" s="54">
        <v>2023</v>
      </c>
      <c r="M576" s="54">
        <v>2024</v>
      </c>
      <c r="N576" s="54">
        <v>2025</v>
      </c>
      <c r="O576" s="54">
        <v>2026</v>
      </c>
      <c r="P576" s="54">
        <v>2027</v>
      </c>
    </row>
    <row r="577" spans="2:16" x14ac:dyDescent="0.2">
      <c r="B577" s="81"/>
    </row>
    <row r="578" spans="2:16" x14ac:dyDescent="0.2">
      <c r="B578" s="21" t="s">
        <v>859</v>
      </c>
    </row>
    <row r="579" spans="2:16" x14ac:dyDescent="0.2">
      <c r="B579" s="81" t="s">
        <v>860</v>
      </c>
      <c r="P579" s="23">
        <f>N560*$P$53+O560*$P$54</f>
        <v>-340442.45585303672</v>
      </c>
    </row>
    <row r="580" spans="2:16" x14ac:dyDescent="0.2">
      <c r="B580" s="81" t="s">
        <v>861</v>
      </c>
      <c r="P580" s="23">
        <f>N567*$P$53+O567*$P$54</f>
        <v>-262830.44063693727</v>
      </c>
    </row>
    <row r="581" spans="2:16" x14ac:dyDescent="0.2">
      <c r="B581" s="81" t="s">
        <v>862</v>
      </c>
      <c r="P581" s="23">
        <f>N574*$P$53+O574*$P$54</f>
        <v>-12287.165217265356</v>
      </c>
    </row>
  </sheetData>
  <dataConsolidate/>
  <mergeCells count="1">
    <mergeCell ref="B5:E5"/>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A47F6-F6CC-4FA3-88BE-DFA5920A2925}">
  <sheetPr>
    <tabColor rgb="FFFFFFCC"/>
  </sheetPr>
  <dimension ref="A2:AO197"/>
  <sheetViews>
    <sheetView showGridLines="0" zoomScale="85" zoomScaleNormal="85" workbookViewId="0">
      <pane xSplit="6" ySplit="11" topLeftCell="G153" activePane="bottomRight" state="frozen"/>
      <selection activeCell="P579" sqref="P579"/>
      <selection pane="topRight" activeCell="P579" sqref="P579"/>
      <selection pane="bottomLeft" activeCell="P579" sqref="P579"/>
      <selection pane="bottomRight"/>
    </sheetView>
  </sheetViews>
  <sheetFormatPr defaultColWidth="9.140625" defaultRowHeight="12.75" outlineLevelCol="1" x14ac:dyDescent="0.2"/>
  <cols>
    <col min="1" max="1" width="5.7109375" style="2" customWidth="1"/>
    <col min="2" max="2" width="102.7109375" style="2" customWidth="1"/>
    <col min="3" max="5" width="5.7109375" style="2" customWidth="1"/>
    <col min="6" max="6" width="13.7109375" style="2" customWidth="1"/>
    <col min="7" max="7" width="2.7109375" style="2" customWidth="1"/>
    <col min="8" max="8" width="13.7109375" style="2" customWidth="1"/>
    <col min="9" max="9" width="2.7109375" style="2" customWidth="1"/>
    <col min="10" max="10" width="13.7109375" style="2" customWidth="1"/>
    <col min="11" max="11" width="2.7109375" style="2" customWidth="1"/>
    <col min="12" max="29" width="12.5703125" style="2" hidden="1" customWidth="1" outlineLevel="1"/>
    <col min="30" max="30" width="12.5703125" style="2" customWidth="1" collapsed="1"/>
    <col min="31" max="36" width="12.5703125" style="2" customWidth="1"/>
    <col min="37" max="37" width="11.85546875" style="2" bestFit="1" customWidth="1"/>
    <col min="38" max="39" width="11.85546875" style="2" customWidth="1"/>
    <col min="40" max="40" width="2.7109375" style="2" customWidth="1"/>
    <col min="41" max="41" width="30.7109375" style="2" customWidth="1"/>
    <col min="42" max="55" width="13.7109375" style="2" customWidth="1"/>
    <col min="56" max="16384" width="9.140625" style="2"/>
  </cols>
  <sheetData>
    <row r="2" spans="2:41" s="13" customFormat="1" ht="18" x14ac:dyDescent="0.2">
      <c r="B2" s="13" t="s">
        <v>1059</v>
      </c>
    </row>
    <row r="4" spans="2:41" x14ac:dyDescent="0.2">
      <c r="B4" s="21" t="s">
        <v>52</v>
      </c>
      <c r="C4" s="1"/>
      <c r="D4" s="1"/>
    </row>
    <row r="5" spans="2:41" ht="93" customHeight="1" x14ac:dyDescent="0.2">
      <c r="B5" s="163" t="s">
        <v>1290</v>
      </c>
      <c r="C5" s="163"/>
      <c r="D5" s="163"/>
      <c r="E5" s="163"/>
      <c r="H5" s="14"/>
    </row>
    <row r="6" spans="2:41" ht="12.75" customHeight="1" x14ac:dyDescent="0.2">
      <c r="B6" s="87"/>
      <c r="C6" s="87"/>
      <c r="D6" s="87"/>
      <c r="E6" s="87"/>
      <c r="H6" s="14"/>
    </row>
    <row r="7" spans="2:41" ht="12.75" customHeight="1" x14ac:dyDescent="0.2">
      <c r="B7" s="22" t="s">
        <v>27</v>
      </c>
      <c r="C7" s="87"/>
      <c r="D7" s="87"/>
      <c r="E7" s="87"/>
      <c r="H7" s="14"/>
    </row>
    <row r="8" spans="2:41" ht="93.6" customHeight="1" x14ac:dyDescent="0.2">
      <c r="B8" s="171" t="s">
        <v>872</v>
      </c>
      <c r="C8" s="171"/>
      <c r="D8" s="171"/>
      <c r="E8" s="171"/>
      <c r="H8" s="14"/>
    </row>
    <row r="9" spans="2:41" ht="12.75" customHeight="1" x14ac:dyDescent="0.2">
      <c r="B9" s="87"/>
      <c r="C9" s="87"/>
      <c r="D9" s="87"/>
      <c r="E9" s="87"/>
      <c r="H9" s="14"/>
    </row>
    <row r="10" spans="2:41" s="7" customFormat="1" x14ac:dyDescent="0.2">
      <c r="B10" s="7" t="s">
        <v>42</v>
      </c>
      <c r="F10" s="7" t="s">
        <v>24</v>
      </c>
      <c r="H10" s="7" t="s">
        <v>25</v>
      </c>
      <c r="J10" s="7" t="s">
        <v>46</v>
      </c>
      <c r="L10" s="54">
        <v>2000</v>
      </c>
      <c r="M10" s="54">
        <v>2001</v>
      </c>
      <c r="N10" s="54">
        <v>2002</v>
      </c>
      <c r="O10" s="54">
        <v>2003</v>
      </c>
      <c r="P10" s="54">
        <v>2004</v>
      </c>
      <c r="Q10" s="54">
        <v>2005</v>
      </c>
      <c r="R10" s="54">
        <v>2006</v>
      </c>
      <c r="S10" s="54">
        <v>2007</v>
      </c>
      <c r="T10" s="54">
        <v>2008</v>
      </c>
      <c r="U10" s="54">
        <v>2009</v>
      </c>
      <c r="V10" s="54">
        <v>2010</v>
      </c>
      <c r="W10" s="54">
        <v>2011</v>
      </c>
      <c r="X10" s="54">
        <v>2012</v>
      </c>
      <c r="Y10" s="54">
        <v>2013</v>
      </c>
      <c r="Z10" s="54">
        <v>2014</v>
      </c>
      <c r="AA10" s="54">
        <v>2015</v>
      </c>
      <c r="AB10" s="54">
        <v>2016</v>
      </c>
      <c r="AC10" s="54">
        <v>2017</v>
      </c>
      <c r="AD10" s="54">
        <v>2018</v>
      </c>
      <c r="AE10" s="54">
        <v>2019</v>
      </c>
      <c r="AF10" s="54">
        <v>2020</v>
      </c>
      <c r="AG10" s="54">
        <v>2021</v>
      </c>
      <c r="AH10" s="54">
        <v>2022</v>
      </c>
      <c r="AI10" s="54">
        <v>2023</v>
      </c>
      <c r="AJ10" s="54">
        <v>2024</v>
      </c>
      <c r="AK10" s="54">
        <v>2025</v>
      </c>
      <c r="AL10" s="54">
        <v>2026</v>
      </c>
      <c r="AM10" s="54">
        <v>2027</v>
      </c>
      <c r="AO10" s="7" t="s">
        <v>44</v>
      </c>
    </row>
    <row r="13" spans="2:41" s="7" customFormat="1" x14ac:dyDescent="0.2">
      <c r="B13" s="7" t="s">
        <v>45</v>
      </c>
    </row>
    <row r="15" spans="2:41" x14ac:dyDescent="0.2">
      <c r="B15" s="21" t="s">
        <v>296</v>
      </c>
    </row>
    <row r="16" spans="2:41" x14ac:dyDescent="0.2">
      <c r="B16" s="2" t="s">
        <v>272</v>
      </c>
      <c r="F16" s="2" t="s">
        <v>112</v>
      </c>
      <c r="AG16" s="36"/>
      <c r="AH16" s="63">
        <f>'9. Parameters'!AH38</f>
        <v>1</v>
      </c>
      <c r="AI16" s="63">
        <f>'9. Parameters'!AI38</f>
        <v>1</v>
      </c>
      <c r="AJ16" s="63">
        <f>'9. Parameters'!AJ38</f>
        <v>1</v>
      </c>
      <c r="AK16" s="63">
        <f>'9. Parameters'!AK38</f>
        <v>1</v>
      </c>
      <c r="AL16" s="63">
        <f>'9. Parameters'!AL38</f>
        <v>1</v>
      </c>
      <c r="AN16" s="74"/>
    </row>
    <row r="18" spans="2:38" x14ac:dyDescent="0.2">
      <c r="B18" s="21" t="s">
        <v>410</v>
      </c>
    </row>
    <row r="19" spans="2:38" x14ac:dyDescent="0.2">
      <c r="B19" s="2" t="s">
        <v>409</v>
      </c>
      <c r="F19" s="2" t="s">
        <v>112</v>
      </c>
      <c r="AG19" s="36"/>
      <c r="AH19" s="59">
        <f>'9. Parameters'!AH43</f>
        <v>2.1999999999999999E-2</v>
      </c>
      <c r="AI19" s="59">
        <f>'9. Parameters'!AI43</f>
        <v>2.1999999999999999E-2</v>
      </c>
      <c r="AJ19" s="59">
        <f>'9. Parameters'!AJ43</f>
        <v>2.7E-2</v>
      </c>
      <c r="AK19" s="59">
        <f>'9. Parameters'!AK43</f>
        <v>2.7E-2</v>
      </c>
      <c r="AL19" s="59">
        <f>'9. Parameters'!AL43</f>
        <v>2.7E-2</v>
      </c>
    </row>
    <row r="21" spans="2:38" x14ac:dyDescent="0.2">
      <c r="B21" s="21" t="s">
        <v>459</v>
      </c>
    </row>
    <row r="22" spans="2:38" x14ac:dyDescent="0.2">
      <c r="B22" s="2" t="s">
        <v>459</v>
      </c>
      <c r="F22" s="2" t="s">
        <v>112</v>
      </c>
      <c r="H22" s="59">
        <f>'9. Parameters'!H16</f>
        <v>8.9999999999999993E-3</v>
      </c>
    </row>
    <row r="24" spans="2:38" x14ac:dyDescent="0.2">
      <c r="B24" s="21" t="s">
        <v>116</v>
      </c>
    </row>
    <row r="25" spans="2:38" x14ac:dyDescent="0.2">
      <c r="B25" s="2" t="s">
        <v>863</v>
      </c>
      <c r="F25" s="2" t="s">
        <v>143</v>
      </c>
      <c r="AG25" s="36"/>
      <c r="AH25" s="80">
        <f>'16. Berekening parameters'!AM87</f>
        <v>1.2817027612575491</v>
      </c>
      <c r="AI25" s="80">
        <f>'16. Berekening parameters'!AM88</f>
        <v>1.2444302639973495</v>
      </c>
      <c r="AJ25" s="80">
        <f>'16. Berekening parameters'!AM89</f>
        <v>1.1684919988429534</v>
      </c>
      <c r="AK25" s="80">
        <f>'16. Berekening parameters'!AM90</f>
        <v>1.0971876776559242</v>
      </c>
      <c r="AL25" s="80">
        <f>'16. Berekening parameters'!AM91</f>
        <v>1.0449880382090506</v>
      </c>
    </row>
    <row r="27" spans="2:38" x14ac:dyDescent="0.2">
      <c r="B27" s="21" t="s">
        <v>367</v>
      </c>
    </row>
    <row r="28" spans="2:38" x14ac:dyDescent="0.2">
      <c r="B28" s="2" t="s">
        <v>297</v>
      </c>
      <c r="F28" s="2" t="s">
        <v>100</v>
      </c>
      <c r="AG28" s="36"/>
      <c r="AH28" s="32">
        <f>'10. Brondata'!AH66</f>
        <v>3956909.7607700564</v>
      </c>
      <c r="AI28" s="32">
        <f>'10. Brondata'!AI66</f>
        <v>6252842.1635753922</v>
      </c>
      <c r="AJ28" s="32">
        <f>'10. Brondata'!AJ66</f>
        <v>9323114.5498409458</v>
      </c>
      <c r="AK28" s="32">
        <f>'10. Brondata'!AK66</f>
        <v>11867310.84234092</v>
      </c>
      <c r="AL28" s="32">
        <f>'10. Brondata'!AL66</f>
        <v>14228132.607429011</v>
      </c>
    </row>
    <row r="29" spans="2:38" x14ac:dyDescent="0.2">
      <c r="B29" s="2" t="s">
        <v>373</v>
      </c>
      <c r="F29" s="2" t="s">
        <v>100</v>
      </c>
      <c r="AG29" s="36"/>
      <c r="AH29" s="32">
        <f>'10. Brondata'!AH67</f>
        <v>376893.98401988368</v>
      </c>
      <c r="AI29" s="32">
        <f>'10. Brondata'!AI67</f>
        <v>381759.6853535804</v>
      </c>
      <c r="AJ29" s="32">
        <f>'10. Brondata'!AJ67</f>
        <v>386688.20289149508</v>
      </c>
      <c r="AK29" s="32">
        <f>'10. Brondata'!AK67</f>
        <v>391680.34759082424</v>
      </c>
      <c r="AL29" s="32">
        <f>'10. Brondata'!AL67</f>
        <v>396736.94087822194</v>
      </c>
    </row>
    <row r="30" spans="2:38" x14ac:dyDescent="0.2">
      <c r="B30" s="2" t="s">
        <v>374</v>
      </c>
      <c r="F30" s="2" t="s">
        <v>100</v>
      </c>
      <c r="AG30" s="36"/>
      <c r="AH30" s="32">
        <f>'10. Brondata'!AH68</f>
        <v>188446.99200994187</v>
      </c>
      <c r="AI30" s="32">
        <f>'10. Brondata'!AI68</f>
        <v>381759.6853535804</v>
      </c>
      <c r="AJ30" s="32">
        <f>'10. Brondata'!AJ68</f>
        <v>386688.2028914952</v>
      </c>
      <c r="AK30" s="32">
        <f>'10. Brondata'!AK68</f>
        <v>391680.34759082441</v>
      </c>
      <c r="AL30" s="32">
        <f>'10. Brondata'!AL68</f>
        <v>396736.940878222</v>
      </c>
    </row>
    <row r="31" spans="2:38" x14ac:dyDescent="0.2">
      <c r="B31" s="2" t="s">
        <v>498</v>
      </c>
      <c r="F31" s="2" t="s">
        <v>100</v>
      </c>
      <c r="AG31" s="36"/>
      <c r="AH31" s="50"/>
      <c r="AI31" s="32">
        <f>'10. Brondata'!AI69</f>
        <v>190879.8426767902</v>
      </c>
      <c r="AJ31" s="32">
        <f>'10. Brondata'!AJ69</f>
        <v>386688.20289149508</v>
      </c>
      <c r="AK31" s="32">
        <f>'10. Brondata'!AK69</f>
        <v>391680.34759082441</v>
      </c>
      <c r="AL31" s="32">
        <f>'10. Brondata'!AL69</f>
        <v>396736.94087822188</v>
      </c>
    </row>
    <row r="32" spans="2:38" x14ac:dyDescent="0.2">
      <c r="B32" s="2" t="s">
        <v>654</v>
      </c>
      <c r="F32" s="2" t="s">
        <v>100</v>
      </c>
      <c r="AG32" s="36"/>
      <c r="AH32" s="50"/>
      <c r="AI32" s="50"/>
      <c r="AJ32" s="32">
        <f>'10. Brondata'!AJ70</f>
        <v>193344.10144574751</v>
      </c>
      <c r="AK32" s="32">
        <f>'10. Brondata'!AK70</f>
        <v>391680.34759082441</v>
      </c>
      <c r="AL32" s="32">
        <f>'10. Brondata'!AL70</f>
        <v>396736.94087822188</v>
      </c>
    </row>
    <row r="33" spans="2:38" x14ac:dyDescent="0.2">
      <c r="B33" s="2" t="s">
        <v>768</v>
      </c>
      <c r="F33" s="2" t="s">
        <v>100</v>
      </c>
      <c r="AG33" s="36"/>
      <c r="AH33" s="50"/>
      <c r="AI33" s="50"/>
      <c r="AJ33" s="50"/>
      <c r="AK33" s="32">
        <f>'10. Brondata'!AK71</f>
        <v>195840.17379541215</v>
      </c>
      <c r="AL33" s="32">
        <f>'10. Brondata'!AL71</f>
        <v>396736.94087822177</v>
      </c>
    </row>
    <row r="35" spans="2:38" x14ac:dyDescent="0.2">
      <c r="B35" s="2" t="s">
        <v>298</v>
      </c>
      <c r="F35" s="2" t="s">
        <v>100</v>
      </c>
      <c r="AG35" s="36"/>
      <c r="AH35" s="32">
        <f>'10. Brondata'!AH73</f>
        <v>1826202.7430237248</v>
      </c>
      <c r="AI35" s="32">
        <f>'10. Brondata'!AI73</f>
        <v>2876198.8848429834</v>
      </c>
      <c r="AJ35" s="32">
        <f>'10. Brondata'!AJ73</f>
        <v>4308390.7558248397</v>
      </c>
      <c r="AK35" s="32">
        <f>'10. Brondata'!AK73</f>
        <v>5482066.8994580097</v>
      </c>
      <c r="AL35" s="32">
        <f>'10. Brondata'!AL73</f>
        <v>6514012.7114090919</v>
      </c>
    </row>
    <row r="36" spans="2:38" x14ac:dyDescent="0.2">
      <c r="B36" s="2" t="s">
        <v>379</v>
      </c>
      <c r="F36" s="2" t="s">
        <v>100</v>
      </c>
      <c r="AG36" s="36"/>
      <c r="AH36" s="32">
        <f>'10. Brondata'!AH74</f>
        <v>184399.12872284817</v>
      </c>
      <c r="AI36" s="32">
        <f>'10. Brondata'!AI74</f>
        <v>186779.72147466012</v>
      </c>
      <c r="AJ36" s="32">
        <f>'10. Brondata'!AJ74</f>
        <v>189191.04767889803</v>
      </c>
      <c r="AK36" s="32">
        <f>'10. Brondata'!AK74</f>
        <v>191633.50410443256</v>
      </c>
      <c r="AL36" s="32">
        <f>'10. Brondata'!AL74</f>
        <v>194107.49264242084</v>
      </c>
    </row>
    <row r="37" spans="2:38" x14ac:dyDescent="0.2">
      <c r="B37" s="2" t="s">
        <v>380</v>
      </c>
      <c r="F37" s="2" t="s">
        <v>100</v>
      </c>
      <c r="AG37" s="36"/>
      <c r="AH37" s="32">
        <f>'10. Brondata'!AH75</f>
        <v>92199.564361424098</v>
      </c>
      <c r="AI37" s="32">
        <f>'10. Brondata'!AI75</f>
        <v>186779.72147466018</v>
      </c>
      <c r="AJ37" s="32">
        <f>'10. Brondata'!AJ75</f>
        <v>189191.04767889803</v>
      </c>
      <c r="AK37" s="32">
        <f>'10. Brondata'!AK75</f>
        <v>191633.50410443259</v>
      </c>
      <c r="AL37" s="32">
        <f>'10. Brondata'!AL75</f>
        <v>194107.49264242081</v>
      </c>
    </row>
    <row r="38" spans="2:38" x14ac:dyDescent="0.2">
      <c r="B38" s="2" t="s">
        <v>499</v>
      </c>
      <c r="F38" s="2" t="s">
        <v>100</v>
      </c>
      <c r="AG38" s="36"/>
      <c r="AH38" s="50"/>
      <c r="AI38" s="32">
        <f>'10. Brondata'!AI76</f>
        <v>93389.860737330077</v>
      </c>
      <c r="AJ38" s="32">
        <f>'10. Brondata'!AJ76</f>
        <v>189191.04767889803</v>
      </c>
      <c r="AK38" s="32">
        <f>'10. Brondata'!AK76</f>
        <v>191633.50410443262</v>
      </c>
      <c r="AL38" s="32">
        <f>'10. Brondata'!AL76</f>
        <v>194107.49264242081</v>
      </c>
    </row>
    <row r="39" spans="2:38" x14ac:dyDescent="0.2">
      <c r="B39" s="2" t="s">
        <v>655</v>
      </c>
      <c r="F39" s="2" t="s">
        <v>100</v>
      </c>
      <c r="AG39" s="36"/>
      <c r="AH39" s="50"/>
      <c r="AI39" s="50"/>
      <c r="AJ39" s="32">
        <f>'10. Brondata'!AJ77</f>
        <v>94595.523839449015</v>
      </c>
      <c r="AK39" s="32">
        <f>'10. Brondata'!AK77</f>
        <v>191633.50410443256</v>
      </c>
      <c r="AL39" s="32">
        <f>'10. Brondata'!AL77</f>
        <v>194107.49264242081</v>
      </c>
    </row>
    <row r="40" spans="2:38" x14ac:dyDescent="0.2">
      <c r="B40" s="2" t="s">
        <v>769</v>
      </c>
      <c r="F40" s="2" t="s">
        <v>100</v>
      </c>
      <c r="AG40" s="36"/>
      <c r="AH40" s="50"/>
      <c r="AI40" s="50"/>
      <c r="AJ40" s="50"/>
      <c r="AK40" s="32">
        <f>'10. Brondata'!AK78</f>
        <v>95816.75205221631</v>
      </c>
      <c r="AL40" s="32">
        <f>'10. Brondata'!AL78</f>
        <v>194107.49264242084</v>
      </c>
    </row>
    <row r="42" spans="2:38" x14ac:dyDescent="0.2">
      <c r="B42" s="21" t="s">
        <v>351</v>
      </c>
    </row>
    <row r="43" spans="2:38" x14ac:dyDescent="0.2">
      <c r="B43" s="2" t="s">
        <v>299</v>
      </c>
      <c r="F43" s="2" t="s">
        <v>100</v>
      </c>
      <c r="AG43" s="36"/>
      <c r="AH43" s="32">
        <f>'10. Brondata'!AH81</f>
        <v>17629824.412582844</v>
      </c>
      <c r="AI43" s="32">
        <f>'10. Brondata'!AI81</f>
        <v>27629471.080287002</v>
      </c>
      <c r="AJ43" s="32">
        <f>'10. Brondata'!AJ81</f>
        <v>41671476.391443908</v>
      </c>
      <c r="AK43" s="32">
        <f>'10. Brondata'!AK81</f>
        <v>52994431.92588152</v>
      </c>
      <c r="AL43" s="32">
        <f>'10. Brondata'!AL81</f>
        <v>63754632.531542301</v>
      </c>
    </row>
    <row r="44" spans="2:38" x14ac:dyDescent="0.2">
      <c r="B44" s="2" t="s">
        <v>375</v>
      </c>
      <c r="F44" s="2" t="s">
        <v>100</v>
      </c>
      <c r="AG44" s="36"/>
      <c r="AH44" s="32">
        <f>'10. Brondata'!AH82</f>
        <v>1928713.3469667879</v>
      </c>
      <c r="AI44" s="32">
        <f>'10. Brondata'!AI82</f>
        <v>1953613.0362761293</v>
      </c>
      <c r="AJ44" s="32">
        <f>'10. Brondata'!AJ82</f>
        <v>1978834.1805744539</v>
      </c>
      <c r="AK44" s="32">
        <f>'10. Brondata'!AK82</f>
        <v>2004380.92984567</v>
      </c>
      <c r="AL44" s="32">
        <f>'10. Brondata'!AL82</f>
        <v>2030257.4876499781</v>
      </c>
    </row>
    <row r="45" spans="2:38" x14ac:dyDescent="0.2">
      <c r="B45" s="2" t="s">
        <v>376</v>
      </c>
      <c r="F45" s="2" t="s">
        <v>100</v>
      </c>
      <c r="AG45" s="36"/>
      <c r="AH45" s="32">
        <f>'10. Brondata'!AH83</f>
        <v>964356.67348339385</v>
      </c>
      <c r="AI45" s="32">
        <f>'10. Brondata'!AI83</f>
        <v>1953613.0362761291</v>
      </c>
      <c r="AJ45" s="32">
        <f>'10. Brondata'!AJ83</f>
        <v>1978834.1805744539</v>
      </c>
      <c r="AK45" s="32">
        <f>'10. Brondata'!AK83</f>
        <v>2004380.9298456705</v>
      </c>
      <c r="AL45" s="32">
        <f>'10. Brondata'!AL83</f>
        <v>2030257.4876499777</v>
      </c>
    </row>
    <row r="46" spans="2:38" x14ac:dyDescent="0.2">
      <c r="B46" s="2" t="s">
        <v>517</v>
      </c>
      <c r="F46" s="2" t="s">
        <v>100</v>
      </c>
      <c r="AG46" s="36"/>
      <c r="AH46" s="50"/>
      <c r="AI46" s="32">
        <f>'10. Brondata'!AI84</f>
        <v>976806.51813806465</v>
      </c>
      <c r="AJ46" s="32">
        <f>'10. Brondata'!AJ84</f>
        <v>1978834.1805744541</v>
      </c>
      <c r="AK46" s="32">
        <f>'10. Brondata'!AK84</f>
        <v>2004380.92984567</v>
      </c>
      <c r="AL46" s="32">
        <f>'10. Brondata'!AL84</f>
        <v>2030257.4876499781</v>
      </c>
    </row>
    <row r="47" spans="2:38" x14ac:dyDescent="0.2">
      <c r="B47" s="2" t="s">
        <v>656</v>
      </c>
      <c r="F47" s="2" t="s">
        <v>100</v>
      </c>
      <c r="AG47" s="36"/>
      <c r="AH47" s="50"/>
      <c r="AI47" s="50"/>
      <c r="AJ47" s="32">
        <f>'10. Brondata'!AJ85</f>
        <v>989417.09028722707</v>
      </c>
      <c r="AK47" s="32">
        <f>'10. Brondata'!AK85</f>
        <v>2004380.9298456702</v>
      </c>
      <c r="AL47" s="32">
        <f>'10. Brondata'!AL85</f>
        <v>2030257.4876499779</v>
      </c>
    </row>
    <row r="48" spans="2:38" x14ac:dyDescent="0.2">
      <c r="B48" s="2" t="s">
        <v>770</v>
      </c>
      <c r="F48" s="2" t="s">
        <v>100</v>
      </c>
      <c r="AG48" s="36"/>
      <c r="AH48" s="50"/>
      <c r="AI48" s="50"/>
      <c r="AJ48" s="50"/>
      <c r="AK48" s="32">
        <f>'10. Brondata'!AK86</f>
        <v>1002190.4649228351</v>
      </c>
      <c r="AL48" s="32">
        <f>'10. Brondata'!AL86</f>
        <v>2030257.4876499779</v>
      </c>
    </row>
    <row r="50" spans="2:38" x14ac:dyDescent="0.2">
      <c r="B50" s="2" t="s">
        <v>300</v>
      </c>
      <c r="F50" s="2" t="s">
        <v>100</v>
      </c>
      <c r="AG50" s="36"/>
      <c r="AH50" s="32">
        <f>'10. Brondata'!AH88</f>
        <v>3782556.363840986</v>
      </c>
      <c r="AI50" s="32">
        <f>'10. Brondata'!AI88</f>
        <v>6021196.2794198925</v>
      </c>
      <c r="AJ50" s="32">
        <f>'10. Brondata'!AJ88</f>
        <v>8886956.5460432209</v>
      </c>
      <c r="AK50" s="32">
        <f>'10. Brondata'!AK88</f>
        <v>11321451.985314852</v>
      </c>
      <c r="AL50" s="32">
        <f>'10. Brondata'!AL88</f>
        <v>13298324.704620291</v>
      </c>
    </row>
    <row r="51" spans="2:38" x14ac:dyDescent="0.2">
      <c r="B51" s="2" t="s">
        <v>377</v>
      </c>
      <c r="F51" s="2" t="s">
        <v>100</v>
      </c>
      <c r="AG51" s="36"/>
      <c r="AH51" s="32">
        <f>'10. Brondata'!AH89</f>
        <v>312650.49393148359</v>
      </c>
      <c r="AI51" s="32">
        <f>'10. Brondata'!AI89</f>
        <v>316686.81180813909</v>
      </c>
      <c r="AJ51" s="32">
        <f>'10. Brondata'!AJ89</f>
        <v>320775.23854858213</v>
      </c>
      <c r="AK51" s="32">
        <f>'10. Brondata'!AK89</f>
        <v>324916.44687824429</v>
      </c>
      <c r="AL51" s="32">
        <f>'10. Brondata'!AL89</f>
        <v>329111.11820744252</v>
      </c>
    </row>
    <row r="52" spans="2:38" x14ac:dyDescent="0.2">
      <c r="B52" s="2" t="s">
        <v>378</v>
      </c>
      <c r="F52" s="2" t="s">
        <v>100</v>
      </c>
      <c r="AG52" s="36"/>
      <c r="AH52" s="32">
        <f>'10. Brondata'!AH90</f>
        <v>156325.24696574177</v>
      </c>
      <c r="AI52" s="32">
        <f>'10. Brondata'!AI90</f>
        <v>316686.81180813903</v>
      </c>
      <c r="AJ52" s="32">
        <f>'10. Brondata'!AJ90</f>
        <v>320775.23854858213</v>
      </c>
      <c r="AK52" s="32">
        <f>'10. Brondata'!AK90</f>
        <v>324916.44687824429</v>
      </c>
      <c r="AL52" s="32">
        <f>'10. Brondata'!AL90</f>
        <v>329111.1182074424</v>
      </c>
    </row>
    <row r="53" spans="2:38" x14ac:dyDescent="0.2">
      <c r="B53" s="2" t="s">
        <v>512</v>
      </c>
      <c r="F53" s="2" t="s">
        <v>100</v>
      </c>
      <c r="AG53" s="36"/>
      <c r="AH53" s="50"/>
      <c r="AI53" s="32">
        <f>'10. Brondata'!AI91</f>
        <v>158343.40590406951</v>
      </c>
      <c r="AJ53" s="32">
        <f>'10. Brondata'!AJ91</f>
        <v>320775.23854858213</v>
      </c>
      <c r="AK53" s="32">
        <f>'10. Brondata'!AK91</f>
        <v>324916.44687824434</v>
      </c>
      <c r="AL53" s="32">
        <f>'10. Brondata'!AL91</f>
        <v>329111.11820744246</v>
      </c>
    </row>
    <row r="54" spans="2:38" x14ac:dyDescent="0.2">
      <c r="B54" s="2" t="s">
        <v>657</v>
      </c>
      <c r="F54" s="2" t="s">
        <v>100</v>
      </c>
      <c r="AG54" s="36"/>
      <c r="AH54" s="50"/>
      <c r="AI54" s="50"/>
      <c r="AJ54" s="32">
        <f>'10. Brondata'!AJ92</f>
        <v>160387.61927429104</v>
      </c>
      <c r="AK54" s="32">
        <f>'10. Brondata'!AK92</f>
        <v>324916.44687824429</v>
      </c>
      <c r="AL54" s="32">
        <f>'10. Brondata'!AL92</f>
        <v>329111.11820744246</v>
      </c>
    </row>
    <row r="55" spans="2:38" x14ac:dyDescent="0.2">
      <c r="B55" s="2" t="s">
        <v>771</v>
      </c>
      <c r="F55" s="2" t="s">
        <v>100</v>
      </c>
      <c r="AG55" s="36"/>
      <c r="AH55" s="50"/>
      <c r="AI55" s="50"/>
      <c r="AJ55" s="50"/>
      <c r="AK55" s="32">
        <f>'10. Brondata'!AK93</f>
        <v>162458.22343912217</v>
      </c>
      <c r="AL55" s="32">
        <f>'10. Brondata'!AL93</f>
        <v>329111.11820744246</v>
      </c>
    </row>
    <row r="57" spans="2:38" x14ac:dyDescent="0.2">
      <c r="B57" s="21" t="s">
        <v>352</v>
      </c>
    </row>
    <row r="58" spans="2:38" x14ac:dyDescent="0.2">
      <c r="B58" s="2" t="s">
        <v>304</v>
      </c>
      <c r="F58" s="2" t="s">
        <v>100</v>
      </c>
      <c r="AG58" s="36"/>
      <c r="AH58" s="32">
        <f>'10. Brondata'!AH96</f>
        <v>7048454.0516935959</v>
      </c>
      <c r="AI58" s="32">
        <f>'10. Brondata'!AI96</f>
        <v>11549404.822751751</v>
      </c>
      <c r="AJ58" s="32">
        <f>'10. Brondata'!AJ96</f>
        <v>16339120.774427582</v>
      </c>
      <c r="AK58" s="32">
        <f>'10. Brondata'!AK96</f>
        <v>20885891.229404293</v>
      </c>
      <c r="AL58" s="32">
        <f>'10. Brondata'!AL96</f>
        <v>23323971.803118173</v>
      </c>
    </row>
    <row r="59" spans="2:38" x14ac:dyDescent="0.2">
      <c r="B59" s="2" t="s">
        <v>371</v>
      </c>
      <c r="F59" s="2" t="s">
        <v>100</v>
      </c>
      <c r="AG59" s="36"/>
      <c r="AH59" s="32">
        <f>'10. Brondata'!AH97</f>
        <v>209865.12019720746</v>
      </c>
      <c r="AI59" s="32">
        <f>'10. Brondata'!AI97</f>
        <v>212574.47889895341</v>
      </c>
      <c r="AJ59" s="32">
        <f>'10. Brondata'!AJ97</f>
        <v>215318.81542153889</v>
      </c>
      <c r="AK59" s="32">
        <f>'10. Brondata'!AK97</f>
        <v>218098.58132863097</v>
      </c>
      <c r="AL59" s="32">
        <f>'10. Brondata'!AL97</f>
        <v>220914.23401358357</v>
      </c>
    </row>
    <row r="60" spans="2:38" x14ac:dyDescent="0.2">
      <c r="B60" s="2" t="s">
        <v>372</v>
      </c>
      <c r="F60" s="2" t="s">
        <v>100</v>
      </c>
      <c r="AG60" s="36"/>
      <c r="AH60" s="32">
        <f>'10. Brondata'!AH98</f>
        <v>104932.56009860372</v>
      </c>
      <c r="AI60" s="32">
        <f>'10. Brondata'!AI98</f>
        <v>212574.47889895341</v>
      </c>
      <c r="AJ60" s="32">
        <f>'10. Brondata'!AJ98</f>
        <v>215318.81542153889</v>
      </c>
      <c r="AK60" s="32">
        <f>'10. Brondata'!AK98</f>
        <v>218098.58132863097</v>
      </c>
      <c r="AL60" s="32">
        <f>'10. Brondata'!AL98</f>
        <v>220914.2340135836</v>
      </c>
    </row>
    <row r="61" spans="2:38" x14ac:dyDescent="0.2">
      <c r="B61" s="2" t="s">
        <v>507</v>
      </c>
      <c r="F61" s="2" t="s">
        <v>100</v>
      </c>
      <c r="AG61" s="36"/>
      <c r="AH61" s="50"/>
      <c r="AI61" s="32">
        <f>'10. Brondata'!AI99</f>
        <v>106287.23944947671</v>
      </c>
      <c r="AJ61" s="32">
        <f>'10. Brondata'!AJ99</f>
        <v>215318.81542153892</v>
      </c>
      <c r="AK61" s="32">
        <f>'10. Brondata'!AK99</f>
        <v>218098.581328631</v>
      </c>
      <c r="AL61" s="32">
        <f>'10. Brondata'!AL99</f>
        <v>220914.23401358363</v>
      </c>
    </row>
    <row r="62" spans="2:38" x14ac:dyDescent="0.2">
      <c r="B62" s="2" t="s">
        <v>658</v>
      </c>
      <c r="F62" s="2" t="s">
        <v>100</v>
      </c>
      <c r="AG62" s="36"/>
      <c r="AH62" s="50"/>
      <c r="AI62" s="50"/>
      <c r="AJ62" s="32">
        <f>'10. Brondata'!AJ100</f>
        <v>107659.40771076946</v>
      </c>
      <c r="AK62" s="32">
        <f>'10. Brondata'!AK100</f>
        <v>218098.58132863094</v>
      </c>
      <c r="AL62" s="32">
        <f>'10. Brondata'!AL100</f>
        <v>220914.23401358366</v>
      </c>
    </row>
    <row r="63" spans="2:38" x14ac:dyDescent="0.2">
      <c r="B63" s="2" t="s">
        <v>776</v>
      </c>
      <c r="F63" s="2" t="s">
        <v>100</v>
      </c>
      <c r="AG63" s="36"/>
      <c r="AH63" s="50"/>
      <c r="AI63" s="50"/>
      <c r="AJ63" s="50"/>
      <c r="AK63" s="32">
        <f>'10. Brondata'!AK101</f>
        <v>109049.29066431547</v>
      </c>
      <c r="AL63" s="32">
        <f>'10. Brondata'!AL101</f>
        <v>220914.23401358354</v>
      </c>
    </row>
    <row r="65" spans="2:38" x14ac:dyDescent="0.2">
      <c r="B65" s="21" t="s">
        <v>368</v>
      </c>
    </row>
    <row r="66" spans="2:38" x14ac:dyDescent="0.2">
      <c r="B66" s="2" t="s">
        <v>785</v>
      </c>
      <c r="F66" s="2" t="s">
        <v>100</v>
      </c>
      <c r="AG66" s="36"/>
      <c r="AH66" s="32">
        <f>'10. Brondata'!AH104</f>
        <v>710312.77143697452</v>
      </c>
      <c r="AI66" s="32">
        <f>'10. Brondata'!AI104</f>
        <v>1160911.0404022278</v>
      </c>
      <c r="AJ66" s="32">
        <f>'10. Brondata'!AJ104</f>
        <v>1645171.5464403296</v>
      </c>
      <c r="AK66" s="32">
        <f>'10. Brondata'!AK104</f>
        <v>2102688.2075386271</v>
      </c>
      <c r="AL66" s="32">
        <f>'10. Brondata'!AL104</f>
        <v>3955918.6928878711</v>
      </c>
    </row>
    <row r="67" spans="2:38" x14ac:dyDescent="0.2">
      <c r="B67" s="2" t="s">
        <v>369</v>
      </c>
      <c r="F67" s="2" t="s">
        <v>100</v>
      </c>
      <c r="AG67" s="36"/>
      <c r="AH67" s="32">
        <f>'10. Brondata'!AH105</f>
        <v>22862.757459141292</v>
      </c>
      <c r="AI67" s="32">
        <f>'10. Brondata'!AI105</f>
        <v>23157.915657938811</v>
      </c>
      <c r="AJ67" s="32">
        <f>'10. Brondata'!AJ105</f>
        <v>23456.8843490828</v>
      </c>
      <c r="AK67" s="32">
        <f>'10. Brondata'!AK105</f>
        <v>23759.712726029458</v>
      </c>
      <c r="AL67" s="32">
        <f>'10. Brondata'!AL105</f>
        <v>24066.450617322502</v>
      </c>
    </row>
    <row r="68" spans="2:38" x14ac:dyDescent="0.2">
      <c r="B68" s="2" t="s">
        <v>370</v>
      </c>
      <c r="F68" s="2" t="s">
        <v>100</v>
      </c>
      <c r="AG68" s="36"/>
      <c r="AH68" s="32">
        <f>'10. Brondata'!AH106</f>
        <v>11431.378729570646</v>
      </c>
      <c r="AI68" s="32">
        <f>'10. Brondata'!AI106</f>
        <v>23157.915657938807</v>
      </c>
      <c r="AJ68" s="32">
        <f>'10. Brondata'!AJ106</f>
        <v>23456.8843490828</v>
      </c>
      <c r="AK68" s="32">
        <f>'10. Brondata'!AK106</f>
        <v>23759.712726029458</v>
      </c>
      <c r="AL68" s="32">
        <f>'10. Brondata'!AL106</f>
        <v>24066.450617322502</v>
      </c>
    </row>
    <row r="69" spans="2:38" x14ac:dyDescent="0.2">
      <c r="B69" s="2" t="s">
        <v>496</v>
      </c>
      <c r="F69" s="2" t="s">
        <v>100</v>
      </c>
      <c r="AG69" s="36"/>
      <c r="AH69" s="50"/>
      <c r="AI69" s="32">
        <f>'10. Brondata'!AI107</f>
        <v>11578.957828969404</v>
      </c>
      <c r="AJ69" s="32">
        <f>'10. Brondata'!AJ107</f>
        <v>23456.884349082797</v>
      </c>
      <c r="AK69" s="32">
        <f>'10. Brondata'!AK107</f>
        <v>23759.712726029458</v>
      </c>
      <c r="AL69" s="32">
        <f>'10. Brondata'!AL107</f>
        <v>24066.450617322498</v>
      </c>
    </row>
    <row r="70" spans="2:38" x14ac:dyDescent="0.2">
      <c r="B70" s="2" t="s">
        <v>659</v>
      </c>
      <c r="F70" s="2" t="s">
        <v>100</v>
      </c>
      <c r="AG70" s="36"/>
      <c r="AH70" s="36"/>
      <c r="AI70" s="50"/>
      <c r="AJ70" s="32">
        <f>'10. Brondata'!AJ108</f>
        <v>11728.442174541398</v>
      </c>
      <c r="AK70" s="32">
        <f>'10. Brondata'!AK108</f>
        <v>23759.712726029458</v>
      </c>
      <c r="AL70" s="32">
        <f>'10. Brondata'!AL108</f>
        <v>24066.450617322502</v>
      </c>
    </row>
    <row r="71" spans="2:38" x14ac:dyDescent="0.2">
      <c r="B71" s="2" t="s">
        <v>781</v>
      </c>
      <c r="F71" s="2" t="s">
        <v>100</v>
      </c>
      <c r="AG71" s="36"/>
      <c r="AH71" s="36"/>
      <c r="AI71" s="50"/>
      <c r="AJ71" s="50"/>
      <c r="AK71" s="32">
        <f>'10. Brondata'!AK109</f>
        <v>11879.856363014727</v>
      </c>
      <c r="AL71" s="32">
        <f>'10. Brondata'!AL109</f>
        <v>24066.450617322502</v>
      </c>
    </row>
    <row r="73" spans="2:38" x14ac:dyDescent="0.2">
      <c r="B73" s="2" t="s">
        <v>786</v>
      </c>
      <c r="F73" s="2" t="s">
        <v>100</v>
      </c>
      <c r="AG73" s="36"/>
      <c r="AH73" s="32">
        <f>'10. Brondata'!AH111</f>
        <v>4820374.2515915036</v>
      </c>
      <c r="AI73" s="32">
        <f>'10. Brondata'!AI111</f>
        <v>13585749.546667155</v>
      </c>
      <c r="AJ73" s="32">
        <f>'10. Brondata'!AJ111</f>
        <v>27482477.256035816</v>
      </c>
      <c r="AK73" s="32">
        <f>'10. Brondata'!AK111</f>
        <v>38923829.861874104</v>
      </c>
      <c r="AL73" s="32">
        <f>'10. Brondata'!AL111</f>
        <v>43523035.947436929</v>
      </c>
    </row>
    <row r="74" spans="2:38" x14ac:dyDescent="0.2">
      <c r="B74" s="2" t="s">
        <v>381</v>
      </c>
      <c r="F74" s="2" t="s">
        <v>100</v>
      </c>
      <c r="AG74" s="36"/>
      <c r="AH74" s="32">
        <f>'10. Brondata'!AH112</f>
        <v>561610.0472435212</v>
      </c>
      <c r="AI74" s="32">
        <f>'10. Brondata'!AI112</f>
        <v>568860.432953435</v>
      </c>
      <c r="AJ74" s="32">
        <f>'10. Brondata'!AJ112</f>
        <v>576204.42114286392</v>
      </c>
      <c r="AK74" s="32">
        <f>'10. Brondata'!AK112</f>
        <v>583643.22021981841</v>
      </c>
      <c r="AL74" s="32">
        <f>'10. Brondata'!AL112</f>
        <v>591178.0541928563</v>
      </c>
    </row>
    <row r="75" spans="2:38" x14ac:dyDescent="0.2">
      <c r="B75" s="2" t="s">
        <v>382</v>
      </c>
      <c r="F75" s="2" t="s">
        <v>100</v>
      </c>
      <c r="AG75" s="36"/>
      <c r="AH75" s="32">
        <f>'10. Brondata'!AH113</f>
        <v>233540.69313287723</v>
      </c>
      <c r="AI75" s="32">
        <f>'10. Brondata'!AI113</f>
        <v>467100.04102812865</v>
      </c>
      <c r="AJ75" s="32">
        <f>'10. Brondata'!AJ113</f>
        <v>473130.30255780183</v>
      </c>
      <c r="AK75" s="32">
        <f>'10. Brondata'!AK113</f>
        <v>479238.41476382309</v>
      </c>
      <c r="AL75" s="32">
        <f>'10. Brondata'!AL113</f>
        <v>485425.38269842404</v>
      </c>
    </row>
    <row r="76" spans="2:38" x14ac:dyDescent="0.2">
      <c r="B76" s="2" t="s">
        <v>497</v>
      </c>
      <c r="F76" s="2" t="s">
        <v>100</v>
      </c>
      <c r="AG76" s="36"/>
      <c r="AH76" s="50"/>
      <c r="AI76" s="32">
        <f>'10. Brondata'!AI114</f>
        <v>876363.66342759749</v>
      </c>
      <c r="AJ76" s="32">
        <f>'10. Brondata'!AJ114</f>
        <v>2350763.8984003635</v>
      </c>
      <c r="AK76" s="32">
        <f>'10. Brondata'!AK114</f>
        <v>2381112.2603287119</v>
      </c>
      <c r="AL76" s="32">
        <f>'10. Brondata'!AL114</f>
        <v>2411852.4196095564</v>
      </c>
    </row>
    <row r="77" spans="2:38" x14ac:dyDescent="0.2">
      <c r="B77" s="2" t="s">
        <v>660</v>
      </c>
      <c r="F77" s="2" t="s">
        <v>100</v>
      </c>
      <c r="AG77" s="36"/>
      <c r="AH77" s="50"/>
      <c r="AI77" s="50"/>
      <c r="AJ77" s="32">
        <f>'10. Brondata'!AJ115</f>
        <v>947793.32915578119</v>
      </c>
      <c r="AK77" s="32">
        <f>'10. Brondata'!AK115</f>
        <v>2221860.6153806658</v>
      </c>
      <c r="AL77" s="32">
        <f>'10. Brondata'!AL115</f>
        <v>2250544.8359252298</v>
      </c>
    </row>
    <row r="78" spans="2:38" x14ac:dyDescent="0.2">
      <c r="B78" s="2" t="s">
        <v>782</v>
      </c>
      <c r="F78" s="2" t="s">
        <v>100</v>
      </c>
      <c r="AG78" s="36"/>
      <c r="AH78" s="50"/>
      <c r="AI78" s="50"/>
      <c r="AJ78" s="50"/>
      <c r="AK78" s="32">
        <f>'10. Brondata'!AK116</f>
        <v>721454.78411608236</v>
      </c>
      <c r="AL78" s="32">
        <f>'10. Brondata'!AL116</f>
        <v>2223186.7423949922</v>
      </c>
    </row>
    <row r="80" spans="2:38" x14ac:dyDescent="0.2">
      <c r="B80" s="21" t="s">
        <v>389</v>
      </c>
    </row>
    <row r="81" spans="2:38" x14ac:dyDescent="0.2">
      <c r="B81" s="2" t="s">
        <v>788</v>
      </c>
      <c r="F81" s="2" t="s">
        <v>100</v>
      </c>
      <c r="AG81" s="36"/>
      <c r="AH81" s="32">
        <f>'10. Brondata'!AH119</f>
        <v>2374050.459916559</v>
      </c>
      <c r="AI81" s="32">
        <f>'10. Brondata'!AI119</f>
        <v>3877726.4229751835</v>
      </c>
      <c r="AJ81" s="32">
        <f>'10. Brondata'!AJ119</f>
        <v>5499144.8442174895</v>
      </c>
      <c r="AK81" s="32">
        <f>'10. Brondata'!AK119</f>
        <v>7027926.0802627495</v>
      </c>
      <c r="AL81" s="32">
        <f>'10. Brondata'!AL119</f>
        <v>15630638.482191274</v>
      </c>
    </row>
    <row r="82" spans="2:38" x14ac:dyDescent="0.2">
      <c r="B82" s="2" t="s">
        <v>383</v>
      </c>
      <c r="F82" s="2" t="s">
        <v>100</v>
      </c>
      <c r="AG82" s="36"/>
      <c r="AH82" s="32">
        <f>'10. Brondata'!AH120</f>
        <v>78582.435379516479</v>
      </c>
      <c r="AI82" s="32">
        <f>'10. Brondata'!AI120</f>
        <v>79596.934620266053</v>
      </c>
      <c r="AJ82" s="32">
        <f>'10. Brondata'!AJ120</f>
        <v>80624.531046213684</v>
      </c>
      <c r="AK82" s="32">
        <f>'10. Brondata'!AK120</f>
        <v>81665.3937420203</v>
      </c>
      <c r="AL82" s="32">
        <f>'10. Brondata'!AL120</f>
        <v>82719.693975229806</v>
      </c>
    </row>
    <row r="83" spans="2:38" x14ac:dyDescent="0.2">
      <c r="B83" s="2" t="s">
        <v>384</v>
      </c>
      <c r="F83" s="2" t="s">
        <v>100</v>
      </c>
      <c r="AG83" s="36"/>
      <c r="AH83" s="32">
        <f>'10. Brondata'!AH121</f>
        <v>39291.217689758239</v>
      </c>
      <c r="AI83" s="32">
        <f>'10. Brondata'!AI121</f>
        <v>79596.934620266053</v>
      </c>
      <c r="AJ83" s="32">
        <f>'10. Brondata'!AJ121</f>
        <v>80624.531046213684</v>
      </c>
      <c r="AK83" s="32">
        <f>'10. Brondata'!AK121</f>
        <v>81665.3937420203</v>
      </c>
      <c r="AL83" s="32">
        <f>'10. Brondata'!AL121</f>
        <v>82719.693975229777</v>
      </c>
    </row>
    <row r="84" spans="2:38" x14ac:dyDescent="0.2">
      <c r="B84" s="2" t="s">
        <v>529</v>
      </c>
      <c r="F84" s="2" t="s">
        <v>100</v>
      </c>
      <c r="AG84" s="36"/>
      <c r="AH84" s="50"/>
      <c r="AI84" s="32">
        <f>'10. Brondata'!AI122</f>
        <v>39798.467310133026</v>
      </c>
      <c r="AJ84" s="32">
        <f>'10. Brondata'!AJ122</f>
        <v>80624.531046213684</v>
      </c>
      <c r="AK84" s="32">
        <f>'10. Brondata'!AK122</f>
        <v>81665.3937420203</v>
      </c>
      <c r="AL84" s="32">
        <f>'10. Brondata'!AL122</f>
        <v>82719.693975229806</v>
      </c>
    </row>
    <row r="85" spans="2:38" x14ac:dyDescent="0.2">
      <c r="B85" s="2" t="s">
        <v>663</v>
      </c>
      <c r="F85" s="2" t="s">
        <v>100</v>
      </c>
      <c r="AG85" s="36"/>
      <c r="AH85" s="50"/>
      <c r="AI85" s="50"/>
      <c r="AJ85" s="32">
        <f>'10. Brondata'!AJ123</f>
        <v>40312.265523106842</v>
      </c>
      <c r="AK85" s="32">
        <f>'10. Brondata'!AK123</f>
        <v>81665.393742020315</v>
      </c>
      <c r="AL85" s="32">
        <f>'10. Brondata'!AL123</f>
        <v>82719.693975229791</v>
      </c>
    </row>
    <row r="86" spans="2:38" x14ac:dyDescent="0.2">
      <c r="B86" s="2" t="s">
        <v>778</v>
      </c>
      <c r="F86" s="2" t="s">
        <v>100</v>
      </c>
      <c r="AG86" s="36"/>
      <c r="AH86" s="50"/>
      <c r="AI86" s="50"/>
      <c r="AJ86" s="50"/>
      <c r="AK86" s="32">
        <f>'10. Brondata'!AK124</f>
        <v>40832.69687101015</v>
      </c>
      <c r="AL86" s="32">
        <f>'10. Brondata'!AL124</f>
        <v>82719.693975229777</v>
      </c>
    </row>
    <row r="88" spans="2:38" x14ac:dyDescent="0.2">
      <c r="B88" s="2" t="s">
        <v>787</v>
      </c>
      <c r="F88" s="2" t="s">
        <v>100</v>
      </c>
      <c r="AG88" s="36"/>
      <c r="AH88" s="32">
        <f>'10. Brondata'!AH126</f>
        <v>13889267.916459739</v>
      </c>
      <c r="AI88" s="32">
        <f>'10. Brondata'!AI126</f>
        <v>28151958.646906726</v>
      </c>
      <c r="AJ88" s="32">
        <f>'10. Brondata'!AJ126</f>
        <v>51559436.972748309</v>
      </c>
      <c r="AK88" s="32">
        <f>'10. Brondata'!AK126</f>
        <v>80064174.956570998</v>
      </c>
      <c r="AL88" s="32">
        <f>'10. Brondata'!AL126</f>
        <v>87681438.238449216</v>
      </c>
    </row>
    <row r="89" spans="2:38" x14ac:dyDescent="0.2">
      <c r="B89" s="2" t="s">
        <v>385</v>
      </c>
      <c r="F89" s="2" t="s">
        <v>100</v>
      </c>
      <c r="AG89" s="36"/>
      <c r="AH89" s="32">
        <f>'10. Brondata'!AH127</f>
        <v>1397228.4677926125</v>
      </c>
      <c r="AI89" s="32">
        <f>'10. Brondata'!AI127</f>
        <v>1415266.6873118153</v>
      </c>
      <c r="AJ89" s="32">
        <f>'10. Brondata'!AJ127</f>
        <v>1433537.7802450098</v>
      </c>
      <c r="AK89" s="32">
        <f>'10. Brondata'!AK127</f>
        <v>1452044.7529879729</v>
      </c>
      <c r="AL89" s="32">
        <f>'10. Brondata'!AL127</f>
        <v>1470790.6507490491</v>
      </c>
    </row>
    <row r="90" spans="2:38" x14ac:dyDescent="0.2">
      <c r="B90" s="2" t="s">
        <v>386</v>
      </c>
      <c r="F90" s="2" t="s">
        <v>100</v>
      </c>
      <c r="AG90" s="36"/>
      <c r="AH90" s="32">
        <f>'10. Brondata'!AH128</f>
        <v>466581.86493245634</v>
      </c>
      <c r="AI90" s="32">
        <f>'10. Brondata'!AI128</f>
        <v>1876438.3982080191</v>
      </c>
      <c r="AJ90" s="32">
        <f>'10. Brondata'!AJ128</f>
        <v>1900663.2179288843</v>
      </c>
      <c r="AK90" s="32">
        <f>'10. Brondata'!AK128</f>
        <v>1925200.7800723459</v>
      </c>
      <c r="AL90" s="32">
        <f>'10. Brondata'!AL128</f>
        <v>1950055.1221430795</v>
      </c>
    </row>
    <row r="91" spans="2:38" x14ac:dyDescent="0.2">
      <c r="B91" s="2" t="s">
        <v>530</v>
      </c>
      <c r="F91" s="2" t="s">
        <v>100</v>
      </c>
      <c r="AG91" s="36"/>
      <c r="AH91" s="50"/>
      <c r="AI91" s="32">
        <f>'10. Brondata'!AI129</f>
        <v>1384183.7925660927</v>
      </c>
      <c r="AJ91" s="32">
        <f>'10. Brondata'!AJ129</f>
        <v>2750908.0159861082</v>
      </c>
      <c r="AK91" s="32">
        <f>'10. Brondata'!AK129</f>
        <v>2786422.2384724887</v>
      </c>
      <c r="AL91" s="32">
        <f>'10. Brondata'!AL129</f>
        <v>2822394.9495711685</v>
      </c>
    </row>
    <row r="92" spans="2:38" x14ac:dyDescent="0.2">
      <c r="B92" s="2" t="s">
        <v>662</v>
      </c>
      <c r="F92" s="2" t="s">
        <v>100</v>
      </c>
      <c r="AG92" s="36"/>
      <c r="AH92" s="50"/>
      <c r="AI92" s="50"/>
      <c r="AJ92" s="32">
        <f>'10. Brondata'!AJ130</f>
        <v>1775622.1223645208</v>
      </c>
      <c r="AK92" s="32">
        <f>'10. Brondata'!AK130</f>
        <v>4448169.9869610285</v>
      </c>
      <c r="AL92" s="32">
        <f>'10. Brondata'!AL130</f>
        <v>4505595.8614926925</v>
      </c>
    </row>
    <row r="93" spans="2:38" x14ac:dyDescent="0.2">
      <c r="B93" s="2" t="s">
        <v>779</v>
      </c>
      <c r="F93" s="2" t="s">
        <v>100</v>
      </c>
      <c r="AG93" s="36"/>
      <c r="AH93" s="50"/>
      <c r="AI93" s="50"/>
      <c r="AJ93" s="50"/>
      <c r="AK93" s="32">
        <f>'10. Brondata'!AK131</f>
        <v>2086989.7576126298</v>
      </c>
      <c r="AL93" s="32">
        <f>'10. Brondata'!AL131</f>
        <v>4525894.3397888476</v>
      </c>
    </row>
    <row r="95" spans="2:38" x14ac:dyDescent="0.2">
      <c r="B95" s="21" t="s">
        <v>390</v>
      </c>
    </row>
    <row r="96" spans="2:38" x14ac:dyDescent="0.2">
      <c r="B96" s="2" t="s">
        <v>864</v>
      </c>
      <c r="F96" s="2" t="s">
        <v>100</v>
      </c>
      <c r="AG96" s="36"/>
      <c r="AH96" s="32">
        <f>'10. Brondata'!AH134</f>
        <v>7269254.4817024507</v>
      </c>
      <c r="AI96" s="32">
        <f>'10. Brondata'!AI134</f>
        <v>13368387.841809642</v>
      </c>
      <c r="AJ96" s="32">
        <f>'10. Brondata'!AJ134</f>
        <v>20516800.905861668</v>
      </c>
      <c r="AK96" s="32">
        <f>'10. Brondata'!AK134</f>
        <v>25526205.780956302</v>
      </c>
      <c r="AL96" s="32">
        <f>'10. Brondata'!AL134</f>
        <v>28559314.727198884</v>
      </c>
    </row>
    <row r="97" spans="2:38" x14ac:dyDescent="0.2">
      <c r="B97" s="2" t="s">
        <v>387</v>
      </c>
      <c r="F97" s="2" t="s">
        <v>100</v>
      </c>
      <c r="AG97" s="36"/>
      <c r="AH97" s="32">
        <f>'10. Brondata'!AH135</f>
        <v>235479.51240776759</v>
      </c>
      <c r="AI97" s="32">
        <f>'10. Brondata'!AI135</f>
        <v>238519.55291295188</v>
      </c>
      <c r="AJ97" s="32">
        <f>'10. Brondata'!AJ135</f>
        <v>241598.84034105812</v>
      </c>
      <c r="AK97" s="32">
        <f>'10. Brondata'!AK135</f>
        <v>244717.88136986116</v>
      </c>
      <c r="AL97" s="32">
        <f>'10. Brondata'!AL135</f>
        <v>247877.18921834609</v>
      </c>
    </row>
    <row r="98" spans="2:38" x14ac:dyDescent="0.2">
      <c r="B98" s="2" t="s">
        <v>388</v>
      </c>
      <c r="F98" s="2" t="s">
        <v>100</v>
      </c>
      <c r="AG98" s="36"/>
      <c r="AH98" s="32">
        <f>'10. Brondata'!AH136</f>
        <v>104836.33623028379</v>
      </c>
      <c r="AI98" s="32">
        <f>'10. Brondata'!AI136</f>
        <v>212379.54666203351</v>
      </c>
      <c r="AJ98" s="32">
        <f>'10. Brondata'!AJ136</f>
        <v>215121.36660944039</v>
      </c>
      <c r="AK98" s="32">
        <f>'10. Brondata'!AK136</f>
        <v>217898.58345236824</v>
      </c>
      <c r="AL98" s="32">
        <f>'10. Brondata'!AL136</f>
        <v>220711.65416473831</v>
      </c>
    </row>
    <row r="99" spans="2:38" x14ac:dyDescent="0.2">
      <c r="B99" s="2" t="s">
        <v>531</v>
      </c>
      <c r="F99" s="2" t="s">
        <v>100</v>
      </c>
      <c r="AG99" s="36"/>
      <c r="AH99" s="50"/>
      <c r="AI99" s="32">
        <f>'10. Brondata'!AI137</f>
        <v>208480.44333101675</v>
      </c>
      <c r="AJ99" s="32">
        <f>'10. Brondata'!AJ137</f>
        <v>652574.07087414048</v>
      </c>
      <c r="AK99" s="32">
        <f>'10. Brondata'!AK137</f>
        <v>660998.80212912557</v>
      </c>
      <c r="AL99" s="32">
        <f>'10. Brondata'!AL137</f>
        <v>669532.29666461272</v>
      </c>
    </row>
    <row r="100" spans="2:38" x14ac:dyDescent="0.2">
      <c r="B100" s="2" t="s">
        <v>661</v>
      </c>
      <c r="F100" s="2" t="s">
        <v>100</v>
      </c>
      <c r="AG100" s="36"/>
      <c r="AH100" s="50"/>
      <c r="AI100" s="50"/>
      <c r="AJ100" s="32">
        <f>'10. Brondata'!AJ138</f>
        <v>107560.68330472019</v>
      </c>
      <c r="AK100" s="32">
        <f>'10. Brondata'!AK138</f>
        <v>217898.58345236827</v>
      </c>
      <c r="AL100" s="32">
        <f>'10. Brondata'!AL138</f>
        <v>220711.65416473837</v>
      </c>
    </row>
    <row r="101" spans="2:38" x14ac:dyDescent="0.2">
      <c r="B101" s="2" t="s">
        <v>780</v>
      </c>
      <c r="F101" s="2" t="s">
        <v>100</v>
      </c>
      <c r="AG101" s="36"/>
      <c r="AH101" s="50"/>
      <c r="AI101" s="50"/>
      <c r="AJ101" s="50"/>
      <c r="AK101" s="32">
        <f>'10. Brondata'!AK139</f>
        <v>109177.89672618412</v>
      </c>
      <c r="AL101" s="32">
        <f>'10. Brondata'!AL139</f>
        <v>411298.44981353829</v>
      </c>
    </row>
    <row r="103" spans="2:38" x14ac:dyDescent="0.2">
      <c r="B103" s="21" t="s">
        <v>802</v>
      </c>
    </row>
    <row r="104" spans="2:38" x14ac:dyDescent="0.2">
      <c r="B104" s="2" t="s">
        <v>666</v>
      </c>
      <c r="F104" s="2" t="s">
        <v>100</v>
      </c>
      <c r="AG104" s="36"/>
      <c r="AH104" s="32">
        <f>'10. Brondata'!AH142</f>
        <v>-3246596.989333082</v>
      </c>
      <c r="AI104" s="32">
        <f>'10. Brondata'!AI142</f>
        <v>-5091931.1231731642</v>
      </c>
      <c r="AJ104" s="32">
        <f>'10. Brondata'!AJ142</f>
        <v>-7677943.0034006163</v>
      </c>
      <c r="AK104" s="32">
        <f>'10. Brondata'!AK142</f>
        <v>-8196024.80018955</v>
      </c>
      <c r="AL104" s="32">
        <f>'10. Brondata'!AL142</f>
        <v>-8141828.6849897876</v>
      </c>
    </row>
    <row r="105" spans="2:38" x14ac:dyDescent="0.2">
      <c r="B105" s="2" t="s">
        <v>669</v>
      </c>
      <c r="F105" s="2" t="s">
        <v>100</v>
      </c>
      <c r="AG105" s="36"/>
      <c r="AH105" s="32">
        <f>'10. Brondata'!AH143</f>
        <v>2994171.5085677789</v>
      </c>
      <c r="AI105" s="32">
        <f>'10. Brondata'!AI143</f>
        <v>10709550.661824171</v>
      </c>
      <c r="AJ105" s="32">
        <f>'10. Brondata'!AJ143</f>
        <v>23174086.500210978</v>
      </c>
      <c r="AK105" s="32">
        <f>'10. Brondata'!AK143</f>
        <v>26351830.358878668</v>
      </c>
      <c r="AL105" s="32">
        <f>'10. Brondata'!AL143</f>
        <v>26203078.977389239</v>
      </c>
    </row>
    <row r="107" spans="2:38" x14ac:dyDescent="0.2">
      <c r="B107" s="21" t="s">
        <v>803</v>
      </c>
    </row>
    <row r="108" spans="2:38" x14ac:dyDescent="0.2">
      <c r="B108" s="2" t="s">
        <v>670</v>
      </c>
      <c r="F108" s="2" t="s">
        <v>100</v>
      </c>
      <c r="AG108" s="36"/>
      <c r="AH108" s="32">
        <f>'10. Brondata'!AH146</f>
        <v>-15255773.952666286</v>
      </c>
      <c r="AI108" s="32">
        <f>'10. Brondata'!AI146</f>
        <v>-23751744.657311819</v>
      </c>
      <c r="AJ108" s="32">
        <f>'10. Brondata'!AJ146</f>
        <v>-36172331.547226422</v>
      </c>
      <c r="AK108" s="32">
        <f>'10. Brondata'!AK146</f>
        <v>-38367537.628186189</v>
      </c>
      <c r="AL108" s="32">
        <f>'10. Brondata'!AL146</f>
        <v>-38179962.363220453</v>
      </c>
    </row>
    <row r="109" spans="2:38" x14ac:dyDescent="0.2">
      <c r="B109" s="2" t="s">
        <v>672</v>
      </c>
      <c r="F109" s="2" t="s">
        <v>100</v>
      </c>
      <c r="AG109" s="36"/>
      <c r="AH109" s="32">
        <f>'10. Brondata'!AH147</f>
        <v>10106711.552618753</v>
      </c>
      <c r="AI109" s="32">
        <f>'10. Brondata'!AI147</f>
        <v>22130762.367486835</v>
      </c>
      <c r="AJ109" s="32">
        <f>'10. Brondata'!AJ147</f>
        <v>42672480.426705092</v>
      </c>
      <c r="AK109" s="32">
        <f>'10. Brondata'!AK147</f>
        <v>48435910.325483851</v>
      </c>
      <c r="AL109" s="32">
        <f>'10. Brondata'!AL147</f>
        <v>48182331.14697139</v>
      </c>
    </row>
    <row r="111" spans="2:38" x14ac:dyDescent="0.2">
      <c r="B111" s="21" t="s">
        <v>804</v>
      </c>
    </row>
    <row r="112" spans="2:38" x14ac:dyDescent="0.2">
      <c r="B112" s="2" t="s">
        <v>675</v>
      </c>
      <c r="F112" s="2" t="s">
        <v>100</v>
      </c>
      <c r="AG112" s="36"/>
      <c r="AH112" s="32">
        <f>'10. Brondata'!AH150</f>
        <v>220800.43000885472</v>
      </c>
      <c r="AI112" s="32">
        <f>'10. Brondata'!AI150</f>
        <v>1818983.0190578904</v>
      </c>
      <c r="AJ112" s="32">
        <f>'10. Brondata'!AJ150</f>
        <v>4177680.1314340867</v>
      </c>
      <c r="AK112" s="32">
        <f>'10. Brondata'!AK150</f>
        <v>4132524.1587690115</v>
      </c>
      <c r="AL112" s="32">
        <f>'10. Brondata'!AL150</f>
        <v>4085915.8876663074</v>
      </c>
    </row>
    <row r="114" spans="2:38" x14ac:dyDescent="0.2">
      <c r="B114" s="21" t="s">
        <v>462</v>
      </c>
    </row>
    <row r="115" spans="2:38" x14ac:dyDescent="0.2">
      <c r="B115" s="2" t="s">
        <v>534</v>
      </c>
      <c r="F115" s="2" t="s">
        <v>100</v>
      </c>
      <c r="AG115" s="36"/>
      <c r="AH115" s="32">
        <f>'10. Brondata'!AH153</f>
        <v>26011952</v>
      </c>
      <c r="AI115" s="32">
        <f>'10. Brondata'!AI153</f>
        <v>18893772</v>
      </c>
      <c r="AJ115" s="32">
        <f>'10. Brondata'!AJ153</f>
        <v>-17831717</v>
      </c>
      <c r="AK115" s="36"/>
      <c r="AL115" s="36"/>
    </row>
    <row r="116" spans="2:38" x14ac:dyDescent="0.2">
      <c r="B116" s="2" t="s">
        <v>535</v>
      </c>
      <c r="F116" s="2" t="s">
        <v>100</v>
      </c>
      <c r="AG116" s="36"/>
      <c r="AH116" s="32">
        <f>'10. Brondata'!AH154</f>
        <v>583601.48717948713</v>
      </c>
      <c r="AI116" s="32">
        <f>'10. Brondata'!AI154</f>
        <v>1009463.8295384614</v>
      </c>
      <c r="AJ116" s="32">
        <f>'10. Brondata'!AJ154</f>
        <v>1018549.0040043074</v>
      </c>
      <c r="AK116" s="32">
        <f>'10. Brondata'!AK154</f>
        <v>1027715.945040346</v>
      </c>
      <c r="AL116" s="32">
        <f>'10. Brondata'!AL154</f>
        <v>1036965.388545709</v>
      </c>
    </row>
    <row r="117" spans="2:38" x14ac:dyDescent="0.2">
      <c r="B117" s="2" t="s">
        <v>536</v>
      </c>
      <c r="F117" s="2" t="s">
        <v>100</v>
      </c>
      <c r="AG117" s="36"/>
      <c r="AH117" s="36"/>
      <c r="AI117" s="32">
        <f>'10. Brondata'!AI155</f>
        <v>440854.68</v>
      </c>
      <c r="AJ117" s="32">
        <f>'10. Brondata'!AJ155</f>
        <v>762552.63791999989</v>
      </c>
      <c r="AK117" s="32">
        <f>'10. Brondata'!AK155</f>
        <v>769415.61166127981</v>
      </c>
      <c r="AL117" s="32">
        <f>'10. Brondata'!AL155</f>
        <v>776340.35216623126</v>
      </c>
    </row>
    <row r="118" spans="2:38" x14ac:dyDescent="0.2">
      <c r="B118" s="2" t="s">
        <v>665</v>
      </c>
      <c r="F118" s="2" t="s">
        <v>100</v>
      </c>
      <c r="AG118" s="36"/>
      <c r="AH118" s="36"/>
      <c r="AI118" s="36"/>
      <c r="AJ118" s="32">
        <f>'10. Brondata'!AJ156</f>
        <v>-433409.7881944445</v>
      </c>
      <c r="AK118" s="32">
        <f>'10. Brondata'!AK156</f>
        <v>-749675.10220833332</v>
      </c>
      <c r="AL118" s="32">
        <f>'10. Brondata'!AL156</f>
        <v>-756422.17812820827</v>
      </c>
    </row>
    <row r="119" spans="2:38" x14ac:dyDescent="0.2">
      <c r="B119" s="2" t="s">
        <v>783</v>
      </c>
      <c r="F119" s="2" t="s">
        <v>100</v>
      </c>
      <c r="AG119" s="36"/>
      <c r="AH119" s="36"/>
      <c r="AI119" s="36"/>
      <c r="AJ119" s="36"/>
      <c r="AK119" s="32">
        <f>'10. Brondata'!AK157</f>
        <v>-137307.91666666666</v>
      </c>
      <c r="AL119" s="32">
        <f>'10. Brondata'!AL157</f>
        <v>-237503.46499999997</v>
      </c>
    </row>
    <row r="121" spans="2:38" x14ac:dyDescent="0.2">
      <c r="B121" s="21" t="s">
        <v>537</v>
      </c>
    </row>
    <row r="122" spans="2:38" x14ac:dyDescent="0.2">
      <c r="B122" s="2" t="s">
        <v>865</v>
      </c>
      <c r="F122" s="2" t="s">
        <v>100</v>
      </c>
      <c r="AG122" s="36"/>
      <c r="AH122" s="32">
        <f>'10. Brondata'!AH160</f>
        <v>1143025.1984615384</v>
      </c>
      <c r="AI122" s="32">
        <f>'10. Brondata'!AI160</f>
        <v>2398533.0110122049</v>
      </c>
      <c r="AJ122" s="32">
        <f>'10. Brondata'!AJ160</f>
        <v>2004039.0721177561</v>
      </c>
      <c r="AK122" s="32">
        <f>'10. Brondata'!AK160</f>
        <v>1681429.4735753578</v>
      </c>
      <c r="AL122" s="32">
        <f>'10. Brondata'!AL160</f>
        <v>1668026.4826477752</v>
      </c>
    </row>
    <row r="124" spans="2:38" s="7" customFormat="1" x14ac:dyDescent="0.2">
      <c r="B124" s="7" t="s">
        <v>557</v>
      </c>
    </row>
    <row r="125" spans="2:38" x14ac:dyDescent="0.2">
      <c r="B125" s="21"/>
    </row>
    <row r="126" spans="2:38" x14ac:dyDescent="0.2">
      <c r="B126" s="21" t="s">
        <v>866</v>
      </c>
    </row>
    <row r="127" spans="2:38" x14ac:dyDescent="0.2">
      <c r="B127" s="2" t="s">
        <v>867</v>
      </c>
      <c r="F127" s="2" t="s">
        <v>100</v>
      </c>
      <c r="AG127" s="36"/>
      <c r="AH127" s="33">
        <f>AH66-AH28</f>
        <v>-3246596.989333082</v>
      </c>
      <c r="AI127" s="33">
        <f>AI66-AI28</f>
        <v>-5091931.1231731642</v>
      </c>
      <c r="AJ127" s="33">
        <f>AJ66-AJ28</f>
        <v>-7677943.0034006163</v>
      </c>
      <c r="AK127" s="33">
        <f>AK66-AK28</f>
        <v>-9764622.634802293</v>
      </c>
      <c r="AL127" s="33">
        <f>AL66-AL28</f>
        <v>-10272213.91454114</v>
      </c>
    </row>
    <row r="128" spans="2:38" x14ac:dyDescent="0.2">
      <c r="B128" s="2" t="s">
        <v>301</v>
      </c>
      <c r="F128" s="2" t="s">
        <v>100</v>
      </c>
      <c r="AG128" s="36"/>
      <c r="AH128" s="50"/>
      <c r="AI128" s="50"/>
      <c r="AJ128" s="50"/>
      <c r="AK128" s="50"/>
      <c r="AL128" s="50"/>
    </row>
    <row r="129" spans="1:41" x14ac:dyDescent="0.2">
      <c r="B129" s="2" t="s">
        <v>391</v>
      </c>
      <c r="F129" s="2" t="s">
        <v>100</v>
      </c>
      <c r="AG129" s="36"/>
      <c r="AH129" s="50"/>
      <c r="AI129" s="50"/>
      <c r="AJ129" s="50"/>
      <c r="AK129" s="50"/>
      <c r="AL129" s="50"/>
    </row>
    <row r="130" spans="1:41" x14ac:dyDescent="0.2">
      <c r="B130" s="2" t="s">
        <v>500</v>
      </c>
      <c r="F130" s="2" t="s">
        <v>100</v>
      </c>
      <c r="AG130" s="36"/>
      <c r="AH130" s="50"/>
      <c r="AI130" s="50"/>
      <c r="AJ130" s="50"/>
      <c r="AK130" s="50"/>
      <c r="AL130" s="50"/>
    </row>
    <row r="131" spans="1:41" x14ac:dyDescent="0.2">
      <c r="B131" s="2" t="s">
        <v>667</v>
      </c>
      <c r="F131" s="2" t="s">
        <v>100</v>
      </c>
      <c r="AG131" s="36"/>
      <c r="AH131" s="50"/>
      <c r="AI131" s="50"/>
      <c r="AJ131" s="50"/>
      <c r="AK131" s="50"/>
      <c r="AL131" s="50"/>
    </row>
    <row r="132" spans="1:41" x14ac:dyDescent="0.2">
      <c r="B132" s="2" t="s">
        <v>869</v>
      </c>
      <c r="F132" s="2" t="s">
        <v>100</v>
      </c>
      <c r="AG132" s="36"/>
      <c r="AH132" s="50"/>
      <c r="AI132" s="50"/>
      <c r="AJ132" s="50"/>
      <c r="AK132" s="33">
        <f t="shared" ref="AK132:AL132" si="0">AK71-AK33</f>
        <v>-183960.31743239742</v>
      </c>
      <c r="AL132" s="33">
        <f t="shared" si="0"/>
        <v>-372670.49026089924</v>
      </c>
    </row>
    <row r="134" spans="1:41" x14ac:dyDescent="0.2">
      <c r="B134" s="2" t="s">
        <v>868</v>
      </c>
      <c r="F134" s="2" t="s">
        <v>100</v>
      </c>
      <c r="AG134" s="36"/>
      <c r="AH134" s="33">
        <f>AH73-AH35</f>
        <v>2994171.5085677789</v>
      </c>
      <c r="AI134" s="33">
        <f>AI73-AI35</f>
        <v>10709550.661824171</v>
      </c>
      <c r="AJ134" s="33">
        <f>AJ73-AJ35</f>
        <v>23174086.500210978</v>
      </c>
      <c r="AK134" s="33">
        <f>AK73-AK35</f>
        <v>33441762.962416094</v>
      </c>
      <c r="AL134" s="33">
        <f>AL73-AL35</f>
        <v>37009023.236027837</v>
      </c>
    </row>
    <row r="135" spans="1:41" x14ac:dyDescent="0.2">
      <c r="B135" s="2" t="s">
        <v>501</v>
      </c>
      <c r="F135" s="2" t="s">
        <v>100</v>
      </c>
      <c r="AG135" s="36"/>
      <c r="AH135" s="50"/>
      <c r="AI135" s="50"/>
      <c r="AJ135" s="50"/>
      <c r="AK135" s="50"/>
      <c r="AL135" s="50"/>
    </row>
    <row r="136" spans="1:41" x14ac:dyDescent="0.2">
      <c r="B136" s="2" t="s">
        <v>502</v>
      </c>
      <c r="F136" s="2" t="s">
        <v>100</v>
      </c>
      <c r="AG136" s="36"/>
      <c r="AH136" s="50"/>
      <c r="AI136" s="50"/>
      <c r="AJ136" s="50"/>
      <c r="AK136" s="50"/>
      <c r="AL136" s="50"/>
    </row>
    <row r="137" spans="1:41" x14ac:dyDescent="0.2">
      <c r="B137" s="2" t="s">
        <v>503</v>
      </c>
      <c r="F137" s="2" t="s">
        <v>100</v>
      </c>
      <c r="AG137" s="36"/>
      <c r="AH137" s="50"/>
      <c r="AI137" s="50"/>
      <c r="AJ137" s="50"/>
      <c r="AK137" s="50"/>
      <c r="AL137" s="50"/>
    </row>
    <row r="138" spans="1:41" x14ac:dyDescent="0.2">
      <c r="B138" s="2" t="s">
        <v>668</v>
      </c>
      <c r="F138" s="2" t="s">
        <v>100</v>
      </c>
      <c r="AG138" s="36"/>
      <c r="AH138" s="50"/>
      <c r="AI138" s="50"/>
      <c r="AJ138" s="50"/>
      <c r="AK138" s="50"/>
      <c r="AL138" s="50"/>
    </row>
    <row r="139" spans="1:41" x14ac:dyDescent="0.2">
      <c r="B139" s="2" t="s">
        <v>870</v>
      </c>
      <c r="F139" s="2" t="s">
        <v>100</v>
      </c>
      <c r="AG139" s="36"/>
      <c r="AH139" s="50"/>
      <c r="AI139" s="50"/>
      <c r="AJ139" s="50"/>
      <c r="AK139" s="33">
        <f>AK78-AK40</f>
        <v>625638.03206386603</v>
      </c>
      <c r="AL139" s="33">
        <f>AL78-AL40</f>
        <v>2029079.2497525713</v>
      </c>
    </row>
    <row r="141" spans="1:41" x14ac:dyDescent="0.2">
      <c r="B141" s="21" t="s">
        <v>421</v>
      </c>
    </row>
    <row r="142" spans="1:41" x14ac:dyDescent="0.2">
      <c r="B142" s="2" t="s">
        <v>871</v>
      </c>
      <c r="F142" s="2" t="s">
        <v>100</v>
      </c>
      <c r="AG142" s="36"/>
      <c r="AH142" s="33">
        <f>(SUM(AH127:AH132)-AH104)*AH$16+(SUM(AH134:AH139)-AH105)</f>
        <v>0</v>
      </c>
      <c r="AI142" s="33">
        <f t="shared" ref="AI142:AL142" si="1">(SUM(AI127:AI132)-AI104)*AI$16+(SUM(AI134:AI139)-AI105)</f>
        <v>0</v>
      </c>
      <c r="AJ142" s="33">
        <f t="shared" si="1"/>
        <v>0</v>
      </c>
      <c r="AK142" s="33">
        <f t="shared" si="1"/>
        <v>5963012.4835561523</v>
      </c>
      <c r="AL142" s="33">
        <f t="shared" si="1"/>
        <v>10331967.78857892</v>
      </c>
      <c r="AO142" s="1"/>
    </row>
    <row r="144" spans="1:41" x14ac:dyDescent="0.2">
      <c r="A144" s="111"/>
      <c r="B144" s="21" t="s">
        <v>560</v>
      </c>
    </row>
    <row r="145" spans="1:39" x14ac:dyDescent="0.2">
      <c r="A145" s="159" t="s">
        <v>1292</v>
      </c>
      <c r="B145" s="2" t="s">
        <v>1291</v>
      </c>
      <c r="F145" s="2" t="s">
        <v>100</v>
      </c>
      <c r="AG145" s="36"/>
      <c r="AH145" s="36"/>
      <c r="AI145" s="36"/>
      <c r="AJ145" s="36"/>
      <c r="AK145" s="36"/>
      <c r="AL145" s="36"/>
      <c r="AM145" s="23" cm="1">
        <f t="array" ref="AM145">SUM(AH142:AL142*AH$25:AL$25)</f>
        <v>17339326.568892449</v>
      </c>
    </row>
    <row r="146" spans="1:39" x14ac:dyDescent="0.2">
      <c r="A146" s="111"/>
    </row>
    <row r="147" spans="1:39" x14ac:dyDescent="0.2">
      <c r="A147" s="111"/>
      <c r="B147" s="21" t="s">
        <v>460</v>
      </c>
    </row>
    <row r="148" spans="1:39" x14ac:dyDescent="0.2">
      <c r="A148" s="111"/>
      <c r="B148" s="2" t="s">
        <v>456</v>
      </c>
      <c r="F148" s="2" t="s">
        <v>100</v>
      </c>
      <c r="AG148" s="36"/>
      <c r="AH148" s="25">
        <f>AH115-SUM(AH116:AH117)</f>
        <v>25428350.512820512</v>
      </c>
      <c r="AI148" s="33">
        <f>AH148*(1+$H$22)-SUM(AI116:AI118)+AI115</f>
        <v>43100659.157897435</v>
      </c>
      <c r="AJ148" s="33">
        <f>AI148*(1+$H$22)-SUM(AJ116:AJ118)+AJ115</f>
        <v>24309156.236588642</v>
      </c>
      <c r="AK148" s="33">
        <f>AJ148*(1+$H$22)-SUM(AK116:AK118)+AK115</f>
        <v>23480482.188224647</v>
      </c>
      <c r="AL148" s="33">
        <f>AK148*(1+$H$22)-SUM(AL116:AL118)+AL115</f>
        <v>22634922.965334933</v>
      </c>
    </row>
    <row r="149" spans="1:39" x14ac:dyDescent="0.2">
      <c r="A149" s="111"/>
      <c r="B149" s="2" t="s">
        <v>457</v>
      </c>
      <c r="F149" s="2" t="s">
        <v>100</v>
      </c>
      <c r="AG149" s="36"/>
      <c r="AH149" s="33">
        <f>AH148*AH19</f>
        <v>559423.71128205128</v>
      </c>
      <c r="AI149" s="33">
        <f>AI148*AI19</f>
        <v>948214.50147374347</v>
      </c>
      <c r="AJ149" s="33">
        <f>AJ148*AJ19</f>
        <v>656347.21838789328</v>
      </c>
      <c r="AK149" s="33">
        <f>AK148*AK19</f>
        <v>633973.01908206544</v>
      </c>
      <c r="AL149" s="33">
        <f>AL148*AL19</f>
        <v>611142.92006404314</v>
      </c>
    </row>
    <row r="150" spans="1:39" x14ac:dyDescent="0.2">
      <c r="A150" s="111"/>
      <c r="B150" s="2" t="s">
        <v>458</v>
      </c>
      <c r="F150" s="2" t="s">
        <v>100</v>
      </c>
      <c r="AG150" s="36"/>
      <c r="AH150" s="33">
        <f>AH149+SUM(AH116:AH118)</f>
        <v>1143025.1984615384</v>
      </c>
      <c r="AI150" s="33">
        <f>AI149+SUM(AI116:AI118)</f>
        <v>2398533.0110122049</v>
      </c>
      <c r="AJ150" s="33">
        <f>AJ149+SUM(AJ116:AJ118)</f>
        <v>2004039.0721177561</v>
      </c>
      <c r="AK150" s="33">
        <f>AK149+SUM(AK116:AK118)</f>
        <v>1681429.4735753578</v>
      </c>
      <c r="AL150" s="33">
        <f>AL149+SUM(AL116:AL118)</f>
        <v>1668026.4826477752</v>
      </c>
    </row>
    <row r="151" spans="1:39" x14ac:dyDescent="0.2">
      <c r="A151" s="111"/>
      <c r="B151" s="21"/>
    </row>
    <row r="152" spans="1:39" x14ac:dyDescent="0.2">
      <c r="A152" s="111"/>
      <c r="B152" s="2" t="s">
        <v>538</v>
      </c>
      <c r="F152" s="2" t="s">
        <v>100</v>
      </c>
      <c r="AG152" s="36"/>
      <c r="AH152" s="33">
        <f>AH150-AH122</f>
        <v>0</v>
      </c>
      <c r="AI152" s="33">
        <f t="shared" ref="AI152:AL152" si="2">AI150-AI122</f>
        <v>0</v>
      </c>
      <c r="AJ152" s="33">
        <f t="shared" si="2"/>
        <v>0</v>
      </c>
      <c r="AK152" s="33">
        <f t="shared" si="2"/>
        <v>0</v>
      </c>
      <c r="AL152" s="33">
        <f t="shared" si="2"/>
        <v>0</v>
      </c>
    </row>
    <row r="153" spans="1:39" x14ac:dyDescent="0.2">
      <c r="A153" s="111"/>
      <c r="B153" s="21"/>
    </row>
    <row r="154" spans="1:39" x14ac:dyDescent="0.2">
      <c r="A154" s="111"/>
      <c r="B154" s="21" t="s">
        <v>561</v>
      </c>
    </row>
    <row r="155" spans="1:39" x14ac:dyDescent="0.2">
      <c r="A155" s="111"/>
      <c r="B155" s="2" t="s">
        <v>873</v>
      </c>
      <c r="F155" s="2" t="s">
        <v>100</v>
      </c>
      <c r="AG155" s="36"/>
      <c r="AH155" s="36"/>
      <c r="AI155" s="36"/>
      <c r="AJ155" s="36"/>
      <c r="AK155" s="36"/>
      <c r="AL155" s="36"/>
      <c r="AM155" s="23" cm="1">
        <f t="array" ref="AM155">SUM(AH152:AL152*$AH$25:$AL$25)</f>
        <v>0</v>
      </c>
    </row>
    <row r="156" spans="1:39" x14ac:dyDescent="0.2">
      <c r="A156" s="111"/>
    </row>
    <row r="157" spans="1:39" x14ac:dyDescent="0.2">
      <c r="A157" s="111"/>
      <c r="B157" s="21" t="s">
        <v>644</v>
      </c>
    </row>
    <row r="158" spans="1:39" x14ac:dyDescent="0.2">
      <c r="A158" s="111"/>
      <c r="B158" s="2" t="s">
        <v>694</v>
      </c>
      <c r="F158" s="2" t="s">
        <v>100</v>
      </c>
      <c r="AG158" s="36"/>
      <c r="AH158" s="36"/>
      <c r="AI158" s="36"/>
      <c r="AJ158" s="36"/>
      <c r="AK158" s="36"/>
      <c r="AL158" s="36"/>
      <c r="AM158" s="23">
        <f>SUM(AM145,AM155)</f>
        <v>17339326.568892449</v>
      </c>
    </row>
    <row r="159" spans="1:39" x14ac:dyDescent="0.2">
      <c r="B159" s="21"/>
    </row>
    <row r="160" spans="1:39" s="7" customFormat="1" x14ac:dyDescent="0.2">
      <c r="B160" s="7" t="s">
        <v>558</v>
      </c>
    </row>
    <row r="162" spans="2:38" x14ac:dyDescent="0.2">
      <c r="B162" s="21" t="s">
        <v>875</v>
      </c>
    </row>
    <row r="163" spans="2:38" x14ac:dyDescent="0.2">
      <c r="B163" s="2" t="s">
        <v>874</v>
      </c>
      <c r="F163" s="2" t="s">
        <v>100</v>
      </c>
      <c r="AG163" s="36"/>
      <c r="AH163" s="33">
        <f>AH81-AH43</f>
        <v>-15255773.952666286</v>
      </c>
      <c r="AI163" s="33">
        <f>AI81-AI43</f>
        <v>-23751744.657311819</v>
      </c>
      <c r="AJ163" s="33">
        <f>AJ81-AJ43</f>
        <v>-36172331.547226422</v>
      </c>
      <c r="AK163" s="33">
        <f>AK81-AK43</f>
        <v>-45966505.84561877</v>
      </c>
      <c r="AL163" s="33">
        <f>AL81-AL43</f>
        <v>-48123994.049351029</v>
      </c>
    </row>
    <row r="164" spans="2:38" x14ac:dyDescent="0.2">
      <c r="B164" s="2" t="s">
        <v>303</v>
      </c>
      <c r="F164" s="2" t="s">
        <v>100</v>
      </c>
      <c r="AG164" s="36"/>
      <c r="AH164" s="50"/>
      <c r="AI164" s="50"/>
      <c r="AJ164" s="50"/>
      <c r="AK164" s="50"/>
      <c r="AL164" s="50"/>
    </row>
    <row r="165" spans="2:38" x14ac:dyDescent="0.2">
      <c r="B165" s="2" t="s">
        <v>392</v>
      </c>
      <c r="F165" s="2" t="s">
        <v>100</v>
      </c>
      <c r="AG165" s="36"/>
      <c r="AH165" s="50"/>
      <c r="AI165" s="50"/>
      <c r="AJ165" s="50"/>
      <c r="AK165" s="50"/>
      <c r="AL165" s="50"/>
    </row>
    <row r="166" spans="2:38" x14ac:dyDescent="0.2">
      <c r="B166" s="2" t="s">
        <v>539</v>
      </c>
      <c r="F166" s="2" t="s">
        <v>100</v>
      </c>
      <c r="AG166" s="36"/>
      <c r="AH166" s="50"/>
      <c r="AI166" s="50"/>
      <c r="AJ166" s="50"/>
      <c r="AK166" s="50"/>
      <c r="AL166" s="50"/>
    </row>
    <row r="167" spans="2:38" x14ac:dyDescent="0.2">
      <c r="B167" s="2" t="s">
        <v>671</v>
      </c>
      <c r="F167" s="2" t="s">
        <v>100</v>
      </c>
      <c r="AG167" s="36"/>
      <c r="AH167" s="50"/>
      <c r="AI167" s="50"/>
      <c r="AJ167" s="50"/>
      <c r="AK167" s="50"/>
      <c r="AL167" s="50"/>
    </row>
    <row r="168" spans="2:38" x14ac:dyDescent="0.2">
      <c r="B168" s="2" t="s">
        <v>876</v>
      </c>
      <c r="F168" s="2" t="s">
        <v>100</v>
      </c>
      <c r="AG168" s="36"/>
      <c r="AH168" s="50"/>
      <c r="AI168" s="50"/>
      <c r="AJ168" s="50"/>
      <c r="AK168" s="33">
        <f>AK86-AK48</f>
        <v>-961357.768051825</v>
      </c>
      <c r="AL168" s="33">
        <f>AL86-AL48</f>
        <v>-1947537.7936747482</v>
      </c>
    </row>
    <row r="170" spans="2:38" x14ac:dyDescent="0.2">
      <c r="B170" s="2" t="s">
        <v>881</v>
      </c>
      <c r="F170" s="2" t="s">
        <v>100</v>
      </c>
      <c r="AG170" s="36"/>
      <c r="AH170" s="33">
        <f>AH88-AH50</f>
        <v>10106711.552618753</v>
      </c>
      <c r="AI170" s="33">
        <f>AI88-AI50</f>
        <v>22130762.367486835</v>
      </c>
      <c r="AJ170" s="33">
        <f>AJ88-AJ50</f>
        <v>42672480.426705092</v>
      </c>
      <c r="AK170" s="33">
        <f>AK88-AK50</f>
        <v>68742722.971256152</v>
      </c>
      <c r="AL170" s="33">
        <f>AL88-AL50</f>
        <v>74383113.533828929</v>
      </c>
    </row>
    <row r="171" spans="2:38" x14ac:dyDescent="0.2">
      <c r="B171" s="2" t="s">
        <v>532</v>
      </c>
      <c r="F171" s="2" t="s">
        <v>100</v>
      </c>
      <c r="AG171" s="36"/>
      <c r="AH171" s="50"/>
      <c r="AI171" s="50"/>
      <c r="AJ171" s="50"/>
      <c r="AK171" s="50"/>
      <c r="AL171" s="50"/>
    </row>
    <row r="172" spans="2:38" x14ac:dyDescent="0.2">
      <c r="B172" s="2" t="s">
        <v>533</v>
      </c>
      <c r="F172" s="2" t="s">
        <v>100</v>
      </c>
      <c r="AG172" s="36"/>
      <c r="AH172" s="50"/>
      <c r="AI172" s="50"/>
      <c r="AJ172" s="50"/>
      <c r="AK172" s="50"/>
      <c r="AL172" s="50"/>
    </row>
    <row r="173" spans="2:38" x14ac:dyDescent="0.2">
      <c r="B173" s="2" t="s">
        <v>540</v>
      </c>
      <c r="F173" s="2" t="s">
        <v>100</v>
      </c>
      <c r="AG173" s="36"/>
      <c r="AH173" s="50"/>
      <c r="AI173" s="50"/>
      <c r="AJ173" s="50"/>
      <c r="AK173" s="50"/>
      <c r="AL173" s="50"/>
    </row>
    <row r="174" spans="2:38" x14ac:dyDescent="0.2">
      <c r="B174" s="2" t="s">
        <v>673</v>
      </c>
      <c r="F174" s="2" t="s">
        <v>100</v>
      </c>
      <c r="AG174" s="36"/>
      <c r="AH174" s="50"/>
      <c r="AI174" s="50"/>
      <c r="AJ174" s="50"/>
      <c r="AK174" s="50"/>
      <c r="AL174" s="50"/>
    </row>
    <row r="175" spans="2:38" x14ac:dyDescent="0.2">
      <c r="B175" s="2" t="s">
        <v>882</v>
      </c>
      <c r="F175" s="2" t="s">
        <v>100</v>
      </c>
      <c r="AG175" s="36"/>
      <c r="AH175" s="50"/>
      <c r="AI175" s="50"/>
      <c r="AJ175" s="50"/>
      <c r="AK175" s="33">
        <f>AK93-AK55</f>
        <v>1924531.5341735077</v>
      </c>
      <c r="AL175" s="33">
        <f>AL93-AL55</f>
        <v>4196783.221581405</v>
      </c>
    </row>
    <row r="177" spans="2:41" x14ac:dyDescent="0.2">
      <c r="B177" s="21" t="s">
        <v>422</v>
      </c>
    </row>
    <row r="178" spans="2:41" x14ac:dyDescent="0.2">
      <c r="B178" s="2" t="s">
        <v>883</v>
      </c>
      <c r="F178" s="2" t="s">
        <v>100</v>
      </c>
      <c r="AG178" s="36"/>
      <c r="AH178" s="33">
        <f>(SUM(AH163:AH167)-AH108)*AH$16+(SUM(AH170:AH174)-AH109)</f>
        <v>0</v>
      </c>
      <c r="AI178" s="33">
        <f>(SUM(AI163:AI167)-AI108)*AI$16+(SUM(AI170:AI174)-AI109)</f>
        <v>0</v>
      </c>
      <c r="AJ178" s="33">
        <f>(SUM(AJ163:AJ167)-AJ108)*AJ$16+(SUM(AJ170:AJ174)-AJ109)</f>
        <v>0</v>
      </c>
      <c r="AK178" s="33">
        <f>(SUM(AK163:AK167)-AK108)*AK$16+(SUM(AK170:AK174)-AK109)</f>
        <v>12707844.42833972</v>
      </c>
      <c r="AL178" s="146">
        <f>(SUM(AL163:AL168)-AL108)*AL$16+(SUM(AL170:AL175)-AL109)</f>
        <v>18505996.128633618</v>
      </c>
      <c r="AO178" s="1"/>
    </row>
    <row r="180" spans="2:41" x14ac:dyDescent="0.2">
      <c r="B180" s="21" t="s">
        <v>562</v>
      </c>
    </row>
    <row r="181" spans="2:41" x14ac:dyDescent="0.2">
      <c r="B181" s="2" t="s">
        <v>884</v>
      </c>
      <c r="F181" s="2" t="s">
        <v>100</v>
      </c>
      <c r="AG181" s="36"/>
      <c r="AH181" s="36"/>
      <c r="AI181" s="36"/>
      <c r="AJ181" s="36"/>
      <c r="AK181" s="36"/>
      <c r="AL181" s="36"/>
      <c r="AM181" s="23" cm="1">
        <f t="array" ref="AM181">SUM(AH178:AL178*AH$25:AL$25)</f>
        <v>33281434.905907966</v>
      </c>
    </row>
    <row r="183" spans="2:41" s="7" customFormat="1" x14ac:dyDescent="0.2">
      <c r="B183" s="7" t="s">
        <v>559</v>
      </c>
    </row>
    <row r="185" spans="2:41" x14ac:dyDescent="0.2">
      <c r="B185" s="21" t="s">
        <v>879</v>
      </c>
    </row>
    <row r="186" spans="2:41" x14ac:dyDescent="0.2">
      <c r="B186" s="2" t="s">
        <v>878</v>
      </c>
      <c r="F186" s="2" t="s">
        <v>100</v>
      </c>
      <c r="AG186" s="36"/>
      <c r="AH186" s="33">
        <f>AH96-AH58</f>
        <v>220800.43000885472</v>
      </c>
      <c r="AI186" s="33">
        <f>AI96-AI58</f>
        <v>1818983.0190578904</v>
      </c>
      <c r="AJ186" s="33">
        <f>AJ96-AJ58</f>
        <v>4177680.1314340867</v>
      </c>
      <c r="AK186" s="33">
        <f>AK96-AK58</f>
        <v>4640314.5515520088</v>
      </c>
      <c r="AL186" s="33">
        <f>AL96-AL58</f>
        <v>5235342.9240807109</v>
      </c>
    </row>
    <row r="187" spans="2:41" x14ac:dyDescent="0.2">
      <c r="B187" s="2" t="s">
        <v>305</v>
      </c>
      <c r="F187" s="2" t="s">
        <v>100</v>
      </c>
      <c r="AG187" s="36"/>
      <c r="AH187" s="50"/>
      <c r="AI187" s="50"/>
      <c r="AJ187" s="50"/>
      <c r="AK187" s="50"/>
      <c r="AL187" s="50"/>
    </row>
    <row r="188" spans="2:41" x14ac:dyDescent="0.2">
      <c r="B188" s="2" t="s">
        <v>350</v>
      </c>
      <c r="F188" s="2" t="s">
        <v>100</v>
      </c>
      <c r="AG188" s="36"/>
      <c r="AH188" s="50"/>
      <c r="AI188" s="50"/>
      <c r="AJ188" s="50"/>
      <c r="AK188" s="50"/>
      <c r="AL188" s="50"/>
    </row>
    <row r="189" spans="2:41" x14ac:dyDescent="0.2">
      <c r="B189" s="2" t="s">
        <v>495</v>
      </c>
      <c r="F189" s="2" t="s">
        <v>100</v>
      </c>
      <c r="AG189" s="36"/>
      <c r="AH189" s="50"/>
      <c r="AI189" s="50"/>
      <c r="AJ189" s="50"/>
      <c r="AK189" s="50"/>
      <c r="AL189" s="50"/>
    </row>
    <row r="190" spans="2:41" x14ac:dyDescent="0.2">
      <c r="B190" s="2" t="s">
        <v>674</v>
      </c>
      <c r="F190" s="2" t="s">
        <v>100</v>
      </c>
      <c r="AG190" s="36"/>
      <c r="AH190" s="50"/>
      <c r="AI190" s="50"/>
      <c r="AJ190" s="50"/>
      <c r="AK190" s="50"/>
      <c r="AL190" s="50"/>
    </row>
    <row r="191" spans="2:41" x14ac:dyDescent="0.2">
      <c r="B191" s="2" t="s">
        <v>877</v>
      </c>
      <c r="F191" s="2" t="s">
        <v>100</v>
      </c>
      <c r="AG191" s="36"/>
      <c r="AH191" s="50"/>
      <c r="AI191" s="50"/>
      <c r="AJ191" s="50"/>
      <c r="AK191" s="33">
        <f>AK101-AK63</f>
        <v>128.60606186864607</v>
      </c>
      <c r="AL191" s="33">
        <f>AL101-AL63</f>
        <v>190384.21579995475</v>
      </c>
    </row>
    <row r="193" spans="1:41" x14ac:dyDescent="0.2">
      <c r="B193" s="21" t="s">
        <v>541</v>
      </c>
    </row>
    <row r="194" spans="1:41" x14ac:dyDescent="0.2">
      <c r="B194" s="2" t="s">
        <v>880</v>
      </c>
      <c r="F194" s="2" t="s">
        <v>100</v>
      </c>
      <c r="AG194" s="36"/>
      <c r="AH194" s="33">
        <f>(SUM(AH186:AH190)-AH112)</f>
        <v>0</v>
      </c>
      <c r="AI194" s="33">
        <f>(SUM(AI186:AI190)-AI112)</f>
        <v>0</v>
      </c>
      <c r="AJ194" s="33">
        <f>(SUM(AJ186:AJ190)-AJ112)</f>
        <v>0</v>
      </c>
      <c r="AK194" s="33">
        <f>(SUM(AK186:AK190)-AK112)</f>
        <v>507790.39278299734</v>
      </c>
      <c r="AL194" s="33">
        <f>(SUM(AL186:AL190)-AL112)</f>
        <v>1149427.0364144035</v>
      </c>
      <c r="AO194" s="1"/>
    </row>
    <row r="196" spans="1:41" x14ac:dyDescent="0.2">
      <c r="B196" s="21" t="s">
        <v>563</v>
      </c>
    </row>
    <row r="197" spans="1:41" x14ac:dyDescent="0.2">
      <c r="A197" s="159" t="s">
        <v>1292</v>
      </c>
      <c r="B197" s="2" t="s">
        <v>1293</v>
      </c>
      <c r="F197" s="2" t="s">
        <v>100</v>
      </c>
      <c r="AG197" s="36"/>
      <c r="AH197" s="36"/>
      <c r="AI197" s="36"/>
      <c r="AJ197" s="36"/>
      <c r="AK197" s="36"/>
      <c r="AL197" s="36"/>
      <c r="AM197" s="23" cm="1">
        <f t="array" ref="AM197">SUM(AH194:AL194*AH$25:AL$25)</f>
        <v>1758278.8656406971</v>
      </c>
    </row>
  </sheetData>
  <dataConsolidate/>
  <mergeCells count="2">
    <mergeCell ref="B5:E5"/>
    <mergeCell ref="B8:E8"/>
  </mergeCells>
  <phoneticPr fontId="30" type="noConversion"/>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B8BBB-6F73-4243-AF42-B6E2869F7779}">
  <sheetPr>
    <tabColor rgb="FFFFFFCC"/>
  </sheetPr>
  <dimension ref="A2:AO93"/>
  <sheetViews>
    <sheetView showGridLines="0" zoomScale="85" zoomScaleNormal="85" workbookViewId="0">
      <pane xSplit="6" ySplit="11" topLeftCell="G51" activePane="bottomRight" state="frozen"/>
      <selection activeCell="P579" sqref="P579"/>
      <selection pane="topRight" activeCell="P579" sqref="P579"/>
      <selection pane="bottomLeft" activeCell="P579" sqref="P579"/>
      <selection pane="bottomRight"/>
    </sheetView>
  </sheetViews>
  <sheetFormatPr defaultColWidth="9.140625" defaultRowHeight="12.75" outlineLevelCol="1" x14ac:dyDescent="0.2"/>
  <cols>
    <col min="1" max="1" width="5.7109375" style="2" customWidth="1"/>
    <col min="2" max="2" width="117.7109375" style="2" customWidth="1"/>
    <col min="3" max="5" width="5.7109375" style="2" customWidth="1"/>
    <col min="6" max="6" width="13.7109375" style="2" customWidth="1"/>
    <col min="7" max="7" width="2.7109375" style="2" customWidth="1"/>
    <col min="8" max="8" width="13.7109375" style="2" customWidth="1"/>
    <col min="9" max="9" width="2.7109375" style="2" customWidth="1"/>
    <col min="10" max="10" width="13.7109375" style="2" customWidth="1"/>
    <col min="11" max="11" width="2.7109375" style="2" customWidth="1"/>
    <col min="12" max="29" width="12.5703125" style="2" hidden="1" customWidth="1" outlineLevel="1"/>
    <col min="30" max="30" width="12.5703125" style="2" customWidth="1" collapsed="1"/>
    <col min="31" max="39" width="12.5703125" style="2" customWidth="1"/>
    <col min="40" max="40" width="2.7109375" style="2" customWidth="1"/>
    <col min="41" max="41" width="30.7109375" style="2" customWidth="1"/>
    <col min="42" max="55" width="13.7109375" style="2" customWidth="1"/>
    <col min="56" max="16384" width="9.140625" style="2"/>
  </cols>
  <sheetData>
    <row r="2" spans="1:41" s="13" customFormat="1" ht="18" x14ac:dyDescent="0.2">
      <c r="A2" s="6"/>
      <c r="B2" s="13" t="s">
        <v>1297</v>
      </c>
    </row>
    <row r="4" spans="1:41" x14ac:dyDescent="0.2">
      <c r="B4" s="21" t="s">
        <v>52</v>
      </c>
      <c r="C4" s="1"/>
      <c r="D4" s="1"/>
    </row>
    <row r="5" spans="1:41" ht="65.25" customHeight="1" x14ac:dyDescent="0.2">
      <c r="B5" s="163" t="s">
        <v>685</v>
      </c>
      <c r="C5" s="163"/>
      <c r="D5" s="163"/>
      <c r="E5" s="163"/>
      <c r="H5" s="14"/>
    </row>
    <row r="6" spans="1:41" ht="12.75" customHeight="1" x14ac:dyDescent="0.2">
      <c r="B6" s="87"/>
      <c r="C6" s="87"/>
      <c r="D6" s="87"/>
      <c r="E6" s="87"/>
      <c r="H6" s="14"/>
    </row>
    <row r="7" spans="1:41" ht="12.75" customHeight="1" x14ac:dyDescent="0.2">
      <c r="B7" s="22" t="s">
        <v>27</v>
      </c>
      <c r="C7" s="87"/>
      <c r="D7" s="87"/>
      <c r="E7" s="87"/>
      <c r="H7" s="14"/>
    </row>
    <row r="8" spans="1:41" ht="36.950000000000003" customHeight="1" x14ac:dyDescent="0.2">
      <c r="B8" s="171" t="s">
        <v>1296</v>
      </c>
      <c r="C8" s="163"/>
      <c r="D8" s="163"/>
      <c r="E8" s="163"/>
      <c r="H8" s="14"/>
    </row>
    <row r="9" spans="1:41" ht="12.75" customHeight="1" x14ac:dyDescent="0.2">
      <c r="B9" s="87"/>
      <c r="C9" s="87"/>
      <c r="D9" s="87"/>
      <c r="E9" s="87"/>
      <c r="H9" s="14"/>
    </row>
    <row r="10" spans="1:41" s="7" customFormat="1" x14ac:dyDescent="0.2">
      <c r="B10" s="7" t="s">
        <v>42</v>
      </c>
      <c r="F10" s="7" t="s">
        <v>24</v>
      </c>
      <c r="H10" s="7" t="s">
        <v>25</v>
      </c>
      <c r="J10" s="7" t="s">
        <v>46</v>
      </c>
      <c r="L10" s="54">
        <v>2000</v>
      </c>
      <c r="M10" s="54">
        <v>2001</v>
      </c>
      <c r="N10" s="54">
        <v>2002</v>
      </c>
      <c r="O10" s="54">
        <v>2003</v>
      </c>
      <c r="P10" s="54">
        <v>2004</v>
      </c>
      <c r="Q10" s="54">
        <v>2005</v>
      </c>
      <c r="R10" s="54">
        <v>2006</v>
      </c>
      <c r="S10" s="54">
        <v>2007</v>
      </c>
      <c r="T10" s="54">
        <v>2008</v>
      </c>
      <c r="U10" s="54">
        <v>2009</v>
      </c>
      <c r="V10" s="54">
        <v>2010</v>
      </c>
      <c r="W10" s="54">
        <v>2011</v>
      </c>
      <c r="X10" s="54">
        <v>2012</v>
      </c>
      <c r="Y10" s="54">
        <v>2013</v>
      </c>
      <c r="Z10" s="54">
        <v>2014</v>
      </c>
      <c r="AA10" s="54">
        <v>2015</v>
      </c>
      <c r="AB10" s="54">
        <v>2016</v>
      </c>
      <c r="AC10" s="54">
        <v>2017</v>
      </c>
      <c r="AD10" s="54">
        <v>2018</v>
      </c>
      <c r="AE10" s="54">
        <v>2019</v>
      </c>
      <c r="AF10" s="54">
        <v>2020</v>
      </c>
      <c r="AG10" s="54">
        <v>2021</v>
      </c>
      <c r="AH10" s="54">
        <v>2022</v>
      </c>
      <c r="AI10" s="54">
        <v>2023</v>
      </c>
      <c r="AJ10" s="54">
        <v>2024</v>
      </c>
      <c r="AK10" s="54">
        <v>2025</v>
      </c>
      <c r="AL10" s="54">
        <v>2026</v>
      </c>
      <c r="AM10" s="54">
        <v>2027</v>
      </c>
      <c r="AO10" s="7" t="s">
        <v>44</v>
      </c>
    </row>
    <row r="13" spans="1:41" s="7" customFormat="1" x14ac:dyDescent="0.2">
      <c r="B13" s="7" t="s">
        <v>45</v>
      </c>
    </row>
    <row r="15" spans="1:41" x14ac:dyDescent="0.2">
      <c r="B15" s="21" t="s">
        <v>296</v>
      </c>
    </row>
    <row r="16" spans="1:41" x14ac:dyDescent="0.2">
      <c r="B16" s="2" t="s">
        <v>272</v>
      </c>
      <c r="F16" s="2" t="s">
        <v>112</v>
      </c>
      <c r="AG16" s="36"/>
      <c r="AH16" s="63">
        <f>'9. Parameters'!AH38</f>
        <v>1</v>
      </c>
      <c r="AI16" s="63">
        <f>'9. Parameters'!AI38</f>
        <v>1</v>
      </c>
      <c r="AJ16" s="63">
        <f>'9. Parameters'!AJ38</f>
        <v>1</v>
      </c>
      <c r="AK16" s="63">
        <f>'9. Parameters'!AK38</f>
        <v>1</v>
      </c>
      <c r="AL16" s="63">
        <f>'9. Parameters'!AL38</f>
        <v>1</v>
      </c>
    </row>
    <row r="18" spans="2:38" x14ac:dyDescent="0.2">
      <c r="B18" s="21" t="s">
        <v>116</v>
      </c>
    </row>
    <row r="19" spans="2:38" x14ac:dyDescent="0.2">
      <c r="B19" s="2" t="s">
        <v>863</v>
      </c>
      <c r="F19" s="2" t="s">
        <v>143</v>
      </c>
      <c r="AG19" s="36"/>
      <c r="AH19" s="80">
        <f>'16. Berekening parameters'!AM87</f>
        <v>1.2817027612575491</v>
      </c>
      <c r="AI19" s="80">
        <f>'16. Berekening parameters'!AM88</f>
        <v>1.2444302639973495</v>
      </c>
      <c r="AJ19" s="80">
        <f>'16. Berekening parameters'!AM89</f>
        <v>1.1684919988429534</v>
      </c>
      <c r="AK19" s="80">
        <f>'16. Berekening parameters'!AM90</f>
        <v>1.0971876776559242</v>
      </c>
      <c r="AL19" s="80">
        <f>'16. Berekening parameters'!AM91</f>
        <v>1.0449880382090506</v>
      </c>
    </row>
    <row r="21" spans="2:38" x14ac:dyDescent="0.2">
      <c r="B21" s="21" t="s">
        <v>306</v>
      </c>
    </row>
    <row r="22" spans="2:38" x14ac:dyDescent="0.2">
      <c r="B22" s="2" t="s">
        <v>307</v>
      </c>
      <c r="F22" s="2" t="s">
        <v>100</v>
      </c>
      <c r="AG22" s="36"/>
      <c r="AH22" s="32">
        <f>'10. Brondata'!AH165</f>
        <v>130096424.85830367</v>
      </c>
      <c r="AI22" s="32">
        <f>'10. Brondata'!AI165</f>
        <v>127275794.97377396</v>
      </c>
      <c r="AJ22" s="32">
        <f>'10. Brondata'!AJ165</f>
        <v>132394116.17682648</v>
      </c>
      <c r="AK22" s="32">
        <f>'10. Brondata'!AK165</f>
        <v>130344951.28677697</v>
      </c>
      <c r="AL22" s="32">
        <f>'10. Brondata'!AL165</f>
        <v>80916547.634960175</v>
      </c>
    </row>
    <row r="23" spans="2:38" x14ac:dyDescent="0.2">
      <c r="B23" s="2" t="s">
        <v>309</v>
      </c>
      <c r="F23" s="2" t="s">
        <v>100</v>
      </c>
      <c r="AG23" s="36"/>
      <c r="AH23" s="32">
        <f>'10. Brondata'!AH166</f>
        <v>3747209.3067319402</v>
      </c>
      <c r="AI23" s="32">
        <f>'10. Brondata'!AI166</f>
        <v>3795585.7788818474</v>
      </c>
      <c r="AJ23" s="32">
        <f>'10. Brondata'!AJ166</f>
        <v>3844586.7912872289</v>
      </c>
      <c r="AK23" s="32">
        <f>'10. Brondata'!AK166</f>
        <v>3894220.4067627741</v>
      </c>
      <c r="AL23" s="32">
        <f>'10. Brondata'!AL166</f>
        <v>3944494.792214077</v>
      </c>
    </row>
    <row r="25" spans="2:38" x14ac:dyDescent="0.2">
      <c r="B25" s="2" t="s">
        <v>308</v>
      </c>
      <c r="F25" s="2" t="s">
        <v>100</v>
      </c>
      <c r="AG25" s="36"/>
      <c r="AH25" s="32">
        <f>'10. Brondata'!AH168</f>
        <v>14941354.730572596</v>
      </c>
      <c r="AI25" s="32">
        <f>'10. Brondata'!AI168</f>
        <v>14491229.909132661</v>
      </c>
      <c r="AJ25" s="32">
        <f>'10. Brondata'!AJ168</f>
        <v>15878464.320671745</v>
      </c>
      <c r="AK25" s="32">
        <f>'10. Brondata'!AK168</f>
        <v>15610570.819187013</v>
      </c>
      <c r="AL25" s="32">
        <f>'10. Brondata'!AL168</f>
        <v>13597341.662307024</v>
      </c>
    </row>
    <row r="26" spans="2:38" x14ac:dyDescent="0.2">
      <c r="B26" s="2" t="s">
        <v>314</v>
      </c>
      <c r="F26" s="2" t="s">
        <v>100</v>
      </c>
      <c r="AG26" s="36"/>
      <c r="AH26" s="32">
        <f>'10. Brondata'!AH169</f>
        <v>14599589.943444706</v>
      </c>
      <c r="AI26" s="32">
        <f>'10. Brondata'!AI169</f>
        <v>14275013.401053913</v>
      </c>
      <c r="AJ26" s="32">
        <f>'10. Brondata'!AJ169</f>
        <v>15127323.646031445</v>
      </c>
      <c r="AK26" s="32">
        <f>'10. Brondata'!AK169</f>
        <v>14081070.880130926</v>
      </c>
      <c r="AL26" s="32">
        <f>'10. Brondata'!AL169</f>
        <v>14001460.633202594</v>
      </c>
    </row>
    <row r="27" spans="2:38" x14ac:dyDescent="0.2">
      <c r="B27" s="2" t="s">
        <v>310</v>
      </c>
      <c r="F27" s="2" t="s">
        <v>100</v>
      </c>
      <c r="AG27" s="36"/>
      <c r="AH27" s="32">
        <f>'10. Brondata'!AH170</f>
        <v>722098.66839066311</v>
      </c>
      <c r="AI27" s="32">
        <f>'10. Brondata'!AI170</f>
        <v>731420.96219958866</v>
      </c>
      <c r="AJ27" s="32">
        <f>'10. Brondata'!AJ170</f>
        <v>740863.60682158277</v>
      </c>
      <c r="AK27" s="32">
        <f>'10. Brondata'!AK170</f>
        <v>750428.15598565165</v>
      </c>
      <c r="AL27" s="32">
        <f>'10. Brondata'!AL170</f>
        <v>760116.18347942841</v>
      </c>
    </row>
    <row r="28" spans="2:38" x14ac:dyDescent="0.2">
      <c r="B28" s="2" t="s">
        <v>443</v>
      </c>
      <c r="F28" s="2" t="s">
        <v>100</v>
      </c>
      <c r="AG28" s="36"/>
      <c r="AH28" s="32">
        <f>'10. Brondata'!AH171</f>
        <v>7623760.6926725404</v>
      </c>
      <c r="AI28" s="32">
        <f>'10. Brondata'!AI171</f>
        <v>7722183.4432149418</v>
      </c>
      <c r="AJ28" s="32">
        <f>'10. Brondata'!AJ171</f>
        <v>7821876.831466848</v>
      </c>
      <c r="AK28" s="32">
        <f>'10. Brondata'!AK171</f>
        <v>7922857.2613610839</v>
      </c>
      <c r="AL28" s="32">
        <f>'10. Brondata'!AL171</f>
        <v>8025141.3486052575</v>
      </c>
    </row>
    <row r="30" spans="2:38" x14ac:dyDescent="0.2">
      <c r="B30" s="21" t="s">
        <v>311</v>
      </c>
    </row>
    <row r="31" spans="2:38" x14ac:dyDescent="0.2">
      <c r="B31" s="2" t="s">
        <v>312</v>
      </c>
      <c r="F31" s="2" t="s">
        <v>100</v>
      </c>
      <c r="AG31" s="36"/>
      <c r="AH31" s="32">
        <f>'10. Brondata'!AH174</f>
        <v>151853273.96324196</v>
      </c>
      <c r="AI31" s="32">
        <f>'10. Brondata'!AI174</f>
        <v>148335116.20805213</v>
      </c>
      <c r="AJ31" s="32">
        <f>'10. Brondata'!AJ174</f>
        <v>150541550.67350081</v>
      </c>
      <c r="AK31" s="32">
        <f>'10. Brondata'!AK174</f>
        <v>132776178.61797217</v>
      </c>
      <c r="AL31" s="32">
        <f>'10. Brondata'!AL174</f>
        <v>124187907.68161741</v>
      </c>
    </row>
    <row r="32" spans="2:38" x14ac:dyDescent="0.2">
      <c r="B32" s="2" t="s">
        <v>309</v>
      </c>
      <c r="F32" s="2" t="s">
        <v>100</v>
      </c>
      <c r="AG32" s="36"/>
      <c r="AH32" s="32">
        <f>'10. Brondata'!AH175</f>
        <v>3553684.1511291475</v>
      </c>
      <c r="AI32" s="32">
        <f>'10. Brondata'!AI175</f>
        <v>3599562.2135202391</v>
      </c>
      <c r="AJ32" s="32">
        <f>'10. Brondata'!AJ175</f>
        <v>3521692.4390854407</v>
      </c>
      <c r="AK32" s="32">
        <f>'10. Brondata'!AK175</f>
        <v>3438682.4556371868</v>
      </c>
      <c r="AL32" s="32">
        <f>'10. Brondata'!AL175</f>
        <v>3483075.8461394878</v>
      </c>
    </row>
    <row r="34" spans="2:38" x14ac:dyDescent="0.2">
      <c r="B34" s="2" t="s">
        <v>313</v>
      </c>
      <c r="F34" s="2" t="s">
        <v>100</v>
      </c>
      <c r="AG34" s="36"/>
      <c r="AH34" s="32">
        <f>'10. Brondata'!AH177</f>
        <v>16638342.748567261</v>
      </c>
      <c r="AI34" s="32">
        <f>'10. Brondata'!AI177</f>
        <v>15976504.403330002</v>
      </c>
      <c r="AJ34" s="32">
        <f>'10. Brondata'!AJ177</f>
        <v>16461767.817324352</v>
      </c>
      <c r="AK34" s="32">
        <f>'10. Brondata'!AK177</f>
        <v>14837936.09731685</v>
      </c>
      <c r="AL34" s="32">
        <f>'10. Brondata'!AL177</f>
        <v>12817611.984455217</v>
      </c>
    </row>
    <row r="35" spans="2:38" x14ac:dyDescent="0.2">
      <c r="B35" s="2" t="s">
        <v>310</v>
      </c>
      <c r="F35" s="2" t="s">
        <v>100</v>
      </c>
      <c r="AG35" s="36"/>
      <c r="AH35" s="32">
        <f>'10. Brondata'!AH178</f>
        <v>530428.99353333469</v>
      </c>
      <c r="AI35" s="32">
        <f>'10. Brondata'!AI178</f>
        <v>537276.83183985064</v>
      </c>
      <c r="AJ35" s="32">
        <f>'10. Brondata'!AJ178</f>
        <v>537685.09081829363</v>
      </c>
      <c r="AK35" s="32">
        <f>'10. Brondata'!AK178</f>
        <v>537881.53336060641</v>
      </c>
      <c r="AL35" s="32">
        <f>'10. Brondata'!AL178</f>
        <v>544825.58395629306</v>
      </c>
    </row>
    <row r="36" spans="2:38" x14ac:dyDescent="0.2">
      <c r="B36" s="21"/>
    </row>
    <row r="37" spans="2:38" x14ac:dyDescent="0.2">
      <c r="B37" s="21" t="s">
        <v>327</v>
      </c>
    </row>
    <row r="38" spans="2:38" x14ac:dyDescent="0.2">
      <c r="B38" s="2" t="s">
        <v>789</v>
      </c>
      <c r="F38" s="2" t="s">
        <v>100</v>
      </c>
      <c r="AG38" s="36"/>
      <c r="AH38" s="32">
        <f>'10. Brondata'!AH181</f>
        <v>129690245.3296269</v>
      </c>
      <c r="AI38" s="32">
        <f>'10. Brondata'!AI181</f>
        <v>126879490.10912852</v>
      </c>
      <c r="AJ38" s="32">
        <f>'10. Brondata'!AJ181</f>
        <v>131954353.53005931</v>
      </c>
      <c r="AK38" s="32">
        <f>'10. Brondata'!AK181</f>
        <v>129906646.23087665</v>
      </c>
      <c r="AL38" s="32">
        <f>'10. Brondata'!AL181</f>
        <v>80479883.343995303</v>
      </c>
    </row>
    <row r="39" spans="2:38" x14ac:dyDescent="0.2">
      <c r="B39" s="2" t="s">
        <v>790</v>
      </c>
      <c r="F39" s="2" t="s">
        <v>100</v>
      </c>
      <c r="AG39" s="36"/>
      <c r="AH39" s="32">
        <f>'10. Brondata'!AH182</f>
        <v>3699863.7755172513</v>
      </c>
      <c r="AI39" s="32">
        <f>'10. Brondata'!AI182</f>
        <v>3747629.0168591873</v>
      </c>
      <c r="AJ39" s="32">
        <f>'10. Brondata'!AJ182</f>
        <v>3796010.9074668367</v>
      </c>
      <c r="AK39" s="32">
        <f>'10. Brondata'!AK182</f>
        <v>3845017.4082822604</v>
      </c>
      <c r="AL39" s="32">
        <f>'10. Brondata'!AL182</f>
        <v>3894656.5830232096</v>
      </c>
    </row>
    <row r="41" spans="2:38" x14ac:dyDescent="0.2">
      <c r="B41" s="2" t="s">
        <v>791</v>
      </c>
      <c r="F41" s="2" t="s">
        <v>100</v>
      </c>
      <c r="AG41" s="36"/>
      <c r="AH41" s="32">
        <f>'10. Brondata'!AH184</f>
        <v>15103302.16178361</v>
      </c>
      <c r="AI41" s="32">
        <f>'10. Brondata'!AI184</f>
        <v>14648641.853760596</v>
      </c>
      <c r="AJ41" s="32">
        <f>'10. Brondata'!AJ184</f>
        <v>16061003.572326841</v>
      </c>
      <c r="AK41" s="32">
        <f>'10. Brondata'!AK184</f>
        <v>15793507.516121436</v>
      </c>
      <c r="AL41" s="32">
        <f>'10. Brondata'!AL184</f>
        <v>13780668.17285642</v>
      </c>
    </row>
    <row r="42" spans="2:38" x14ac:dyDescent="0.2">
      <c r="B42" s="2" t="s">
        <v>792</v>
      </c>
      <c r="F42" s="2" t="s">
        <v>100</v>
      </c>
      <c r="AG42" s="36"/>
      <c r="AH42" s="32">
        <f>'10. Brondata'!AH185</f>
        <v>14453057.158458117</v>
      </c>
      <c r="AI42" s="32">
        <f>'10. Brondata'!AI185</f>
        <v>14131385.238467269</v>
      </c>
      <c r="AJ42" s="32">
        <f>'10. Brondata'!AJ185</f>
        <v>14990441.0744491</v>
      </c>
      <c r="AK42" s="32">
        <f>'10. Brondata'!AK185</f>
        <v>13987432.90011636</v>
      </c>
      <c r="AL42" s="32">
        <f>'10. Brondata'!AL185</f>
        <v>13908340.045152664</v>
      </c>
    </row>
    <row r="43" spans="2:38" x14ac:dyDescent="0.2">
      <c r="B43" s="2" t="s">
        <v>793</v>
      </c>
      <c r="F43" s="2" t="s">
        <v>100</v>
      </c>
      <c r="AG43" s="36"/>
      <c r="AH43" s="32">
        <f>'10. Brondata'!AH186</f>
        <v>747105.95510706434</v>
      </c>
      <c r="AI43" s="32">
        <f>'10. Brondata'!AI186</f>
        <v>756751.09298749792</v>
      </c>
      <c r="AJ43" s="32">
        <f>'10. Brondata'!AJ186</f>
        <v>766520.74959796353</v>
      </c>
      <c r="AK43" s="32">
        <f>'10. Brondata'!AK186</f>
        <v>776416.53247527615</v>
      </c>
      <c r="AL43" s="32">
        <f>'10. Brondata'!AL186</f>
        <v>786440.0699095329</v>
      </c>
    </row>
    <row r="44" spans="2:38" x14ac:dyDescent="0.2">
      <c r="B44" s="2" t="s">
        <v>794</v>
      </c>
      <c r="F44" s="2" t="s">
        <v>100</v>
      </c>
      <c r="AG44" s="36"/>
      <c r="AH44" s="32">
        <f>'10. Brondata'!AH187</f>
        <v>7563385.1799570126</v>
      </c>
      <c r="AI44" s="32">
        <f>'10. Brondata'!AI187</f>
        <v>7661028.4826302566</v>
      </c>
      <c r="AJ44" s="32">
        <f>'10. Brondata'!AJ187</f>
        <v>7759932.3603410143</v>
      </c>
      <c r="AK44" s="32">
        <f>'10. Brondata'!AK187</f>
        <v>7860113.0871130163</v>
      </c>
      <c r="AL44" s="32">
        <f>'10. Brondata'!AL187</f>
        <v>7961587.1470676465</v>
      </c>
    </row>
    <row r="46" spans="2:38" x14ac:dyDescent="0.2">
      <c r="B46" s="21" t="s">
        <v>328</v>
      </c>
    </row>
    <row r="47" spans="2:38" x14ac:dyDescent="0.2">
      <c r="B47" s="2" t="s">
        <v>795</v>
      </c>
      <c r="F47" s="2" t="s">
        <v>100</v>
      </c>
      <c r="AG47" s="36"/>
      <c r="AH47" s="32">
        <f>'10. Brondata'!AH190</f>
        <v>151754106.4622221</v>
      </c>
      <c r="AI47" s="32">
        <f>'10. Brondata'!AI190</f>
        <v>148238519.87218788</v>
      </c>
      <c r="AJ47" s="32">
        <f>'10. Brondata'!AJ190</f>
        <v>150432254.64648551</v>
      </c>
      <c r="AK47" s="32">
        <f>'10. Brondata'!AK190</f>
        <v>132666976.30231483</v>
      </c>
      <c r="AL47" s="32">
        <f>'10. Brondata'!AL190</f>
        <v>124078809.61710066</v>
      </c>
    </row>
    <row r="48" spans="2:38" x14ac:dyDescent="0.2">
      <c r="B48" s="2" t="s">
        <v>790</v>
      </c>
      <c r="F48" s="2" t="s">
        <v>100</v>
      </c>
      <c r="AG48" s="36"/>
      <c r="AH48" s="32">
        <f>'10. Brondata'!AH191</f>
        <v>3553684.1511291475</v>
      </c>
      <c r="AI48" s="32">
        <f>'10. Brondata'!AI191</f>
        <v>3599562.2135202438</v>
      </c>
      <c r="AJ48" s="32">
        <f>'10. Brondata'!AJ191</f>
        <v>3521692.4390854407</v>
      </c>
      <c r="AK48" s="32">
        <f>'10. Brondata'!AK191</f>
        <v>3438682.4556371821</v>
      </c>
      <c r="AL48" s="32">
        <f>'10. Brondata'!AL191</f>
        <v>3483075.8461394878</v>
      </c>
    </row>
    <row r="50" spans="2:38" x14ac:dyDescent="0.2">
      <c r="B50" s="2" t="s">
        <v>796</v>
      </c>
      <c r="F50" s="2" t="s">
        <v>100</v>
      </c>
      <c r="AG50" s="36"/>
      <c r="AH50" s="32">
        <f>'10. Brondata'!AH193</f>
        <v>16856800.863147549</v>
      </c>
      <c r="AI50" s="32">
        <f>'10. Brondata'!AI193</f>
        <v>16189987.801398404</v>
      </c>
      <c r="AJ50" s="32">
        <f>'10. Brondata'!AJ193</f>
        <v>16694241.232195009</v>
      </c>
      <c r="AK50" s="32">
        <f>'10. Brondata'!AK193</f>
        <v>15069075.670199942</v>
      </c>
      <c r="AL50" s="32">
        <f>'10. Brondata'!AL193</f>
        <v>13047374.875848364</v>
      </c>
    </row>
    <row r="51" spans="2:38" x14ac:dyDescent="0.2">
      <c r="B51" s="2" t="s">
        <v>793</v>
      </c>
      <c r="F51" s="2" t="s">
        <v>100</v>
      </c>
      <c r="AG51" s="36"/>
      <c r="AH51" s="32">
        <f>'10. Brondata'!AH194</f>
        <v>530428.99353333469</v>
      </c>
      <c r="AI51" s="32">
        <f>'10. Brondata'!AI194</f>
        <v>537276.83183985006</v>
      </c>
      <c r="AJ51" s="32">
        <f>'10. Brondata'!AJ194</f>
        <v>537685.09081829421</v>
      </c>
      <c r="AK51" s="32">
        <f>'10. Brondata'!AK194</f>
        <v>1317135.6082668228</v>
      </c>
      <c r="AL51" s="32">
        <f>'10. Brondata'!AL194</f>
        <v>1334139.8289695482</v>
      </c>
    </row>
    <row r="53" spans="2:38" x14ac:dyDescent="0.2">
      <c r="B53" s="21" t="s">
        <v>555</v>
      </c>
    </row>
    <row r="54" spans="2:38" x14ac:dyDescent="0.2">
      <c r="B54" s="2" t="s">
        <v>806</v>
      </c>
      <c r="F54" s="2" t="s">
        <v>100</v>
      </c>
      <c r="AG54" s="36"/>
      <c r="AH54" s="32">
        <f>'10. Brondata'!AH197</f>
        <v>-509211.95628190041</v>
      </c>
      <c r="AI54" s="32">
        <f>'10. Brondata'!AI197</f>
        <v>-501427.80824404955</v>
      </c>
      <c r="AJ54" s="32">
        <f>'10. Brondata'!AJ197</f>
        <v>-516299.61912545562</v>
      </c>
      <c r="AK54" s="32">
        <f>'10. Brondata'!AK197</f>
        <v>-472094.43417552114</v>
      </c>
      <c r="AL54" s="50"/>
    </row>
    <row r="55" spans="2:38" x14ac:dyDescent="0.2">
      <c r="B55" s="2" t="s">
        <v>808</v>
      </c>
      <c r="F55" s="2" t="s">
        <v>100</v>
      </c>
      <c r="AG55" s="36"/>
      <c r="AH55" s="32">
        <f>'10. Brondata'!AH198</f>
        <v>35733.316615746007</v>
      </c>
      <c r="AI55" s="32">
        <f>'10. Brondata'!AI198</f>
        <v>35125.133820467861</v>
      </c>
      <c r="AJ55" s="32">
        <f>'10. Brondata'!AJ198</f>
        <v>37330.440261192154</v>
      </c>
      <c r="AK55" s="32">
        <f>'10. Brondata'!AK198</f>
        <v>37129.298956100014</v>
      </c>
      <c r="AL55" s="32">
        <f>'10. Brondata'!AL198</f>
        <v>-433526.8927637788</v>
      </c>
    </row>
    <row r="56" spans="2:38" x14ac:dyDescent="0.2">
      <c r="B56" s="2" t="s">
        <v>885</v>
      </c>
      <c r="F56" s="2" t="s">
        <v>100</v>
      </c>
      <c r="AG56" s="36"/>
      <c r="AH56" s="32">
        <f>'10. Brondata'!AH199</f>
        <v>119290.61356043816</v>
      </c>
      <c r="AI56" s="32">
        <f>'10. Brondata'!AI199</f>
        <v>116887.06220418215</v>
      </c>
      <c r="AJ56" s="32">
        <f>'10. Brondata'!AJ199</f>
        <v>123177.38785538077</v>
      </c>
      <c r="AK56" s="32">
        <f>'10. Brondata'!AK199</f>
        <v>121937.25722572207</v>
      </c>
      <c r="AL56" s="50"/>
    </row>
    <row r="57" spans="2:38" x14ac:dyDescent="0.2">
      <c r="B57" s="2" t="s">
        <v>809</v>
      </c>
      <c r="F57" s="2" t="s">
        <v>100</v>
      </c>
      <c r="AG57" s="36"/>
      <c r="AH57" s="32">
        <f>'10. Brondata'!AH200</f>
        <v>-1.4901161193847656E-8</v>
      </c>
      <c r="AI57" s="32">
        <f>'10. Brondata'!AI200</f>
        <v>-2.1420419216156006E-8</v>
      </c>
      <c r="AJ57" s="32">
        <f>'10. Brondata'!AJ200</f>
        <v>-2.2351741790771484E-8</v>
      </c>
      <c r="AK57" s="32">
        <f>'10. Brondata'!AK200</f>
        <v>3.2596290111541748E-8</v>
      </c>
      <c r="AL57" s="32">
        <f>'10. Brondata'!AL200</f>
        <v>120664.82687639445</v>
      </c>
    </row>
    <row r="59" spans="2:38" s="7" customFormat="1" x14ac:dyDescent="0.2">
      <c r="B59" s="7" t="s">
        <v>571</v>
      </c>
    </row>
    <row r="61" spans="2:38" x14ac:dyDescent="0.2">
      <c r="B61" s="21" t="s">
        <v>886</v>
      </c>
    </row>
    <row r="62" spans="2:38" x14ac:dyDescent="0.2">
      <c r="B62" s="2" t="s">
        <v>887</v>
      </c>
      <c r="F62" s="2" t="s">
        <v>100</v>
      </c>
      <c r="AG62" s="36"/>
      <c r="AH62" s="33">
        <f>AH38-AH22</f>
        <v>-406179.52867676318</v>
      </c>
      <c r="AI62" s="33">
        <f t="shared" ref="AI62:AK68" si="0">AI38-AI22</f>
        <v>-396304.86464543641</v>
      </c>
      <c r="AJ62" s="33">
        <f t="shared" si="0"/>
        <v>-439762.64676716924</v>
      </c>
      <c r="AK62" s="33">
        <f t="shared" si="0"/>
        <v>-438305.05590032041</v>
      </c>
      <c r="AL62" s="33">
        <f t="shared" ref="AL62" si="1">AL38-AL22</f>
        <v>-436664.29096487164</v>
      </c>
    </row>
    <row r="63" spans="2:38" x14ac:dyDescent="0.2">
      <c r="B63" s="2" t="s">
        <v>888</v>
      </c>
      <c r="F63" s="2" t="s">
        <v>100</v>
      </c>
      <c r="AG63" s="36"/>
      <c r="AH63" s="33">
        <f>AH39-AH23</f>
        <v>-47345.531214688905</v>
      </c>
      <c r="AI63" s="33">
        <f t="shared" si="0"/>
        <v>-47956.762022660114</v>
      </c>
      <c r="AJ63" s="33">
        <f t="shared" si="0"/>
        <v>-48575.883820392191</v>
      </c>
      <c r="AK63" s="33">
        <f t="shared" si="0"/>
        <v>-49202.998480513692</v>
      </c>
      <c r="AL63" s="33">
        <f t="shared" ref="AL63" si="2">AL39-AL23</f>
        <v>-49838.209190867376</v>
      </c>
    </row>
    <row r="65" spans="1:39" x14ac:dyDescent="0.2">
      <c r="B65" s="2" t="s">
        <v>889</v>
      </c>
      <c r="F65" s="2" t="s">
        <v>100</v>
      </c>
      <c r="AG65" s="36"/>
      <c r="AH65" s="33">
        <f>AH41-AH25</f>
        <v>161947.43121101335</v>
      </c>
      <c r="AI65" s="33">
        <f>AI41-AI25</f>
        <v>157411.94462793507</v>
      </c>
      <c r="AJ65" s="33">
        <f t="shared" si="0"/>
        <v>182539.25165509619</v>
      </c>
      <c r="AK65" s="33">
        <f t="shared" si="0"/>
        <v>182936.69693442248</v>
      </c>
      <c r="AL65" s="33">
        <f t="shared" ref="AL65" si="3">AL41-AL25</f>
        <v>183326.51054939628</v>
      </c>
    </row>
    <row r="66" spans="1:39" x14ac:dyDescent="0.2">
      <c r="B66" s="2" t="s">
        <v>890</v>
      </c>
      <c r="F66" s="2" t="s">
        <v>100</v>
      </c>
      <c r="AG66" s="36"/>
      <c r="AH66" s="33">
        <f>AH42-AH26</f>
        <v>-146532.7849865891</v>
      </c>
      <c r="AI66" s="33">
        <f t="shared" si="0"/>
        <v>-143628.16258664429</v>
      </c>
      <c r="AJ66" s="33">
        <f t="shared" si="0"/>
        <v>-136882.57158234529</v>
      </c>
      <c r="AK66" s="33">
        <f t="shared" si="0"/>
        <v>-93637.980014566332</v>
      </c>
      <c r="AL66" s="33">
        <f t="shared" ref="AL66" si="4">AL42-AL26</f>
        <v>-93120.588049929589</v>
      </c>
    </row>
    <row r="67" spans="1:39" x14ac:dyDescent="0.2">
      <c r="B67" s="2" t="s">
        <v>891</v>
      </c>
      <c r="F67" s="2" t="s">
        <v>100</v>
      </c>
      <c r="AG67" s="36"/>
      <c r="AH67" s="33">
        <f>AH43-AH27</f>
        <v>25007.286716401228</v>
      </c>
      <c r="AI67" s="33">
        <f t="shared" si="0"/>
        <v>25330.130787909264</v>
      </c>
      <c r="AJ67" s="33">
        <f t="shared" si="0"/>
        <v>25657.142776380759</v>
      </c>
      <c r="AK67" s="33">
        <f t="shared" si="0"/>
        <v>25988.376489624497</v>
      </c>
      <c r="AL67" s="33">
        <f t="shared" ref="AL67" si="5">AL43-AL27</f>
        <v>26323.886430104496</v>
      </c>
    </row>
    <row r="68" spans="1:39" x14ac:dyDescent="0.2">
      <c r="B68" s="2" t="s">
        <v>892</v>
      </c>
      <c r="F68" s="2" t="s">
        <v>100</v>
      </c>
      <c r="AG68" s="36"/>
      <c r="AH68" s="33">
        <f>AH44-AH28</f>
        <v>-60375.512715527788</v>
      </c>
      <c r="AI68" s="33">
        <f t="shared" si="0"/>
        <v>-61154.960584685206</v>
      </c>
      <c r="AJ68" s="33">
        <f t="shared" si="0"/>
        <v>-61944.47112583369</v>
      </c>
      <c r="AK68" s="33">
        <f t="shared" si="0"/>
        <v>-62744.174248067662</v>
      </c>
      <c r="AL68" s="33">
        <f t="shared" ref="AL68" si="6">AL44-AL28</f>
        <v>-63554.201537610963</v>
      </c>
    </row>
    <row r="70" spans="1:39" x14ac:dyDescent="0.2">
      <c r="B70" s="2" t="s">
        <v>896</v>
      </c>
      <c r="F70" s="2" t="s">
        <v>100</v>
      </c>
      <c r="AG70" s="36"/>
      <c r="AH70" s="33" cm="1">
        <f t="array" ref="AH70">SUM(AH62:AH63*AH$16,AH65:AH68)</f>
        <v>-473478.6396661544</v>
      </c>
      <c r="AI70" s="33" cm="1">
        <f t="array" ref="AI70">SUM(AI62:AI63*AI$16,AI65:AI68)</f>
        <v>-466302.67442358169</v>
      </c>
      <c r="AJ70" s="33" cm="1">
        <f t="array" ref="AJ70">SUM(AJ62:AJ63*AJ$16,AJ65:AJ68)</f>
        <v>-478969.17886426346</v>
      </c>
      <c r="AK70" s="33" cm="1">
        <f t="array" ref="AK70">SUM(AK62:AK63*AK$16,AK65:AK68)</f>
        <v>-434965.13521942112</v>
      </c>
      <c r="AL70" s="33" cm="1">
        <f t="array" ref="AL70">SUM(AL62:AL63*AL$16,AL65:AL68)</f>
        <v>-433526.8927637788</v>
      </c>
    </row>
    <row r="72" spans="1:39" x14ac:dyDescent="0.2">
      <c r="B72" s="21" t="s">
        <v>893</v>
      </c>
    </row>
    <row r="73" spans="1:39" x14ac:dyDescent="0.2">
      <c r="B73" s="2" t="s">
        <v>894</v>
      </c>
      <c r="F73" s="2" t="s">
        <v>100</v>
      </c>
      <c r="AG73" s="36"/>
      <c r="AH73" s="33">
        <f>AH70-AH54-AH55</f>
        <v>0</v>
      </c>
      <c r="AI73" s="33">
        <f t="shared" ref="AI73:AL73" si="7">AI70-AI54-AI55</f>
        <v>0</v>
      </c>
      <c r="AJ73" s="33">
        <f t="shared" si="7"/>
        <v>0</v>
      </c>
      <c r="AK73" s="33">
        <f t="shared" si="7"/>
        <v>0</v>
      </c>
      <c r="AL73" s="33">
        <f t="shared" si="7"/>
        <v>0</v>
      </c>
    </row>
    <row r="75" spans="1:39" x14ac:dyDescent="0.2">
      <c r="B75" s="21" t="s">
        <v>895</v>
      </c>
    </row>
    <row r="76" spans="1:39" x14ac:dyDescent="0.2">
      <c r="A76" s="159" t="s">
        <v>1292</v>
      </c>
      <c r="B76" s="2" t="s">
        <v>1294</v>
      </c>
      <c r="F76" s="2" t="s">
        <v>100</v>
      </c>
      <c r="AG76" s="36"/>
      <c r="AH76" s="36"/>
      <c r="AI76" s="36"/>
      <c r="AJ76" s="36"/>
      <c r="AK76" s="36"/>
      <c r="AL76" s="36"/>
      <c r="AM76" s="23" cm="1">
        <f t="array" ref="AM76">SUM(AH73:AL73*AH$19:AL$19)</f>
        <v>0</v>
      </c>
    </row>
    <row r="78" spans="1:39" s="7" customFormat="1" x14ac:dyDescent="0.2">
      <c r="B78" s="7" t="s">
        <v>302</v>
      </c>
    </row>
    <row r="80" spans="1:39" x14ac:dyDescent="0.2">
      <c r="B80" s="21" t="s">
        <v>897</v>
      </c>
    </row>
    <row r="81" spans="1:39" x14ac:dyDescent="0.2">
      <c r="B81" s="2" t="s">
        <v>898</v>
      </c>
      <c r="F81" s="2" t="s">
        <v>100</v>
      </c>
      <c r="AG81" s="36"/>
      <c r="AH81" s="33">
        <f>AH47-AH31</f>
        <v>-99167.501019865274</v>
      </c>
      <c r="AI81" s="33">
        <f t="shared" ref="AI81:AK82" si="8">AI47-AI31</f>
        <v>-96596.335864245892</v>
      </c>
      <c r="AJ81" s="33">
        <f t="shared" si="8"/>
        <v>-109296.0270152986</v>
      </c>
      <c r="AK81" s="33">
        <f t="shared" si="8"/>
        <v>-109202.31565733254</v>
      </c>
      <c r="AL81" s="33">
        <f t="shared" ref="AL81" si="9">AL47-AL31</f>
        <v>-109098.06451675296</v>
      </c>
    </row>
    <row r="82" spans="1:39" x14ac:dyDescent="0.2">
      <c r="B82" s="2" t="s">
        <v>888</v>
      </c>
      <c r="F82" s="2" t="s">
        <v>100</v>
      </c>
      <c r="AG82" s="36"/>
      <c r="AH82" s="33">
        <f>AH48-AH32</f>
        <v>0</v>
      </c>
      <c r="AI82" s="33">
        <f t="shared" si="8"/>
        <v>4.6566128730773926E-9</v>
      </c>
      <c r="AJ82" s="33">
        <f t="shared" si="8"/>
        <v>0</v>
      </c>
      <c r="AK82" s="33">
        <f t="shared" si="8"/>
        <v>-4.6566128730773926E-9</v>
      </c>
      <c r="AL82" s="33">
        <f t="shared" ref="AL82" si="10">AL48-AL32</f>
        <v>0</v>
      </c>
    </row>
    <row r="84" spans="1:39" x14ac:dyDescent="0.2">
      <c r="B84" s="2" t="s">
        <v>899</v>
      </c>
      <c r="F84" s="2" t="s">
        <v>100</v>
      </c>
      <c r="AG84" s="36"/>
      <c r="AH84" s="33">
        <f>AH50-AH34</f>
        <v>218458.11458028853</v>
      </c>
      <c r="AI84" s="33">
        <f t="shared" ref="AI84:AK84" si="11">AI50-AI34</f>
        <v>213483.39806840196</v>
      </c>
      <c r="AJ84" s="33">
        <f t="shared" si="11"/>
        <v>232473.41487065703</v>
      </c>
      <c r="AK84" s="33">
        <f t="shared" si="11"/>
        <v>231139.57288309187</v>
      </c>
      <c r="AL84" s="33">
        <f t="shared" ref="AL84" si="12">AL50-AL34</f>
        <v>229762.89139314741</v>
      </c>
    </row>
    <row r="85" spans="1:39" x14ac:dyDescent="0.2">
      <c r="B85" s="2" t="s">
        <v>891</v>
      </c>
      <c r="F85" s="2" t="s">
        <v>100</v>
      </c>
      <c r="AG85" s="36"/>
      <c r="AH85" s="33">
        <f>AH51-AH35</f>
        <v>0</v>
      </c>
      <c r="AI85" s="33">
        <f t="shared" ref="AI85:AK85" si="13">AI51-AI35</f>
        <v>0</v>
      </c>
      <c r="AJ85" s="33">
        <f t="shared" si="13"/>
        <v>0</v>
      </c>
      <c r="AK85" s="33">
        <f t="shared" si="13"/>
        <v>779254.07490621635</v>
      </c>
      <c r="AL85" s="33">
        <f t="shared" ref="AL85" si="14">AL51-AL35</f>
        <v>789314.24501325516</v>
      </c>
    </row>
    <row r="87" spans="1:39" x14ac:dyDescent="0.2">
      <c r="B87" s="2" t="s">
        <v>903</v>
      </c>
      <c r="F87" s="2" t="s">
        <v>100</v>
      </c>
      <c r="AG87" s="36"/>
      <c r="AH87" s="33" cm="1">
        <f t="array" ref="AH87">SUM(AH81:AH82*AH$16,AH84:AH85)</f>
        <v>119290.61356042325</v>
      </c>
      <c r="AI87" s="33" cm="1">
        <f t="array" ref="AI87">SUM(AI81:AI82*AI$16,AI84:AI85)</f>
        <v>116887.06220416073</v>
      </c>
      <c r="AJ87" s="33" cm="1">
        <f t="array" ref="AJ87">SUM(AJ81:AJ82*AJ$16,AJ84:AJ85)</f>
        <v>123177.38785535842</v>
      </c>
      <c r="AK87" s="33" cm="1">
        <f t="array" ref="AK87">SUM(AK81:AK82*AK$16,AK84:AK85)</f>
        <v>901191.33213197102</v>
      </c>
      <c r="AL87" s="33" cm="1">
        <f t="array" ref="AL87">SUM(AL81:AL82*AL$16,AL84:AL85)</f>
        <v>909979.07188964961</v>
      </c>
    </row>
    <row r="89" spans="1:39" x14ac:dyDescent="0.2">
      <c r="B89" s="21" t="s">
        <v>900</v>
      </c>
    </row>
    <row r="90" spans="1:39" x14ac:dyDescent="0.2">
      <c r="B90" s="2" t="s">
        <v>901</v>
      </c>
      <c r="F90" s="2" t="s">
        <v>100</v>
      </c>
      <c r="AG90" s="36"/>
      <c r="AH90" s="33">
        <f>AH87-AH56</f>
        <v>-1.4901161193847656E-8</v>
      </c>
      <c r="AI90" s="33">
        <f t="shared" ref="AI90:AL90" si="15">AI87-AI56</f>
        <v>-2.1420419216156006E-8</v>
      </c>
      <c r="AJ90" s="33">
        <f t="shared" si="15"/>
        <v>-2.2351741790771484E-8</v>
      </c>
      <c r="AK90" s="33">
        <f t="shared" si="15"/>
        <v>779254.07490624895</v>
      </c>
      <c r="AL90" s="33">
        <f t="shared" si="15"/>
        <v>909979.07188964961</v>
      </c>
    </row>
    <row r="92" spans="1:39" x14ac:dyDescent="0.2">
      <c r="B92" s="21" t="s">
        <v>902</v>
      </c>
    </row>
    <row r="93" spans="1:39" x14ac:dyDescent="0.2">
      <c r="A93" s="159" t="s">
        <v>1292</v>
      </c>
      <c r="B93" s="2" t="s">
        <v>1295</v>
      </c>
      <c r="F93" s="2" t="s">
        <v>100</v>
      </c>
      <c r="AG93" s="36"/>
      <c r="AH93" s="36"/>
      <c r="AI93" s="36"/>
      <c r="AJ93" s="36"/>
      <c r="AK93" s="36"/>
      <c r="AL93" s="36"/>
      <c r="AM93" s="23" cm="1">
        <f t="array" ref="AM93">SUM(AH90:AL90*AH$19:AL$19)</f>
        <v>1805905.2138954885</v>
      </c>
    </row>
  </sheetData>
  <dataConsolidate/>
  <mergeCells count="2">
    <mergeCell ref="B5:E5"/>
    <mergeCell ref="B8:E8"/>
  </mergeCells>
  <phoneticPr fontId="30" type="noConversion"/>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0FA7B-F836-494D-BE2A-E828DC8BCF77}">
  <sheetPr>
    <tabColor rgb="FFFFFFCC"/>
  </sheetPr>
  <dimension ref="A2:AO107"/>
  <sheetViews>
    <sheetView showGridLines="0" zoomScale="85" zoomScaleNormal="85" workbookViewId="0">
      <pane xSplit="6" ySplit="11" topLeftCell="G12" activePane="bottomRight" state="frozen"/>
      <selection activeCell="P579" sqref="P579"/>
      <selection pane="topRight" activeCell="P579" sqref="P579"/>
      <selection pane="bottomLeft" activeCell="P579" sqref="P579"/>
      <selection pane="bottomRight"/>
    </sheetView>
  </sheetViews>
  <sheetFormatPr defaultColWidth="9.140625" defaultRowHeight="12.75" outlineLevelCol="1" x14ac:dyDescent="0.2"/>
  <cols>
    <col min="1" max="1" width="5.7109375" style="2" customWidth="1"/>
    <col min="2" max="2" width="103.42578125" style="2" customWidth="1"/>
    <col min="3" max="5" width="5.7109375" style="2" customWidth="1"/>
    <col min="6" max="6" width="13.7109375" style="2" customWidth="1"/>
    <col min="7" max="7" width="2.7109375" style="2" customWidth="1"/>
    <col min="8" max="8" width="13.7109375" style="2" customWidth="1"/>
    <col min="9" max="9" width="2.7109375" style="2" customWidth="1"/>
    <col min="10" max="10" width="13.7109375" style="2" customWidth="1"/>
    <col min="11" max="11" width="2.7109375" style="2" customWidth="1"/>
    <col min="12" max="29" width="12.5703125" style="2" hidden="1" customWidth="1" outlineLevel="1"/>
    <col min="30" max="30" width="13.85546875" style="2" customWidth="1" collapsed="1"/>
    <col min="31" max="33" width="13.85546875" style="2" customWidth="1"/>
    <col min="34" max="34" width="14.28515625" style="2" customWidth="1"/>
    <col min="35" max="35" width="15.140625" style="2" customWidth="1"/>
    <col min="36" max="39" width="13.85546875" style="2" customWidth="1"/>
    <col min="40" max="40" width="2.7109375" style="2" customWidth="1"/>
    <col min="41" max="41" width="30.7109375" style="2" customWidth="1"/>
    <col min="42" max="55" width="13.7109375" style="2" customWidth="1"/>
    <col min="56" max="16384" width="9.140625" style="2"/>
  </cols>
  <sheetData>
    <row r="2" spans="1:41" s="13" customFormat="1" ht="18" x14ac:dyDescent="0.2">
      <c r="A2" s="6"/>
      <c r="B2" s="13" t="s">
        <v>1060</v>
      </c>
    </row>
    <row r="4" spans="1:41" x14ac:dyDescent="0.2">
      <c r="B4" s="21" t="s">
        <v>52</v>
      </c>
      <c r="C4" s="1"/>
      <c r="D4" s="1"/>
    </row>
    <row r="5" spans="1:41" s="66" customFormat="1" ht="138" customHeight="1" x14ac:dyDescent="0.2">
      <c r="A5" s="2"/>
      <c r="B5" s="163" t="s">
        <v>904</v>
      </c>
      <c r="C5" s="163"/>
      <c r="D5" s="163"/>
      <c r="E5" s="163"/>
      <c r="H5" s="99"/>
    </row>
    <row r="6" spans="1:41" s="66" customFormat="1" ht="12.75" customHeight="1" x14ac:dyDescent="0.2">
      <c r="A6" s="2"/>
      <c r="B6" s="87"/>
      <c r="C6" s="87"/>
      <c r="D6" s="87"/>
      <c r="E6" s="87"/>
      <c r="H6" s="99"/>
    </row>
    <row r="7" spans="1:41" s="66" customFormat="1" ht="12.75" customHeight="1" x14ac:dyDescent="0.2">
      <c r="A7" s="2"/>
      <c r="B7" s="22" t="s">
        <v>27</v>
      </c>
      <c r="C7" s="3"/>
      <c r="D7" s="3"/>
      <c r="E7" s="2"/>
      <c r="H7" s="99"/>
    </row>
    <row r="8" spans="1:41" s="66" customFormat="1" ht="54" customHeight="1" x14ac:dyDescent="0.2">
      <c r="A8" s="2"/>
      <c r="B8" s="171" t="s">
        <v>693</v>
      </c>
      <c r="C8" s="163"/>
      <c r="D8" s="163"/>
      <c r="E8" s="163"/>
      <c r="H8" s="99"/>
    </row>
    <row r="9" spans="1:41" s="66" customFormat="1" ht="12.75" customHeight="1" x14ac:dyDescent="0.2">
      <c r="A9" s="2"/>
      <c r="B9" s="87"/>
      <c r="C9" s="87"/>
      <c r="D9" s="87"/>
      <c r="E9" s="87"/>
      <c r="H9" s="99"/>
    </row>
    <row r="10" spans="1:41" s="7" customFormat="1" x14ac:dyDescent="0.2">
      <c r="B10" s="7" t="s">
        <v>42</v>
      </c>
      <c r="F10" s="7" t="s">
        <v>24</v>
      </c>
      <c r="H10" s="7" t="s">
        <v>25</v>
      </c>
      <c r="J10" s="7" t="s">
        <v>46</v>
      </c>
      <c r="L10" s="54">
        <v>2000</v>
      </c>
      <c r="M10" s="54">
        <v>2001</v>
      </c>
      <c r="N10" s="54">
        <v>2002</v>
      </c>
      <c r="O10" s="54">
        <v>2003</v>
      </c>
      <c r="P10" s="54">
        <v>2004</v>
      </c>
      <c r="Q10" s="54">
        <v>2005</v>
      </c>
      <c r="R10" s="54">
        <v>2006</v>
      </c>
      <c r="S10" s="54">
        <v>2007</v>
      </c>
      <c r="T10" s="54">
        <v>2008</v>
      </c>
      <c r="U10" s="54">
        <v>2009</v>
      </c>
      <c r="V10" s="54">
        <v>2010</v>
      </c>
      <c r="W10" s="54">
        <v>2011</v>
      </c>
      <c r="X10" s="54">
        <v>2012</v>
      </c>
      <c r="Y10" s="54">
        <v>2013</v>
      </c>
      <c r="Z10" s="54">
        <v>2014</v>
      </c>
      <c r="AA10" s="54">
        <v>2015</v>
      </c>
      <c r="AB10" s="54">
        <v>2016</v>
      </c>
      <c r="AC10" s="54">
        <v>2017</v>
      </c>
      <c r="AD10" s="54">
        <v>2018</v>
      </c>
      <c r="AE10" s="54">
        <v>2019</v>
      </c>
      <c r="AF10" s="54">
        <v>2020</v>
      </c>
      <c r="AG10" s="54">
        <v>2021</v>
      </c>
      <c r="AH10" s="54">
        <v>2022</v>
      </c>
      <c r="AI10" s="54">
        <v>2023</v>
      </c>
      <c r="AJ10" s="54">
        <v>2024</v>
      </c>
      <c r="AK10" s="54">
        <v>2025</v>
      </c>
      <c r="AL10" s="54">
        <v>2026</v>
      </c>
      <c r="AM10" s="54">
        <v>2027</v>
      </c>
      <c r="AO10" s="7" t="s">
        <v>44</v>
      </c>
    </row>
    <row r="13" spans="1:41" s="7" customFormat="1" x14ac:dyDescent="0.2">
      <c r="B13" s="7" t="s">
        <v>45</v>
      </c>
    </row>
    <row r="15" spans="1:41" x14ac:dyDescent="0.2">
      <c r="B15" s="21" t="s">
        <v>296</v>
      </c>
    </row>
    <row r="16" spans="1:41" x14ac:dyDescent="0.2">
      <c r="B16" s="2" t="s">
        <v>272</v>
      </c>
      <c r="F16" s="2" t="s">
        <v>112</v>
      </c>
      <c r="AK16" s="73">
        <f>'9. Parameters'!AK38</f>
        <v>1</v>
      </c>
    </row>
    <row r="18" spans="2:37" x14ac:dyDescent="0.2">
      <c r="B18" s="21" t="s">
        <v>116</v>
      </c>
    </row>
    <row r="19" spans="2:37" x14ac:dyDescent="0.2">
      <c r="B19" s="2" t="s">
        <v>908</v>
      </c>
      <c r="F19" s="2" t="s">
        <v>143</v>
      </c>
      <c r="H19" s="98">
        <f>'16. Berekening parameters'!AM90</f>
        <v>1.0971876776559242</v>
      </c>
    </row>
    <row r="21" spans="2:37" x14ac:dyDescent="0.2">
      <c r="B21" s="21" t="s">
        <v>678</v>
      </c>
    </row>
    <row r="22" spans="2:37" x14ac:dyDescent="0.2">
      <c r="B22" s="2" t="s">
        <v>409</v>
      </c>
      <c r="F22" s="2" t="s">
        <v>112</v>
      </c>
      <c r="AK22" s="101">
        <f>'9. Parameters'!AK43</f>
        <v>2.7E-2</v>
      </c>
    </row>
    <row r="23" spans="2:37" x14ac:dyDescent="0.2">
      <c r="B23" s="2" t="s">
        <v>408</v>
      </c>
      <c r="F23" s="2" t="s">
        <v>112</v>
      </c>
      <c r="AK23" s="101">
        <f>'9. Parameters'!AK44</f>
        <v>2.8000000000000001E-2</v>
      </c>
    </row>
    <row r="25" spans="2:37" x14ac:dyDescent="0.2">
      <c r="B25" s="21" t="s">
        <v>582</v>
      </c>
    </row>
    <row r="26" spans="2:37" x14ac:dyDescent="0.2">
      <c r="B26" s="2" t="s">
        <v>627</v>
      </c>
      <c r="F26" s="2" t="s">
        <v>112</v>
      </c>
      <c r="AK26" s="101">
        <f>'9. Parameters'!AK47</f>
        <v>5.2999999999999999E-2</v>
      </c>
    </row>
    <row r="27" spans="2:37" x14ac:dyDescent="0.2">
      <c r="B27" s="2" t="s">
        <v>628</v>
      </c>
      <c r="F27" s="2" t="s">
        <v>112</v>
      </c>
      <c r="AK27" s="101">
        <f>'9. Parameters'!AK48</f>
        <v>4.4999999999999998E-2</v>
      </c>
    </row>
    <row r="28" spans="2:37" x14ac:dyDescent="0.2">
      <c r="B28" s="21"/>
    </row>
    <row r="29" spans="2:37" x14ac:dyDescent="0.2">
      <c r="B29" s="21" t="s">
        <v>676</v>
      </c>
    </row>
    <row r="30" spans="2:37" x14ac:dyDescent="0.2">
      <c r="B30" s="2" t="s">
        <v>411</v>
      </c>
      <c r="F30" s="2" t="s">
        <v>112</v>
      </c>
      <c r="AK30" s="73">
        <f>'9. Parameters'!AK53</f>
        <v>0.58497698623171523</v>
      </c>
    </row>
    <row r="31" spans="2:37" x14ac:dyDescent="0.2">
      <c r="B31" s="2" t="s">
        <v>412</v>
      </c>
      <c r="F31" s="2" t="s">
        <v>112</v>
      </c>
      <c r="AK31" s="73">
        <f>'9. Parameters'!AK54</f>
        <v>0.41502301376828477</v>
      </c>
    </row>
    <row r="33" spans="2:41" x14ac:dyDescent="0.2">
      <c r="B33" s="21" t="s">
        <v>677</v>
      </c>
    </row>
    <row r="34" spans="2:41" x14ac:dyDescent="0.2">
      <c r="B34" s="2" t="s">
        <v>411</v>
      </c>
      <c r="F34" s="2" t="s">
        <v>112</v>
      </c>
      <c r="AK34" s="73">
        <f>'9. Parameters'!AK57</f>
        <v>0.51113913657770937</v>
      </c>
    </row>
    <row r="35" spans="2:41" x14ac:dyDescent="0.2">
      <c r="B35" s="2" t="s">
        <v>412</v>
      </c>
      <c r="F35" s="2" t="s">
        <v>112</v>
      </c>
      <c r="AK35" s="73">
        <f>'9. Parameters'!AK58</f>
        <v>0.48886086342229063</v>
      </c>
    </row>
    <row r="37" spans="2:41" x14ac:dyDescent="0.2">
      <c r="B37" s="21" t="s">
        <v>461</v>
      </c>
    </row>
    <row r="38" spans="2:41" x14ac:dyDescent="0.2">
      <c r="B38" s="2" t="s">
        <v>465</v>
      </c>
      <c r="F38" s="2" t="s">
        <v>100</v>
      </c>
      <c r="AK38" s="102">
        <f>'20. Correctie bijschatten'!AK148</f>
        <v>23480482.188224647</v>
      </c>
      <c r="AO38" s="2" t="s">
        <v>463</v>
      </c>
    </row>
    <row r="40" spans="2:41" x14ac:dyDescent="0.2">
      <c r="B40" s="21" t="s">
        <v>623</v>
      </c>
    </row>
    <row r="41" spans="2:41" x14ac:dyDescent="0.2">
      <c r="B41" s="2" t="s">
        <v>424</v>
      </c>
      <c r="F41" s="2" t="s">
        <v>100</v>
      </c>
      <c r="AK41" s="32">
        <f>'10. Brondata'!AK205</f>
        <v>1348809648.6909215</v>
      </c>
    </row>
    <row r="42" spans="2:41" x14ac:dyDescent="0.2">
      <c r="B42" s="2" t="s">
        <v>425</v>
      </c>
      <c r="F42" s="2" t="s">
        <v>100</v>
      </c>
      <c r="AK42" s="32">
        <f>'10. Brondata'!AK206</f>
        <v>308673487.88696575</v>
      </c>
    </row>
    <row r="43" spans="2:41" x14ac:dyDescent="0.2">
      <c r="B43" s="2" t="s">
        <v>426</v>
      </c>
      <c r="F43" s="2" t="s">
        <v>100</v>
      </c>
      <c r="AK43" s="32">
        <f>'10. Brondata'!AK207</f>
        <v>215361234.10510498</v>
      </c>
    </row>
    <row r="44" spans="2:41" x14ac:dyDescent="0.2">
      <c r="B44" s="2" t="s">
        <v>427</v>
      </c>
      <c r="F44" s="2" t="s">
        <v>100</v>
      </c>
      <c r="AK44" s="32">
        <f>'10. Brondata'!AK208</f>
        <v>25068271.807678536</v>
      </c>
    </row>
    <row r="45" spans="2:41" x14ac:dyDescent="0.2">
      <c r="B45" s="2" t="s">
        <v>399</v>
      </c>
      <c r="F45" s="2" t="s">
        <v>100</v>
      </c>
      <c r="AK45" s="32">
        <f>'10. Brondata'!AK209</f>
        <v>6450902.9090601606</v>
      </c>
    </row>
    <row r="46" spans="2:41" x14ac:dyDescent="0.2">
      <c r="B46" s="2" t="s">
        <v>400</v>
      </c>
      <c r="F46" s="2" t="s">
        <v>100</v>
      </c>
      <c r="AK46" s="32">
        <f>'10. Brondata'!AK210</f>
        <v>740873682.23114622</v>
      </c>
    </row>
    <row r="47" spans="2:41" x14ac:dyDescent="0.2">
      <c r="B47"/>
      <c r="C47"/>
      <c r="D47"/>
      <c r="E47"/>
      <c r="F47"/>
    </row>
    <row r="48" spans="2:41" x14ac:dyDescent="0.2">
      <c r="B48" s="21" t="s">
        <v>623</v>
      </c>
    </row>
    <row r="49" spans="2:37" x14ac:dyDescent="0.2">
      <c r="B49" s="2" t="s">
        <v>401</v>
      </c>
      <c r="F49" s="2" t="s">
        <v>100</v>
      </c>
      <c r="AK49" s="32">
        <f>'10. Brondata'!AK213</f>
        <v>1567503589.4551563</v>
      </c>
    </row>
    <row r="50" spans="2:37" x14ac:dyDescent="0.2">
      <c r="B50" s="2" t="s">
        <v>402</v>
      </c>
      <c r="F50" s="2" t="s">
        <v>100</v>
      </c>
      <c r="AK50" s="32">
        <f>'10. Brondata'!AK214</f>
        <v>203065815.31033787</v>
      </c>
    </row>
    <row r="51" spans="2:37" x14ac:dyDescent="0.2">
      <c r="B51" s="2" t="s">
        <v>403</v>
      </c>
      <c r="F51" s="2" t="s">
        <v>100</v>
      </c>
      <c r="AK51" s="32">
        <f>'10. Brondata'!AK215</f>
        <v>22770440.355718747</v>
      </c>
    </row>
    <row r="52" spans="2:37" x14ac:dyDescent="0.2">
      <c r="B52" s="2" t="s">
        <v>404</v>
      </c>
      <c r="F52" s="2" t="s">
        <v>100</v>
      </c>
      <c r="AK52" s="32">
        <f>'10. Brondata'!AK216</f>
        <v>1477705820.4596114</v>
      </c>
    </row>
    <row r="54" spans="2:37" x14ac:dyDescent="0.2">
      <c r="B54" s="21" t="s">
        <v>623</v>
      </c>
    </row>
    <row r="55" spans="2:37" x14ac:dyDescent="0.2">
      <c r="B55" s="2" t="s">
        <v>405</v>
      </c>
      <c r="F55" s="2" t="s">
        <v>100</v>
      </c>
      <c r="AK55" s="32">
        <f>'10. Brondata'!AK219</f>
        <v>24125473.164408103</v>
      </c>
    </row>
    <row r="56" spans="2:37" x14ac:dyDescent="0.2">
      <c r="B56" s="2" t="s">
        <v>406</v>
      </c>
      <c r="F56" s="2" t="s">
        <v>100</v>
      </c>
      <c r="AK56" s="32">
        <f>'10. Brondata'!AK220</f>
        <v>112640516.21762949</v>
      </c>
    </row>
    <row r="58" spans="2:37" s="7" customFormat="1" x14ac:dyDescent="0.2">
      <c r="B58" s="7" t="s">
        <v>428</v>
      </c>
    </row>
    <row r="60" spans="2:37" x14ac:dyDescent="0.2">
      <c r="B60" s="21" t="s">
        <v>429</v>
      </c>
    </row>
    <row r="61" spans="2:37" x14ac:dyDescent="0.2">
      <c r="B61" s="2" t="s">
        <v>629</v>
      </c>
      <c r="F61" s="2" t="s">
        <v>414</v>
      </c>
      <c r="AK61" s="76">
        <f>AK26-AK22</f>
        <v>2.5999999999999999E-2</v>
      </c>
    </row>
    <row r="62" spans="2:37" x14ac:dyDescent="0.2">
      <c r="B62" s="2" t="s">
        <v>630</v>
      </c>
      <c r="F62" s="2" t="s">
        <v>414</v>
      </c>
      <c r="AK62" s="76">
        <f>AK27-AK23</f>
        <v>1.6999999999999998E-2</v>
      </c>
    </row>
    <row r="64" spans="2:37" s="7" customFormat="1" x14ac:dyDescent="0.2">
      <c r="B64" s="7" t="s">
        <v>417</v>
      </c>
    </row>
    <row r="66" spans="2:37" x14ac:dyDescent="0.2">
      <c r="B66" s="21" t="s">
        <v>564</v>
      </c>
    </row>
    <row r="67" spans="2:37" x14ac:dyDescent="0.2">
      <c r="B67" s="2" t="s">
        <v>430</v>
      </c>
      <c r="F67" s="2" t="s">
        <v>100</v>
      </c>
      <c r="AK67" s="33">
        <f>AK41*AK$62</f>
        <v>22929764.027745664</v>
      </c>
    </row>
    <row r="68" spans="2:37" x14ac:dyDescent="0.2">
      <c r="B68" s="2" t="s">
        <v>431</v>
      </c>
      <c r="F68" s="2" t="s">
        <v>100</v>
      </c>
      <c r="AK68" s="33">
        <f>(AK42+AK43+AK44)*AK$62</f>
        <v>9334750.8945957366</v>
      </c>
    </row>
    <row r="70" spans="2:37" x14ac:dyDescent="0.2">
      <c r="B70" s="21" t="s">
        <v>565</v>
      </c>
    </row>
    <row r="71" spans="2:37" x14ac:dyDescent="0.2">
      <c r="B71" s="2" t="s">
        <v>432</v>
      </c>
      <c r="F71" s="2" t="s">
        <v>100</v>
      </c>
      <c r="AK71" s="33">
        <f>AK45*(AK$30*AK$61+AK$31*AK$62)</f>
        <v>143628.01713396149</v>
      </c>
    </row>
    <row r="72" spans="2:37" x14ac:dyDescent="0.2">
      <c r="B72" s="2" t="s">
        <v>433</v>
      </c>
      <c r="F72" s="2" t="s">
        <v>100</v>
      </c>
      <c r="AK72" s="33">
        <f>AK46*(AK$30*AK$61+AK$31*AK$62)</f>
        <v>16495399.08221921</v>
      </c>
    </row>
    <row r="73" spans="2:37" x14ac:dyDescent="0.2">
      <c r="B73" s="2" t="s">
        <v>464</v>
      </c>
      <c r="F73" s="2" t="s">
        <v>100</v>
      </c>
      <c r="AK73" s="33">
        <f>AK38*AK61</f>
        <v>610492.53689384076</v>
      </c>
    </row>
    <row r="75" spans="2:37" x14ac:dyDescent="0.2">
      <c r="B75" s="21" t="s">
        <v>566</v>
      </c>
    </row>
    <row r="76" spans="2:37" x14ac:dyDescent="0.2">
      <c r="B76" s="2" t="s">
        <v>567</v>
      </c>
      <c r="F76" s="2" t="s">
        <v>100</v>
      </c>
      <c r="AK76" s="33">
        <f>(AK67+AK71)*AK$16+(AK68+AK72+AK73)</f>
        <v>49514034.558588415</v>
      </c>
    </row>
    <row r="78" spans="2:37" s="7" customFormat="1" x14ac:dyDescent="0.2">
      <c r="B78" s="7" t="s">
        <v>418</v>
      </c>
    </row>
    <row r="80" spans="2:37" x14ac:dyDescent="0.2">
      <c r="B80" s="21" t="s">
        <v>564</v>
      </c>
    </row>
    <row r="81" spans="2:37" x14ac:dyDescent="0.2">
      <c r="B81" s="2" t="s">
        <v>434</v>
      </c>
      <c r="F81" s="2" t="s">
        <v>100</v>
      </c>
      <c r="AK81" s="33">
        <f>AK49*AK$62</f>
        <v>26647561.020737655</v>
      </c>
    </row>
    <row r="82" spans="2:37" x14ac:dyDescent="0.2">
      <c r="B82" s="2" t="s">
        <v>435</v>
      </c>
      <c r="F82" s="2" t="s">
        <v>100</v>
      </c>
      <c r="AK82" s="33">
        <f>AK50*AK$62</f>
        <v>3452118.8602757435</v>
      </c>
    </row>
    <row r="84" spans="2:37" x14ac:dyDescent="0.2">
      <c r="B84" s="21" t="s">
        <v>565</v>
      </c>
    </row>
    <row r="85" spans="2:37" x14ac:dyDescent="0.2">
      <c r="B85" s="2" t="s">
        <v>436</v>
      </c>
      <c r="F85" s="2" t="s">
        <v>100</v>
      </c>
      <c r="AK85" s="33">
        <f>AK51*(AK$30*AK$61+AK$31*AK$62)</f>
        <v>506979.13821733504</v>
      </c>
    </row>
    <row r="86" spans="2:37" x14ac:dyDescent="0.2">
      <c r="B86" s="2" t="s">
        <v>437</v>
      </c>
      <c r="F86" s="2" t="s">
        <v>100</v>
      </c>
      <c r="AK86" s="33">
        <f>AK52*(AK$30*AK$61+AK$31*AK$62)</f>
        <v>32900814.024319138</v>
      </c>
    </row>
    <row r="88" spans="2:37" x14ac:dyDescent="0.2">
      <c r="B88" s="21" t="s">
        <v>566</v>
      </c>
    </row>
    <row r="89" spans="2:37" x14ac:dyDescent="0.2">
      <c r="B89" s="2" t="s">
        <v>568</v>
      </c>
      <c r="F89" s="2" t="s">
        <v>100</v>
      </c>
      <c r="AK89" s="33">
        <f>(AK81+AK85)*AK$16+(AK82+AK86)</f>
        <v>63507473.043549865</v>
      </c>
    </row>
    <row r="91" spans="2:37" s="7" customFormat="1" x14ac:dyDescent="0.2">
      <c r="B91" s="7" t="s">
        <v>419</v>
      </c>
    </row>
    <row r="93" spans="2:37" x14ac:dyDescent="0.2">
      <c r="B93" s="21" t="s">
        <v>564</v>
      </c>
    </row>
    <row r="94" spans="2:37" x14ac:dyDescent="0.2">
      <c r="B94" s="2" t="s">
        <v>438</v>
      </c>
      <c r="F94" s="2" t="s">
        <v>100</v>
      </c>
      <c r="AK94" s="33">
        <f>AK$55*AK$62</f>
        <v>410133.04379493766</v>
      </c>
    </row>
    <row r="96" spans="2:37" x14ac:dyDescent="0.2">
      <c r="B96" s="21" t="s">
        <v>565</v>
      </c>
    </row>
    <row r="97" spans="2:39" x14ac:dyDescent="0.2">
      <c r="B97" s="2" t="s">
        <v>439</v>
      </c>
      <c r="F97" s="2" t="s">
        <v>100</v>
      </c>
      <c r="AK97" s="33">
        <f>AK56*(AK$30*AK$61+AK$31*AK$62)</f>
        <v>2507917.763040863</v>
      </c>
    </row>
    <row r="99" spans="2:39" x14ac:dyDescent="0.2">
      <c r="B99" s="21" t="s">
        <v>569</v>
      </c>
    </row>
    <row r="100" spans="2:39" x14ac:dyDescent="0.2">
      <c r="B100" s="2" t="s">
        <v>570</v>
      </c>
      <c r="F100" s="2" t="s">
        <v>100</v>
      </c>
      <c r="AK100" s="33">
        <f>AK94+AK97</f>
        <v>2918050.8068358004</v>
      </c>
    </row>
    <row r="102" spans="2:39" s="7" customFormat="1" x14ac:dyDescent="0.2">
      <c r="B102" s="7" t="s">
        <v>415</v>
      </c>
    </row>
    <row r="104" spans="2:39" x14ac:dyDescent="0.2">
      <c r="B104" s="21" t="s">
        <v>416</v>
      </c>
    </row>
    <row r="105" spans="2:39" x14ac:dyDescent="0.2">
      <c r="B105" s="2" t="s">
        <v>905</v>
      </c>
      <c r="F105" s="2" t="s">
        <v>100</v>
      </c>
      <c r="AM105" s="23">
        <f>AK76*$H$19</f>
        <v>54326188.588712797</v>
      </c>
    </row>
    <row r="106" spans="2:39" x14ac:dyDescent="0.2">
      <c r="B106" s="2" t="s">
        <v>906</v>
      </c>
      <c r="F106" s="2" t="s">
        <v>100</v>
      </c>
      <c r="AM106" s="23">
        <f>AK89*$H$19</f>
        <v>69679616.862448677</v>
      </c>
    </row>
    <row r="107" spans="2:39" x14ac:dyDescent="0.2">
      <c r="B107" s="2" t="s">
        <v>907</v>
      </c>
      <c r="F107" s="2" t="s">
        <v>100</v>
      </c>
      <c r="AM107" s="23">
        <f>AK100*$H$19</f>
        <v>3201649.3880341677</v>
      </c>
    </row>
  </sheetData>
  <dataConsolidate/>
  <mergeCells count="2">
    <mergeCell ref="B5:E5"/>
    <mergeCell ref="B8:E8"/>
  </mergeCells>
  <phoneticPr fontId="30" type="noConversion"/>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9E57A-1E33-44E8-AA57-B86B6EB27FEB}">
  <sheetPr>
    <tabColor rgb="FFFFFFCC"/>
  </sheetPr>
  <dimension ref="A2:AW154"/>
  <sheetViews>
    <sheetView showGridLines="0" zoomScale="85" zoomScaleNormal="85" workbookViewId="0">
      <pane ySplit="9" topLeftCell="A10" activePane="bottomLeft" state="frozen"/>
      <selection activeCell="P579" sqref="P579"/>
      <selection pane="bottomLeft"/>
    </sheetView>
  </sheetViews>
  <sheetFormatPr defaultColWidth="13.5703125" defaultRowHeight="12.75" x14ac:dyDescent="0.2"/>
  <cols>
    <col min="1" max="1" width="2.5703125" style="2" customWidth="1"/>
    <col min="2" max="2" width="63.85546875" style="2" customWidth="1"/>
    <col min="3" max="3" width="2.5703125" style="2" customWidth="1"/>
    <col min="4" max="4" width="47.5703125" style="2" customWidth="1"/>
    <col min="5" max="5" width="2.5703125" style="2" customWidth="1"/>
    <col min="6" max="6" width="15.5703125" style="2" customWidth="1"/>
    <col min="7" max="7" width="2.5703125" style="2" customWidth="1"/>
    <col min="8" max="8" width="20" style="2" bestFit="1" customWidth="1"/>
    <col min="9" max="9" width="21.7109375" style="2" bestFit="1" customWidth="1"/>
    <col min="10" max="10" width="20.42578125" style="2" bestFit="1" customWidth="1"/>
    <col min="11" max="11" width="23.140625" style="2" customWidth="1"/>
    <col min="12" max="15" width="15.5703125" style="2" customWidth="1"/>
    <col min="16" max="16" width="2.5703125" style="2" customWidth="1"/>
    <col min="17" max="17" width="15.5703125" style="2" customWidth="1"/>
    <col min="18" max="18" width="18" style="2" bestFit="1" customWidth="1"/>
    <col min="19" max="20" width="18.42578125" style="2" customWidth="1"/>
    <col min="21" max="21" width="2.5703125" style="2" customWidth="1"/>
    <col min="22" max="26" width="15.140625" style="2" customWidth="1"/>
    <col min="27" max="27" width="2.5703125" style="2" customWidth="1"/>
    <col min="28" max="29" width="13.28515625" style="2" customWidth="1"/>
    <col min="30" max="32" width="11.85546875" style="2" customWidth="1"/>
    <col min="33" max="33" width="2.5703125" style="2" customWidth="1"/>
    <col min="34" max="38" width="11.85546875" style="2" customWidth="1"/>
    <col min="39" max="39" width="2.5703125" style="2" customWidth="1"/>
    <col min="40" max="43" width="11.85546875" style="2" customWidth="1"/>
    <col min="44" max="44" width="2.5703125" style="2" customWidth="1"/>
    <col min="45" max="48" width="11.85546875" style="2" customWidth="1"/>
    <col min="49" max="49" width="2.5703125" style="2" customWidth="1"/>
    <col min="50" max="55" width="13.5703125" style="2"/>
    <col min="56" max="56" width="2.5703125" style="2" customWidth="1"/>
    <col min="57" max="63" width="13.5703125" style="2"/>
    <col min="64" max="64" width="2.5703125" style="2" customWidth="1"/>
    <col min="65" max="71" width="13.5703125" style="2"/>
    <col min="72" max="72" width="2.5703125" style="2" customWidth="1"/>
    <col min="73" max="79" width="13.5703125" style="2"/>
    <col min="80" max="80" width="15.5703125" style="2" customWidth="1"/>
    <col min="81" max="16384" width="13.5703125" style="2"/>
  </cols>
  <sheetData>
    <row r="2" spans="2:36" s="13" customFormat="1" ht="18" x14ac:dyDescent="0.2">
      <c r="B2" s="13" t="s">
        <v>1061</v>
      </c>
    </row>
    <row r="4" spans="2:36" x14ac:dyDescent="0.2">
      <c r="B4" s="21" t="s">
        <v>52</v>
      </c>
    </row>
    <row r="5" spans="2:36" ht="30.95" customHeight="1" x14ac:dyDescent="0.2">
      <c r="B5" s="163" t="s">
        <v>740</v>
      </c>
      <c r="C5" s="163"/>
      <c r="D5" s="163"/>
      <c r="F5" s="14"/>
    </row>
    <row r="6" spans="2:36" x14ac:dyDescent="0.2">
      <c r="B6" s="87"/>
      <c r="C6" s="87"/>
      <c r="D6" s="87"/>
      <c r="F6" s="14"/>
    </row>
    <row r="7" spans="2:36" x14ac:dyDescent="0.2">
      <c r="B7" s="176" t="s">
        <v>706</v>
      </c>
      <c r="C7" s="177"/>
      <c r="D7" s="177"/>
      <c r="F7" s="14"/>
    </row>
    <row r="8" spans="2:36" ht="41.25" customHeight="1" x14ac:dyDescent="0.2">
      <c r="B8" s="171" t="s">
        <v>1298</v>
      </c>
      <c r="C8" s="163"/>
      <c r="D8" s="163"/>
      <c r="F8" s="14"/>
    </row>
    <row r="9" spans="2:36" ht="14.25" customHeight="1" x14ac:dyDescent="0.2"/>
    <row r="10" spans="2:36" s="7" customFormat="1" x14ac:dyDescent="0.2">
      <c r="B10" s="7" t="s">
        <v>42</v>
      </c>
      <c r="D10" s="7" t="s">
        <v>24</v>
      </c>
      <c r="F10" s="7" t="s">
        <v>25</v>
      </c>
      <c r="H10" s="7">
        <v>2020</v>
      </c>
      <c r="I10" s="7">
        <v>2021</v>
      </c>
      <c r="J10" s="7">
        <v>2022</v>
      </c>
      <c r="K10" s="7">
        <v>2023</v>
      </c>
      <c r="L10" s="7">
        <v>2024</v>
      </c>
      <c r="M10" s="7">
        <v>2025</v>
      </c>
      <c r="N10" s="7">
        <v>2026</v>
      </c>
      <c r="O10" s="7">
        <v>2027</v>
      </c>
    </row>
    <row r="13" spans="2:36" s="7" customFormat="1" x14ac:dyDescent="0.2">
      <c r="B13" s="7" t="s">
        <v>45</v>
      </c>
    </row>
    <row r="14" spans="2:36" s="133" customFormat="1" x14ac:dyDescent="0.2">
      <c r="H14" s="135"/>
      <c r="I14" s="134"/>
      <c r="J14" s="135"/>
      <c r="K14" s="134"/>
      <c r="L14" s="135"/>
      <c r="M14" s="134"/>
      <c r="N14" s="134"/>
      <c r="O14" s="134"/>
      <c r="R14" s="134"/>
      <c r="T14" s="134"/>
      <c r="U14" s="134"/>
      <c r="V14" s="134"/>
      <c r="X14" s="134"/>
      <c r="Y14" s="134"/>
      <c r="Z14" s="134"/>
      <c r="AD14" s="134"/>
      <c r="AE14" s="134"/>
      <c r="AF14" s="134"/>
      <c r="AI14" s="134"/>
      <c r="AJ14" s="134"/>
    </row>
    <row r="15" spans="2:36" x14ac:dyDescent="0.2">
      <c r="B15" s="21" t="s">
        <v>407</v>
      </c>
    </row>
    <row r="16" spans="2:36" x14ac:dyDescent="0.2">
      <c r="B16" s="2" t="s">
        <v>627</v>
      </c>
      <c r="D16" s="2" t="s">
        <v>112</v>
      </c>
      <c r="H16" s="130"/>
      <c r="I16" s="130"/>
      <c r="J16" s="132">
        <f>'9. Parameters'!AH47</f>
        <v>3.6999999999999998E-2</v>
      </c>
      <c r="K16" s="132">
        <f>'9. Parameters'!AI47</f>
        <v>5.0999999999999997E-2</v>
      </c>
      <c r="L16" s="132">
        <f>'9. Parameters'!AJ47</f>
        <v>4.9000000000000002E-2</v>
      </c>
      <c r="M16" s="132">
        <f>'9. Parameters'!AK47</f>
        <v>5.2999999999999999E-2</v>
      </c>
      <c r="N16" s="130"/>
    </row>
    <row r="18" spans="1:15" x14ac:dyDescent="0.2">
      <c r="B18" s="21" t="s">
        <v>270</v>
      </c>
    </row>
    <row r="19" spans="1:15" x14ac:dyDescent="0.2">
      <c r="B19" s="2" t="s">
        <v>270</v>
      </c>
      <c r="D19" s="2" t="s">
        <v>112</v>
      </c>
      <c r="F19" s="73">
        <f>'9. Parameters'!H34</f>
        <v>0.01</v>
      </c>
    </row>
    <row r="20" spans="1:15" s="111" customFormat="1" x14ac:dyDescent="0.2">
      <c r="F20" s="131"/>
      <c r="O20" s="2"/>
    </row>
    <row r="21" spans="1:15" s="111" customFormat="1" x14ac:dyDescent="0.2">
      <c r="B21" s="21" t="s">
        <v>116</v>
      </c>
      <c r="F21" s="131"/>
      <c r="O21" s="2"/>
    </row>
    <row r="22" spans="1:15" x14ac:dyDescent="0.2">
      <c r="A22" s="111"/>
      <c r="B22" s="2" t="s">
        <v>908</v>
      </c>
      <c r="F22" s="98">
        <f>'16. Berekening parameters'!AM90</f>
        <v>1.0971876776559242</v>
      </c>
    </row>
    <row r="24" spans="1:15" x14ac:dyDescent="0.2">
      <c r="B24" s="21" t="s">
        <v>459</v>
      </c>
    </row>
    <row r="25" spans="1:15" x14ac:dyDescent="0.2">
      <c r="B25" s="2" t="s">
        <v>459</v>
      </c>
      <c r="D25" s="2" t="s">
        <v>112</v>
      </c>
      <c r="F25" s="101">
        <f>'9. Parameters'!H16</f>
        <v>8.9999999999999993E-3</v>
      </c>
    </row>
    <row r="27" spans="1:15" x14ac:dyDescent="0.2">
      <c r="B27" s="1" t="s">
        <v>108</v>
      </c>
    </row>
    <row r="28" spans="1:15" x14ac:dyDescent="0.2">
      <c r="B28" s="2" t="s">
        <v>142</v>
      </c>
      <c r="H28" s="98">
        <f>'16. Berekening parameters'!AF27</f>
        <v>1.028</v>
      </c>
      <c r="I28" s="98">
        <f>'16. Berekening parameters'!AG27</f>
        <v>1.0069999999999999</v>
      </c>
      <c r="J28" s="98">
        <f>'16. Berekening parameters'!AH27</f>
        <v>1.024</v>
      </c>
      <c r="K28" s="98">
        <f>'16. Berekening parameters'!AI27</f>
        <v>1.1200000000000001</v>
      </c>
      <c r="L28" s="98">
        <f>'16. Berekening parameters'!AJ27</f>
        <v>1.03</v>
      </c>
      <c r="M28" s="98">
        <f>'16. Berekening parameters'!AK27</f>
        <v>1.036</v>
      </c>
      <c r="N28" s="98">
        <f>'16. Berekening parameters'!AL27</f>
        <v>1.028</v>
      </c>
    </row>
    <row r="30" spans="1:15" x14ac:dyDescent="0.2">
      <c r="B30" s="35" t="s">
        <v>737</v>
      </c>
    </row>
    <row r="31" spans="1:15" x14ac:dyDescent="0.2">
      <c r="B31" s="2">
        <v>2021</v>
      </c>
      <c r="D31" s="2" t="s">
        <v>143</v>
      </c>
      <c r="H31" s="130"/>
      <c r="I31" s="98">
        <f>'16. Berekening parameters'!AG51</f>
        <v>1</v>
      </c>
      <c r="J31" s="98">
        <f>'16. Berekening parameters'!AH51</f>
        <v>1.024</v>
      </c>
      <c r="K31" s="98">
        <f>'16. Berekening parameters'!AI51</f>
        <v>1.1468800000000001</v>
      </c>
      <c r="L31" s="98">
        <f>'16. Berekening parameters'!AJ51</f>
        <v>1.1812864000000001</v>
      </c>
      <c r="M31" s="98">
        <f>'16. Berekening parameters'!AK51</f>
        <v>1.2238127104000001</v>
      </c>
      <c r="N31" s="98">
        <f>'16. Berekening parameters'!AL51</f>
        <v>1.2580794662912</v>
      </c>
    </row>
    <row r="32" spans="1:15" x14ac:dyDescent="0.2">
      <c r="B32" s="2">
        <v>2022</v>
      </c>
      <c r="D32" s="2" t="s">
        <v>143</v>
      </c>
      <c r="H32" s="130"/>
      <c r="I32" s="130"/>
      <c r="J32" s="98">
        <f>'16. Berekening parameters'!AH52</f>
        <v>1</v>
      </c>
      <c r="K32" s="98">
        <f>'16. Berekening parameters'!AI52</f>
        <v>1.1200000000000001</v>
      </c>
      <c r="L32" s="98">
        <f>'16. Berekening parameters'!AJ52</f>
        <v>1.1536000000000002</v>
      </c>
      <c r="M32" s="98">
        <f>'16. Berekening parameters'!AK52</f>
        <v>1.1951296000000002</v>
      </c>
      <c r="N32" s="98">
        <f>'16. Berekening parameters'!AL52</f>
        <v>1.2285932288000003</v>
      </c>
    </row>
    <row r="33" spans="2:45" x14ac:dyDescent="0.2">
      <c r="B33" s="2">
        <v>2023</v>
      </c>
      <c r="D33" s="2" t="s">
        <v>143</v>
      </c>
      <c r="H33" s="130"/>
      <c r="I33" s="130"/>
      <c r="J33" s="130"/>
      <c r="K33" s="98">
        <f>'16. Berekening parameters'!AI53</f>
        <v>1</v>
      </c>
      <c r="L33" s="98">
        <f>'16. Berekening parameters'!AJ53</f>
        <v>1.03</v>
      </c>
      <c r="M33" s="98">
        <f>'16. Berekening parameters'!AK53</f>
        <v>1.06708</v>
      </c>
      <c r="N33" s="98">
        <f>'16. Berekening parameters'!AL53</f>
        <v>1.09695824</v>
      </c>
    </row>
    <row r="34" spans="2:45" x14ac:dyDescent="0.2">
      <c r="B34" s="2">
        <v>2024</v>
      </c>
      <c r="D34" s="2" t="s">
        <v>143</v>
      </c>
      <c r="H34" s="130"/>
      <c r="I34" s="130"/>
      <c r="J34" s="130"/>
      <c r="K34" s="130"/>
      <c r="L34" s="98">
        <f>'16. Berekening parameters'!AJ54</f>
        <v>1</v>
      </c>
      <c r="M34" s="98">
        <f>'16. Berekening parameters'!AK54</f>
        <v>1.036</v>
      </c>
      <c r="N34" s="98">
        <f>'16. Berekening parameters'!AL54</f>
        <v>1.065008</v>
      </c>
    </row>
    <row r="35" spans="2:45" x14ac:dyDescent="0.2">
      <c r="B35" s="2">
        <v>2025</v>
      </c>
      <c r="D35" s="2" t="s">
        <v>143</v>
      </c>
      <c r="H35" s="130"/>
      <c r="I35" s="130"/>
      <c r="J35" s="130"/>
      <c r="K35" s="130"/>
      <c r="L35" s="130"/>
      <c r="M35" s="98">
        <f>'16. Berekening parameters'!AK55</f>
        <v>1</v>
      </c>
      <c r="N35" s="98">
        <f>'16. Berekening parameters'!AL55</f>
        <v>1.028</v>
      </c>
    </row>
    <row r="36" spans="2:45" ht="13.5" customHeight="1" x14ac:dyDescent="0.2"/>
    <row r="37" spans="2:45" x14ac:dyDescent="0.2">
      <c r="B37" s="1" t="s">
        <v>269</v>
      </c>
    </row>
    <row r="38" spans="2:45" x14ac:dyDescent="0.2">
      <c r="B38" s="2" t="s">
        <v>738</v>
      </c>
    </row>
    <row r="39" spans="2:45" x14ac:dyDescent="0.2">
      <c r="B39" s="139">
        <v>2021</v>
      </c>
      <c r="D39" s="2" t="s">
        <v>278</v>
      </c>
      <c r="H39" s="130"/>
      <c r="I39" s="98">
        <f>'16. Berekening parameters'!AG69</f>
        <v>1</v>
      </c>
      <c r="J39" s="98">
        <f>'16. Berekening parameters'!AH69</f>
        <v>0.995</v>
      </c>
      <c r="K39" s="98">
        <f>'16. Berekening parameters'!AI69</f>
        <v>0.99002500000000004</v>
      </c>
      <c r="L39" s="98">
        <f>'16. Berekening parameters'!AJ69</f>
        <v>0.98507487500000002</v>
      </c>
      <c r="M39" s="98">
        <f>'16. Berekening parameters'!AK69</f>
        <v>0.98014950062500006</v>
      </c>
      <c r="N39" s="98">
        <f>'16. Berekening parameters'!AL69</f>
        <v>0.97524875312187509</v>
      </c>
    </row>
    <row r="40" spans="2:45" x14ac:dyDescent="0.2">
      <c r="B40" s="139">
        <v>2022</v>
      </c>
      <c r="D40" s="2" t="s">
        <v>278</v>
      </c>
      <c r="H40" s="130"/>
      <c r="I40" s="130"/>
      <c r="J40" s="98">
        <f>'16. Berekening parameters'!AH70</f>
        <v>1</v>
      </c>
      <c r="K40" s="98">
        <f>'16. Berekening parameters'!AI70</f>
        <v>0.995</v>
      </c>
      <c r="L40" s="98">
        <f>'16. Berekening parameters'!AJ70</f>
        <v>0.99002500000000004</v>
      </c>
      <c r="M40" s="98">
        <f>'16. Berekening parameters'!AK70</f>
        <v>0.98507487500000002</v>
      </c>
      <c r="N40" s="98">
        <f>'16. Berekening parameters'!AL70</f>
        <v>0.98014950062500006</v>
      </c>
    </row>
    <row r="41" spans="2:45" x14ac:dyDescent="0.2">
      <c r="B41" s="139">
        <v>2023</v>
      </c>
      <c r="D41" s="2" t="s">
        <v>278</v>
      </c>
      <c r="H41" s="130"/>
      <c r="I41" s="130"/>
      <c r="J41" s="130"/>
      <c r="K41" s="98">
        <f>'16. Berekening parameters'!AI71</f>
        <v>1</v>
      </c>
      <c r="L41" s="98">
        <f>'16. Berekening parameters'!AJ71</f>
        <v>0.995</v>
      </c>
      <c r="M41" s="98">
        <f>'16. Berekening parameters'!AK71</f>
        <v>0.99002500000000004</v>
      </c>
      <c r="N41" s="98">
        <f>'16. Berekening parameters'!AL71</f>
        <v>0.98507487500000002</v>
      </c>
    </row>
    <row r="42" spans="2:45" x14ac:dyDescent="0.2">
      <c r="B42" s="139">
        <v>2024</v>
      </c>
      <c r="D42" s="2" t="s">
        <v>278</v>
      </c>
      <c r="H42" s="130"/>
      <c r="I42" s="130"/>
      <c r="J42" s="130"/>
      <c r="K42" s="130"/>
      <c r="L42" s="98">
        <f>'16. Berekening parameters'!AJ72</f>
        <v>1</v>
      </c>
      <c r="M42" s="98">
        <f>'16. Berekening parameters'!AK72</f>
        <v>0.995</v>
      </c>
      <c r="N42" s="98">
        <f>'16. Berekening parameters'!AL72</f>
        <v>0.99002500000000004</v>
      </c>
    </row>
    <row r="43" spans="2:45" x14ac:dyDescent="0.2">
      <c r="B43" s="139">
        <v>2025</v>
      </c>
      <c r="D43" s="2" t="s">
        <v>278</v>
      </c>
      <c r="H43" s="130"/>
      <c r="I43" s="130"/>
      <c r="J43" s="130"/>
      <c r="K43" s="130"/>
      <c r="L43" s="130"/>
      <c r="M43" s="98">
        <f>'16. Berekening parameters'!AK73</f>
        <v>1</v>
      </c>
      <c r="N43" s="98">
        <f>'16. Berekening parameters'!AL73</f>
        <v>0.995</v>
      </c>
    </row>
    <row r="44" spans="2:45" ht="13.5" customHeight="1" x14ac:dyDescent="0.2"/>
    <row r="45" spans="2:45" s="7" customFormat="1" x14ac:dyDescent="0.2">
      <c r="B45" s="7" t="s">
        <v>717</v>
      </c>
    </row>
    <row r="47" spans="2:45" s="119" customFormat="1" x14ac:dyDescent="0.2">
      <c r="Q47" s="119" t="s">
        <v>705</v>
      </c>
      <c r="V47" s="119" t="s">
        <v>721</v>
      </c>
      <c r="AB47" s="119" t="s">
        <v>732</v>
      </c>
      <c r="AH47" s="119" t="s">
        <v>734</v>
      </c>
      <c r="AN47" s="119" t="s">
        <v>722</v>
      </c>
      <c r="AS47" s="119" t="s">
        <v>1013</v>
      </c>
    </row>
    <row r="48" spans="2:45" s="129" customFormat="1" ht="12.75" customHeight="1" x14ac:dyDescent="0.2">
      <c r="H48" s="178" t="s">
        <v>262</v>
      </c>
      <c r="I48" s="178" t="s">
        <v>290</v>
      </c>
      <c r="J48" s="178" t="s">
        <v>263</v>
      </c>
      <c r="K48" s="178" t="s">
        <v>700</v>
      </c>
      <c r="L48" s="180" t="s">
        <v>718</v>
      </c>
      <c r="M48" s="180" t="s">
        <v>719</v>
      </c>
      <c r="N48" s="180" t="s">
        <v>720</v>
      </c>
      <c r="O48" s="144"/>
      <c r="Q48" s="172" t="s">
        <v>704</v>
      </c>
      <c r="R48" s="172" t="s">
        <v>703</v>
      </c>
      <c r="S48" s="172" t="s">
        <v>702</v>
      </c>
      <c r="T48" s="172" t="s">
        <v>701</v>
      </c>
      <c r="U48" s="174"/>
      <c r="V48" s="138"/>
      <c r="AB48" s="129" t="s">
        <v>728</v>
      </c>
      <c r="AH48" s="129" t="s">
        <v>733</v>
      </c>
      <c r="AS48" s="129" t="s">
        <v>735</v>
      </c>
    </row>
    <row r="49" spans="1:49" s="127" customFormat="1" x14ac:dyDescent="0.2">
      <c r="B49" s="127" t="s">
        <v>715</v>
      </c>
      <c r="H49" s="179"/>
      <c r="I49" s="179"/>
      <c r="J49" s="179"/>
      <c r="K49" s="179"/>
      <c r="L49" s="179"/>
      <c r="M49" s="181"/>
      <c r="N49" s="179"/>
      <c r="O49" s="143"/>
      <c r="Q49" s="173"/>
      <c r="R49" s="173"/>
      <c r="S49" s="173"/>
      <c r="T49" s="173"/>
      <c r="U49" s="175"/>
      <c r="V49" s="128">
        <v>2021</v>
      </c>
      <c r="W49" s="128">
        <v>2022</v>
      </c>
      <c r="X49" s="128">
        <v>2023</v>
      </c>
      <c r="Y49" s="128">
        <v>2024</v>
      </c>
      <c r="Z49" s="128">
        <v>2025</v>
      </c>
      <c r="AB49" s="128">
        <v>2021</v>
      </c>
      <c r="AC49" s="128">
        <v>2022</v>
      </c>
      <c r="AD49" s="128">
        <v>2023</v>
      </c>
      <c r="AE49" s="128">
        <v>2024</v>
      </c>
      <c r="AF49" s="128">
        <v>2025</v>
      </c>
      <c r="AG49" s="128"/>
      <c r="AH49" s="128">
        <v>2021</v>
      </c>
      <c r="AI49" s="128">
        <v>2022</v>
      </c>
      <c r="AJ49" s="128">
        <v>2023</v>
      </c>
      <c r="AK49" s="128">
        <v>2024</v>
      </c>
      <c r="AL49" s="128">
        <v>2025</v>
      </c>
      <c r="AN49" s="128">
        <v>2022</v>
      </c>
      <c r="AO49" s="128">
        <v>2023</v>
      </c>
      <c r="AP49" s="128">
        <v>2024</v>
      </c>
      <c r="AQ49" s="128">
        <v>2025</v>
      </c>
      <c r="AS49" s="128">
        <v>2022</v>
      </c>
      <c r="AT49" s="128">
        <v>2023</v>
      </c>
      <c r="AU49" s="128">
        <v>2024</v>
      </c>
      <c r="AV49" s="128">
        <v>2025</v>
      </c>
      <c r="AW49" s="128"/>
    </row>
    <row r="50" spans="1:49" s="113" customFormat="1" x14ac:dyDescent="0.2">
      <c r="A50" s="2"/>
      <c r="B50" s="2"/>
      <c r="J50" s="126"/>
      <c r="K50" s="125"/>
      <c r="L50" s="126"/>
    </row>
    <row r="51" spans="1:49" x14ac:dyDescent="0.2">
      <c r="B51" s="124">
        <f>'12. Input inv. &lt;= 10 jaar'!B11</f>
        <v>1</v>
      </c>
      <c r="C51" s="113"/>
      <c r="D51" s="113"/>
      <c r="E51" s="113"/>
      <c r="G51" s="113"/>
      <c r="H51" s="123" t="str">
        <f>'12. Input inv. &lt;= 10 jaar'!E11</f>
        <v>Systeem</v>
      </c>
      <c r="I51" s="123" t="str">
        <f>'12. Input inv. &lt;= 10 jaar'!F11</f>
        <v>EHS</v>
      </c>
      <c r="J51" s="123" t="str">
        <f>'12. Input inv. &lt;= 10 jaar'!G11</f>
        <v>(Proces)automatisering</v>
      </c>
      <c r="K51" s="123">
        <f>'12. Input inv. &lt;= 10 jaar'!H11</f>
        <v>5</v>
      </c>
      <c r="L51" s="124">
        <f>'12. Input inv. &lt;= 10 jaar'!I11</f>
        <v>2021</v>
      </c>
      <c r="M51" s="123">
        <f>'12. Input inv. &lt;= 10 jaar'!J11</f>
        <v>5</v>
      </c>
      <c r="N51" s="123">
        <f>'12. Input inv. &lt;= 10 jaar'!K11</f>
        <v>233283</v>
      </c>
      <c r="O51" s="113"/>
      <c r="Q51" s="33">
        <f t="shared" ref="Q51:Q82" si="0">IF(K51&gt;0,N51/K51,0)</f>
        <v>46656.6</v>
      </c>
      <c r="R51" s="122">
        <f t="shared" ref="R51:R82" si="1">ROUNDDOWN(L51+K51+(M51-1)/12,0)</f>
        <v>2026</v>
      </c>
      <c r="S51" s="33">
        <f t="shared" ref="S51:S82" si="2">Q51*(13-M51)/12</f>
        <v>31104.399999999998</v>
      </c>
      <c r="T51" s="33">
        <f t="shared" ref="T51:T82" si="3">Q51*(L51+K51+(M51-1)/12-R51)</f>
        <v>15552.199999996463</v>
      </c>
      <c r="V51" s="121">
        <f t="shared" ref="V51:Z60" si="4">((V$49=$L51)*$S51+(V$49&gt;$L51)*(V$49&lt;$R51)*$Q51+(V$49=$R51)*$T51)</f>
        <v>31104.399999999998</v>
      </c>
      <c r="W51" s="121">
        <f t="shared" si="4"/>
        <v>46656.6</v>
      </c>
      <c r="X51" s="121">
        <f t="shared" si="4"/>
        <v>46656.6</v>
      </c>
      <c r="Y51" s="121">
        <f t="shared" si="4"/>
        <v>46656.6</v>
      </c>
      <c r="Z51" s="121">
        <f t="shared" si="4"/>
        <v>46656.6</v>
      </c>
      <c r="AB51" s="33">
        <f t="shared" ref="AB51:AB82" si="5">POWER((1+$F$25),(AB$49-$L51))*V51</f>
        <v>31104.399999999998</v>
      </c>
      <c r="AC51" s="33">
        <f t="shared" ref="AC51:AC82" si="6">POWER((1+$F$25),(AC$49-$L51))*W51</f>
        <v>47076.509399999995</v>
      </c>
      <c r="AD51" s="33">
        <f t="shared" ref="AD51:AD82" si="7">POWER((1+$F$25),(AD$49-$L51))*X51</f>
        <v>47500.197984599989</v>
      </c>
      <c r="AE51" s="33">
        <f t="shared" ref="AE51:AE82" si="8">POWER((1+$F$25),(AE$49-$L51))*Y51</f>
        <v>47927.699766461381</v>
      </c>
      <c r="AF51" s="33">
        <f t="shared" ref="AF51:AF82" si="9">POWER((1+$F$25),(AF$49-$L51))*Z51</f>
        <v>48359.049064359533</v>
      </c>
      <c r="AH51" s="121">
        <f t="shared" ref="AH51:AH82" si="10">(AH$49=$L51)*($N51-AB51)+(AH$49&gt;$L51)*(AG51*(1+$F$25)-AB51)</f>
        <v>202178.6</v>
      </c>
      <c r="AI51" s="121">
        <f t="shared" ref="AI51:AI82" si="11">(AI$49=$L51)*($N51-AC51)+(AI$49&gt;$L51)*(AH51*(1+$F$25)-AC51)</f>
        <v>156921.69799999997</v>
      </c>
      <c r="AJ51" s="121">
        <f t="shared" ref="AJ51:AJ82" si="12">(AJ$49=$L51)*($N51-AD51)+(AJ$49&gt;$L51)*(AI51*(1+$F$25)-AD51)</f>
        <v>110833.79529739996</v>
      </c>
      <c r="AK51" s="121">
        <f t="shared" ref="AK51:AL82" si="13">(AK$49=$L51)*($N51-AE51)+(AK$49&gt;$L51)*(AJ51*(1+$F$25)-AE51)</f>
        <v>63903.599688615177</v>
      </c>
      <c r="AL51" s="121">
        <f t="shared" si="13"/>
        <v>16119.683021453173</v>
      </c>
      <c r="AN51" s="121" cm="1">
        <f t="array" ref="AN51">IF($N51&gt;0,((AN$49=$L51)*((13-$M51)/12)+(AN$49&gt;$L51))*$N51*INDEX($H$31:$N$35,$L51-2020,AN$49-2019)*INDEX($H$39:$N$43,$L51-2020,AN$49-2019)*$F$19,0)</f>
        <v>2376.8738304000003</v>
      </c>
      <c r="AO51" s="121" cm="1">
        <f t="array" ref="AO51">IF($N51&gt;0,((AO$49=$L51)*((13-$M51)/12)+(AO$49&gt;$L51))*$N51*INDEX($H$31:$N$35,$L51-2020,AO$49-2019)*INDEX($H$39:$N$43,$L51-2020,AO$49-2019)*$F$19,0)</f>
        <v>2648.7881965977608</v>
      </c>
      <c r="AP51" s="121" cm="1">
        <f t="array" ref="AP51">IF($N51&gt;0,((AP$49=$L51)*((13-$M51)/12)+(AP$49&gt;$L51))*$N51*INDEX($H$31:$N$35,$L51-2020,AP$49-2019)*INDEX($H$39:$N$43,$L51-2020,AP$49-2019)*$F$19,0)</f>
        <v>2714.6105832832145</v>
      </c>
      <c r="AQ51" s="121" cm="1">
        <f t="array" ref="AQ51">IF($N51&gt;0,((AQ$49=$L51)*((13-$M51)/12)+(AQ$49&gt;$L51))*$N51*INDEX($H$31:$N$35,$L51-2020,AQ$49-2019)*INDEX($H$39:$N$43,$L51-2020,AQ$49-2019)*$F$19,0)</f>
        <v>2798.2748814600031</v>
      </c>
      <c r="AS51" s="114">
        <f t="shared" ref="AS51:AS82" si="14">AC51+AI51*J$16+AN51</f>
        <v>55259.486056399997</v>
      </c>
      <c r="AT51" s="114">
        <f t="shared" ref="AT51:AT82" si="15">AD51+AJ51*K$16+AO51</f>
        <v>55801.509741365146</v>
      </c>
      <c r="AU51" s="114">
        <f t="shared" ref="AU51:AU82" si="16">AE51+AK51*L$16+AP51</f>
        <v>53773.586734486744</v>
      </c>
      <c r="AV51" s="114">
        <f t="shared" ref="AV51:AV82" si="17">AF51+AL51*M$16+AQ51</f>
        <v>52011.667145956555</v>
      </c>
    </row>
    <row r="52" spans="1:49" x14ac:dyDescent="0.2">
      <c r="B52" s="124">
        <f>'12. Input inv. &lt;= 10 jaar'!B12</f>
        <v>2</v>
      </c>
      <c r="C52" s="113"/>
      <c r="D52" s="113"/>
      <c r="E52" s="113"/>
      <c r="G52" s="113"/>
      <c r="H52" s="123" t="str">
        <f>'12. Input inv. &lt;= 10 jaar'!E12</f>
        <v>Systeem</v>
      </c>
      <c r="I52" s="123" t="str">
        <f>'12. Input inv. &lt;= 10 jaar'!F12</f>
        <v>EHS</v>
      </c>
      <c r="J52" s="123" t="str">
        <f>'12. Input inv. &lt;= 10 jaar'!G12</f>
        <v>(Proces)automatisering</v>
      </c>
      <c r="K52" s="123">
        <f>'12. Input inv. &lt;= 10 jaar'!H12</f>
        <v>5</v>
      </c>
      <c r="L52" s="124">
        <f>'12. Input inv. &lt;= 10 jaar'!I12</f>
        <v>2021</v>
      </c>
      <c r="M52" s="123">
        <f>'12. Input inv. &lt;= 10 jaar'!J12</f>
        <v>7</v>
      </c>
      <c r="N52" s="123">
        <f>'12. Input inv. &lt;= 10 jaar'!K12</f>
        <v>315137.94199999998</v>
      </c>
      <c r="O52" s="113"/>
      <c r="Q52" s="33">
        <f t="shared" si="0"/>
        <v>63027.588399999993</v>
      </c>
      <c r="R52" s="122">
        <f t="shared" si="1"/>
        <v>2026</v>
      </c>
      <c r="S52" s="33">
        <f t="shared" si="2"/>
        <v>31513.794199999993</v>
      </c>
      <c r="T52" s="33">
        <f t="shared" si="3"/>
        <v>31513.794199999997</v>
      </c>
      <c r="V52" s="121">
        <f t="shared" si="4"/>
        <v>31513.794199999993</v>
      </c>
      <c r="W52" s="121">
        <f t="shared" si="4"/>
        <v>63027.588399999993</v>
      </c>
      <c r="X52" s="121">
        <f t="shared" si="4"/>
        <v>63027.588399999993</v>
      </c>
      <c r="Y52" s="121">
        <f t="shared" si="4"/>
        <v>63027.588399999993</v>
      </c>
      <c r="Z52" s="121">
        <f t="shared" si="4"/>
        <v>63027.588399999993</v>
      </c>
      <c r="AB52" s="33">
        <f t="shared" si="5"/>
        <v>31513.794199999993</v>
      </c>
      <c r="AC52" s="33">
        <f t="shared" si="6"/>
        <v>63594.836695599988</v>
      </c>
      <c r="AD52" s="33">
        <f t="shared" si="7"/>
        <v>64167.19022586038</v>
      </c>
      <c r="AE52" s="33">
        <f t="shared" si="8"/>
        <v>64744.694937893109</v>
      </c>
      <c r="AF52" s="33">
        <f t="shared" si="9"/>
        <v>65327.397192334152</v>
      </c>
      <c r="AH52" s="121">
        <f t="shared" si="10"/>
        <v>283624.14779999998</v>
      </c>
      <c r="AI52" s="121">
        <f t="shared" si="11"/>
        <v>222581.92843459998</v>
      </c>
      <c r="AJ52" s="121">
        <f t="shared" si="12"/>
        <v>160417.97556465096</v>
      </c>
      <c r="AK52" s="121">
        <f t="shared" si="13"/>
        <v>97117.042406839697</v>
      </c>
      <c r="AL52" s="121">
        <f t="shared" si="13"/>
        <v>32663.698596167094</v>
      </c>
      <c r="AN52" s="121" cm="1">
        <f t="array" ref="AN52">IF($N52&gt;0,((AN$49=$L52)*((13-$M52)/12)+(AN$49&gt;$L52))*$N52*INDEX($H$31:$N$35,$L52-2020,AN$49-2019)*INDEX($H$39:$N$43,$L52-2020,AN$49-2019)*$F$19,0)</f>
        <v>3210.8774634496003</v>
      </c>
      <c r="AO52" s="121" cm="1">
        <f t="array" ref="AO52">IF($N52&gt;0,((AO$49=$L52)*((13-$M52)/12)+(AO$49&gt;$L52))*$N52*INDEX($H$31:$N$35,$L52-2020,AO$49-2019)*INDEX($H$39:$N$43,$L52-2020,AO$49-2019)*$F$19,0)</f>
        <v>3578.2018452682346</v>
      </c>
      <c r="AP52" s="121" cm="1">
        <f t="array" ref="AP52">IF($N52&gt;0,((AP$49=$L52)*((13-$M52)/12)+(AP$49&gt;$L52))*$N52*INDEX($H$31:$N$35,$L52-2020,AP$49-2019)*INDEX($H$39:$N$43,$L52-2020,AP$49-2019)*$F$19,0)</f>
        <v>3667.12016112315</v>
      </c>
      <c r="AQ52" s="121" cm="1">
        <f t="array" ref="AQ52">IF($N52&gt;0,((AQ$49=$L52)*((13-$M52)/12)+(AQ$49&gt;$L52))*$N52*INDEX($H$31:$N$35,$L52-2020,AQ$49-2019)*INDEX($H$39:$N$43,$L52-2020,AQ$49-2019)*$F$19,0)</f>
        <v>3780.1408044889658</v>
      </c>
      <c r="AS52" s="114">
        <f t="shared" si="14"/>
        <v>75041.24551112979</v>
      </c>
      <c r="AT52" s="114">
        <f t="shared" si="15"/>
        <v>75926.708824925823</v>
      </c>
      <c r="AU52" s="114">
        <f t="shared" si="16"/>
        <v>73170.550176951409</v>
      </c>
      <c r="AV52" s="114">
        <f t="shared" si="17"/>
        <v>70838.714022419983</v>
      </c>
    </row>
    <row r="53" spans="1:49" x14ac:dyDescent="0.2">
      <c r="B53" s="124">
        <f>'12. Input inv. &lt;= 10 jaar'!B13</f>
        <v>3</v>
      </c>
      <c r="C53" s="113"/>
      <c r="D53" s="113"/>
      <c r="E53" s="113"/>
      <c r="G53" s="113"/>
      <c r="H53" s="123" t="str">
        <f>'12. Input inv. &lt;= 10 jaar'!E13</f>
        <v>Systeem</v>
      </c>
      <c r="I53" s="123" t="str">
        <f>'12. Input inv. &lt;= 10 jaar'!F13</f>
        <v>EHS</v>
      </c>
      <c r="J53" s="123" t="str">
        <f>'12. Input inv. &lt;= 10 jaar'!G13</f>
        <v>(Proces)automatisering</v>
      </c>
      <c r="K53" s="123">
        <f>'12. Input inv. &lt;= 10 jaar'!H13</f>
        <v>5</v>
      </c>
      <c r="L53" s="124">
        <f>'12. Input inv. &lt;= 10 jaar'!I13</f>
        <v>2021</v>
      </c>
      <c r="M53" s="123">
        <f>'12. Input inv. &lt;= 10 jaar'!J13</f>
        <v>7</v>
      </c>
      <c r="N53" s="123">
        <f>'12. Input inv. &lt;= 10 jaar'!K13</f>
        <v>1933355</v>
      </c>
      <c r="O53" s="113"/>
      <c r="Q53" s="33">
        <f t="shared" si="0"/>
        <v>386671</v>
      </c>
      <c r="R53" s="122">
        <f t="shared" si="1"/>
        <v>2026</v>
      </c>
      <c r="S53" s="33">
        <f t="shared" si="2"/>
        <v>193335.5</v>
      </c>
      <c r="T53" s="33">
        <f t="shared" si="3"/>
        <v>193335.5</v>
      </c>
      <c r="V53" s="121">
        <f t="shared" si="4"/>
        <v>193335.5</v>
      </c>
      <c r="W53" s="121">
        <f t="shared" si="4"/>
        <v>386671</v>
      </c>
      <c r="X53" s="121">
        <f t="shared" si="4"/>
        <v>386671</v>
      </c>
      <c r="Y53" s="121">
        <f t="shared" si="4"/>
        <v>386671</v>
      </c>
      <c r="Z53" s="121">
        <f t="shared" si="4"/>
        <v>386671</v>
      </c>
      <c r="AB53" s="33">
        <f t="shared" si="5"/>
        <v>193335.5</v>
      </c>
      <c r="AC53" s="33">
        <f t="shared" si="6"/>
        <v>390151.03899999993</v>
      </c>
      <c r="AD53" s="33">
        <f t="shared" si="7"/>
        <v>393662.39835099992</v>
      </c>
      <c r="AE53" s="33">
        <f t="shared" si="8"/>
        <v>397205.35993615887</v>
      </c>
      <c r="AF53" s="33">
        <f t="shared" si="9"/>
        <v>400780.20817558432</v>
      </c>
      <c r="AH53" s="121">
        <f t="shared" si="10"/>
        <v>1740019.5</v>
      </c>
      <c r="AI53" s="121">
        <f t="shared" si="11"/>
        <v>1365528.6365</v>
      </c>
      <c r="AJ53" s="121">
        <f t="shared" si="12"/>
        <v>984155.99587749992</v>
      </c>
      <c r="AK53" s="121">
        <f t="shared" si="13"/>
        <v>595808.03990423842</v>
      </c>
      <c r="AL53" s="121">
        <f t="shared" si="13"/>
        <v>200390.10408779222</v>
      </c>
      <c r="AN53" s="121" cm="1">
        <f t="array" ref="AN53">IF($N53&gt;0,((AN$49=$L53)*((13-$M53)/12)+(AN$49&gt;$L53))*$N53*INDEX($H$31:$N$35,$L53-2020,AN$49-2019)*INDEX($H$39:$N$43,$L53-2020,AN$49-2019)*$F$19,0)</f>
        <v>19698.567424000001</v>
      </c>
      <c r="AO53" s="121" cm="1">
        <f t="array" ref="AO53">IF($N53&gt;0,((AO$49=$L53)*((13-$M53)/12)+(AO$49&gt;$L53))*$N53*INDEX($H$31:$N$35,$L53-2020,AO$49-2019)*INDEX($H$39:$N$43,$L53-2020,AO$49-2019)*$F$19,0)</f>
        <v>21952.083537305603</v>
      </c>
      <c r="AP53" s="121" cm="1">
        <f t="array" ref="AP53">IF($N53&gt;0,((AP$49=$L53)*((13-$M53)/12)+(AP$49&gt;$L53))*$N53*INDEX($H$31:$N$35,$L53-2020,AP$49-2019)*INDEX($H$39:$N$43,$L53-2020,AP$49-2019)*$F$19,0)</f>
        <v>22497.592813207648</v>
      </c>
      <c r="AQ53" s="121" cm="1">
        <f t="array" ref="AQ53">IF($N53&gt;0,((AQ$49=$L53)*((13-$M53)/12)+(AQ$49&gt;$L53))*$N53*INDEX($H$31:$N$35,$L53-2020,AQ$49-2019)*INDEX($H$39:$N$43,$L53-2020,AQ$49-2019)*$F$19,0)</f>
        <v>23190.968623710705</v>
      </c>
      <c r="AS53" s="114">
        <f t="shared" si="14"/>
        <v>460374.16597449995</v>
      </c>
      <c r="AT53" s="114">
        <f t="shared" si="15"/>
        <v>465806.43767805799</v>
      </c>
      <c r="AU53" s="114">
        <f t="shared" si="16"/>
        <v>448897.5467046742</v>
      </c>
      <c r="AV53" s="114">
        <f t="shared" si="17"/>
        <v>434591.852315948</v>
      </c>
    </row>
    <row r="54" spans="1:49" x14ac:dyDescent="0.2">
      <c r="B54" s="124">
        <f>'12. Input inv. &lt;= 10 jaar'!B14</f>
        <v>4</v>
      </c>
      <c r="C54" s="113"/>
      <c r="D54" s="113"/>
      <c r="E54" s="113"/>
      <c r="G54" s="113"/>
      <c r="H54" s="123" t="str">
        <f>'12. Input inv. &lt;= 10 jaar'!E14</f>
        <v>Systeem</v>
      </c>
      <c r="I54" s="123" t="str">
        <f>'12. Input inv. &lt;= 10 jaar'!F14</f>
        <v>EHS</v>
      </c>
      <c r="J54" s="123" t="str">
        <f>'12. Input inv. &lt;= 10 jaar'!G14</f>
        <v>(Proces)automatisering</v>
      </c>
      <c r="K54" s="123">
        <f>'12. Input inv. &lt;= 10 jaar'!H14</f>
        <v>5</v>
      </c>
      <c r="L54" s="124">
        <f>'12. Input inv. &lt;= 10 jaar'!I14</f>
        <v>2021</v>
      </c>
      <c r="M54" s="123">
        <f>'12. Input inv. &lt;= 10 jaar'!J14</f>
        <v>9</v>
      </c>
      <c r="N54" s="123">
        <f>'12. Input inv. &lt;= 10 jaar'!K14</f>
        <v>3189891</v>
      </c>
      <c r="O54" s="113"/>
      <c r="Q54" s="33">
        <f t="shared" si="0"/>
        <v>637978.19999999995</v>
      </c>
      <c r="R54" s="122">
        <f t="shared" si="1"/>
        <v>2026</v>
      </c>
      <c r="S54" s="33">
        <f t="shared" si="2"/>
        <v>212659.4</v>
      </c>
      <c r="T54" s="33">
        <f t="shared" si="3"/>
        <v>425318.8000000483</v>
      </c>
      <c r="V54" s="121">
        <f t="shared" si="4"/>
        <v>212659.4</v>
      </c>
      <c r="W54" s="121">
        <f t="shared" si="4"/>
        <v>637978.19999999995</v>
      </c>
      <c r="X54" s="121">
        <f t="shared" si="4"/>
        <v>637978.19999999995</v>
      </c>
      <c r="Y54" s="121">
        <f t="shared" si="4"/>
        <v>637978.19999999995</v>
      </c>
      <c r="Z54" s="121">
        <f t="shared" si="4"/>
        <v>637978.19999999995</v>
      </c>
      <c r="AB54" s="33">
        <f t="shared" si="5"/>
        <v>212659.4</v>
      </c>
      <c r="AC54" s="33">
        <f t="shared" si="6"/>
        <v>643720.00379999983</v>
      </c>
      <c r="AD54" s="33">
        <f t="shared" si="7"/>
        <v>649513.48383419984</v>
      </c>
      <c r="AE54" s="33">
        <f t="shared" si="8"/>
        <v>655359.10518870747</v>
      </c>
      <c r="AF54" s="33">
        <f t="shared" si="9"/>
        <v>661257.33713540586</v>
      </c>
      <c r="AH54" s="121">
        <f t="shared" si="10"/>
        <v>2977231.6</v>
      </c>
      <c r="AI54" s="121">
        <f t="shared" si="11"/>
        <v>2360306.6805999996</v>
      </c>
      <c r="AJ54" s="121">
        <f t="shared" si="12"/>
        <v>1732035.9568911993</v>
      </c>
      <c r="AK54" s="121">
        <f t="shared" si="13"/>
        <v>1092265.1753145126</v>
      </c>
      <c r="AL54" s="121">
        <f t="shared" si="13"/>
        <v>440838.22475693712</v>
      </c>
      <c r="AN54" s="121" cm="1">
        <f t="array" ref="AN54">IF($N54&gt;0,((AN$49=$L54)*((13-$M54)/12)+(AN$49&gt;$L54))*$N54*INDEX($H$31:$N$35,$L54-2020,AN$49-2019)*INDEX($H$39:$N$43,$L54-2020,AN$49-2019)*$F$19,0)</f>
        <v>32501.161420800003</v>
      </c>
      <c r="AO54" s="121" cm="1">
        <f t="array" ref="AO54">IF($N54&gt;0,((AO$49=$L54)*((13-$M54)/12)+(AO$49&gt;$L54))*$N54*INDEX($H$31:$N$35,$L54-2020,AO$49-2019)*INDEX($H$39:$N$43,$L54-2020,AO$49-2019)*$F$19,0)</f>
        <v>36219.29428733953</v>
      </c>
      <c r="AP54" s="121" cm="1">
        <f t="array" ref="AP54">IF($N54&gt;0,((AP$49=$L54)*((13-$M54)/12)+(AP$49&gt;$L54))*$N54*INDEX($H$31:$N$35,$L54-2020,AP$49-2019)*INDEX($H$39:$N$43,$L54-2020,AP$49-2019)*$F$19,0)</f>
        <v>37119.343750379914</v>
      </c>
      <c r="AQ54" s="121" cm="1">
        <f t="array" ref="AQ54">IF($N54&gt;0,((AQ$49=$L54)*((13-$M54)/12)+(AQ$49&gt;$L54))*$N54*INDEX($H$31:$N$35,$L54-2020,AQ$49-2019)*INDEX($H$39:$N$43,$L54-2020,AQ$49-2019)*$F$19,0)</f>
        <v>38263.361924766621</v>
      </c>
      <c r="AS54" s="114">
        <f t="shared" si="14"/>
        <v>763552.5124029998</v>
      </c>
      <c r="AT54" s="114">
        <f t="shared" si="15"/>
        <v>774066.61192299053</v>
      </c>
      <c r="AU54" s="114">
        <f t="shared" si="16"/>
        <v>745999.44252949848</v>
      </c>
      <c r="AV54" s="114">
        <f t="shared" si="17"/>
        <v>722885.12497229013</v>
      </c>
    </row>
    <row r="55" spans="1:49" x14ac:dyDescent="0.2">
      <c r="B55" s="124">
        <f>'12. Input inv. &lt;= 10 jaar'!B15</f>
        <v>5</v>
      </c>
      <c r="C55" s="113"/>
      <c r="D55" s="113"/>
      <c r="E55" s="113"/>
      <c r="G55" s="113"/>
      <c r="H55" s="123" t="str">
        <f>'12. Input inv. &lt;= 10 jaar'!E15</f>
        <v>Systeem</v>
      </c>
      <c r="I55" s="123" t="str">
        <f>'12. Input inv. &lt;= 10 jaar'!F15</f>
        <v>EHS</v>
      </c>
      <c r="J55" s="123" t="str">
        <f>'12. Input inv. &lt;= 10 jaar'!G15</f>
        <v>(Proces)automatisering</v>
      </c>
      <c r="K55" s="123">
        <f>'12. Input inv. &lt;= 10 jaar'!H15</f>
        <v>5</v>
      </c>
      <c r="L55" s="124">
        <f>'12. Input inv. &lt;= 10 jaar'!I15</f>
        <v>2021</v>
      </c>
      <c r="M55" s="123">
        <f>'12. Input inv. &lt;= 10 jaar'!J15</f>
        <v>11</v>
      </c>
      <c r="N55" s="123">
        <f>'12. Input inv. &lt;= 10 jaar'!K15</f>
        <v>1170875</v>
      </c>
      <c r="O55" s="113"/>
      <c r="Q55" s="33">
        <f t="shared" si="0"/>
        <v>234175</v>
      </c>
      <c r="R55" s="122">
        <f t="shared" si="1"/>
        <v>2026</v>
      </c>
      <c r="S55" s="33">
        <f t="shared" si="2"/>
        <v>39029.166666666664</v>
      </c>
      <c r="T55" s="33">
        <f t="shared" si="3"/>
        <v>195145.83333331559</v>
      </c>
      <c r="V55" s="121">
        <f t="shared" si="4"/>
        <v>39029.166666666664</v>
      </c>
      <c r="W55" s="121">
        <f t="shared" si="4"/>
        <v>234175</v>
      </c>
      <c r="X55" s="121">
        <f t="shared" si="4"/>
        <v>234175</v>
      </c>
      <c r="Y55" s="121">
        <f t="shared" si="4"/>
        <v>234175</v>
      </c>
      <c r="Z55" s="121">
        <f t="shared" si="4"/>
        <v>234175</v>
      </c>
      <c r="AB55" s="33">
        <f t="shared" si="5"/>
        <v>39029.166666666664</v>
      </c>
      <c r="AC55" s="33">
        <f t="shared" si="6"/>
        <v>236282.57499999998</v>
      </c>
      <c r="AD55" s="33">
        <f t="shared" si="7"/>
        <v>238409.11817499995</v>
      </c>
      <c r="AE55" s="33">
        <f t="shared" si="8"/>
        <v>240554.80023857491</v>
      </c>
      <c r="AF55" s="33">
        <f t="shared" si="9"/>
        <v>242719.7934407221</v>
      </c>
      <c r="AH55" s="121">
        <f t="shared" si="10"/>
        <v>1131845.8333333333</v>
      </c>
      <c r="AI55" s="121">
        <f t="shared" si="11"/>
        <v>905749.87083333312</v>
      </c>
      <c r="AJ55" s="121">
        <f t="shared" si="12"/>
        <v>675492.50149583304</v>
      </c>
      <c r="AK55" s="121">
        <f t="shared" si="13"/>
        <v>441017.13377072051</v>
      </c>
      <c r="AL55" s="121">
        <f t="shared" si="13"/>
        <v>202266.49453393486</v>
      </c>
      <c r="AN55" s="121" cm="1">
        <f t="array" ref="AN55">IF($N55&gt;0,((AN$49=$L55)*((13-$M55)/12)+(AN$49&gt;$L55))*$N55*INDEX($H$31:$N$35,$L55-2020,AN$49-2019)*INDEX($H$39:$N$43,$L55-2020,AN$49-2019)*$F$19,0)</f>
        <v>11929.811199999998</v>
      </c>
      <c r="AO55" s="121" cm="1">
        <f t="array" ref="AO55">IF($N55&gt;0,((AO$49=$L55)*((13-$M55)/12)+(AO$49&gt;$L55))*$N55*INDEX($H$31:$N$35,$L55-2020,AO$49-2019)*INDEX($H$39:$N$43,$L55-2020,AO$49-2019)*$F$19,0)</f>
        <v>13294.581601280002</v>
      </c>
      <c r="AP55" s="121" cm="1">
        <f t="array" ref="AP55">IF($N55&gt;0,((AP$49=$L55)*((13-$M55)/12)+(AP$49&gt;$L55))*$N55*INDEX($H$31:$N$35,$L55-2020,AP$49-2019)*INDEX($H$39:$N$43,$L55-2020,AP$49-2019)*$F$19,0)</f>
        <v>13624.95195407181</v>
      </c>
      <c r="AQ55" s="121" cm="1">
        <f t="array" ref="AQ55">IF($N55&gt;0,((AQ$49=$L55)*((13-$M55)/12)+(AQ$49&gt;$L55))*$N55*INDEX($H$31:$N$35,$L55-2020,AQ$49-2019)*INDEX($H$39:$N$43,$L55-2020,AQ$49-2019)*$F$19,0)</f>
        <v>14044.872973296302</v>
      </c>
      <c r="AS55" s="114">
        <f t="shared" si="14"/>
        <v>281725.13142083329</v>
      </c>
      <c r="AT55" s="114">
        <f t="shared" si="15"/>
        <v>286153.81735256745</v>
      </c>
      <c r="AU55" s="114">
        <f t="shared" si="16"/>
        <v>275789.59174741205</v>
      </c>
      <c r="AV55" s="114">
        <f t="shared" si="17"/>
        <v>267484.79062431696</v>
      </c>
    </row>
    <row r="56" spans="1:49" x14ac:dyDescent="0.2">
      <c r="B56" s="124">
        <f>'12. Input inv. &lt;= 10 jaar'!B16</f>
        <v>6</v>
      </c>
      <c r="C56" s="113"/>
      <c r="D56" s="113"/>
      <c r="E56" s="113"/>
      <c r="G56" s="113"/>
      <c r="H56" s="123" t="str">
        <f>'12. Input inv. &lt;= 10 jaar'!E16</f>
        <v>Systeem</v>
      </c>
      <c r="I56" s="123" t="str">
        <f>'12. Input inv. &lt;= 10 jaar'!F16</f>
        <v>EHS</v>
      </c>
      <c r="J56" s="123" t="str">
        <f>'12. Input inv. &lt;= 10 jaar'!G16</f>
        <v>(Proces)automatisering</v>
      </c>
      <c r="K56" s="123">
        <f>'12. Input inv. &lt;= 10 jaar'!H16</f>
        <v>5</v>
      </c>
      <c r="L56" s="124">
        <f>'12. Input inv. &lt;= 10 jaar'!I16</f>
        <v>2021</v>
      </c>
      <c r="M56" s="123">
        <f>'12. Input inv. &lt;= 10 jaar'!J16</f>
        <v>12</v>
      </c>
      <c r="N56" s="123">
        <f>'12. Input inv. &lt;= 10 jaar'!K16</f>
        <v>794948</v>
      </c>
      <c r="O56" s="113"/>
      <c r="Q56" s="33">
        <f t="shared" si="0"/>
        <v>158989.6</v>
      </c>
      <c r="R56" s="122">
        <f t="shared" si="1"/>
        <v>2026</v>
      </c>
      <c r="S56" s="33">
        <f t="shared" si="2"/>
        <v>13249.133333333333</v>
      </c>
      <c r="T56" s="33">
        <f t="shared" si="3"/>
        <v>145740.46666667872</v>
      </c>
      <c r="V56" s="121">
        <f t="shared" si="4"/>
        <v>13249.133333333333</v>
      </c>
      <c r="W56" s="121">
        <f t="shared" si="4"/>
        <v>158989.6</v>
      </c>
      <c r="X56" s="121">
        <f t="shared" si="4"/>
        <v>158989.6</v>
      </c>
      <c r="Y56" s="121">
        <f t="shared" si="4"/>
        <v>158989.6</v>
      </c>
      <c r="Z56" s="121">
        <f t="shared" si="4"/>
        <v>158989.6</v>
      </c>
      <c r="AB56" s="33">
        <f t="shared" si="5"/>
        <v>13249.133333333333</v>
      </c>
      <c r="AC56" s="33">
        <f t="shared" si="6"/>
        <v>160420.50639999998</v>
      </c>
      <c r="AD56" s="33">
        <f t="shared" si="7"/>
        <v>161864.29095759997</v>
      </c>
      <c r="AE56" s="33">
        <f t="shared" si="8"/>
        <v>163321.06957621835</v>
      </c>
      <c r="AF56" s="33">
        <f t="shared" si="9"/>
        <v>164790.95920240431</v>
      </c>
      <c r="AH56" s="121">
        <f t="shared" si="10"/>
        <v>781698.8666666667</v>
      </c>
      <c r="AI56" s="121">
        <f t="shared" si="11"/>
        <v>628313.65006666665</v>
      </c>
      <c r="AJ56" s="121">
        <f t="shared" si="12"/>
        <v>472104.18195966654</v>
      </c>
      <c r="AK56" s="121">
        <f t="shared" si="13"/>
        <v>313032.05002108519</v>
      </c>
      <c r="AL56" s="121">
        <f t="shared" si="13"/>
        <v>151058.37926887063</v>
      </c>
      <c r="AN56" s="121" cm="1">
        <f t="array" ref="AN56">IF($N56&gt;0,((AN$49=$L56)*((13-$M56)/12)+(AN$49&gt;$L56))*$N56*INDEX($H$31:$N$35,$L56-2020,AN$49-2019)*INDEX($H$39:$N$43,$L56-2020,AN$49-2019)*$F$19,0)</f>
        <v>8099.5661823999999</v>
      </c>
      <c r="AO56" s="121" cm="1">
        <f t="array" ref="AO56">IF($N56&gt;0,((AO$49=$L56)*((13-$M56)/12)+(AO$49&gt;$L56))*$N56*INDEX($H$31:$N$35,$L56-2020,AO$49-2019)*INDEX($H$39:$N$43,$L56-2020,AO$49-2019)*$F$19,0)</f>
        <v>9026.1565536665621</v>
      </c>
      <c r="AP56" s="121" cm="1">
        <f t="array" ref="AP56">IF($N56&gt;0,((AP$49=$L56)*((13-$M56)/12)+(AP$49&gt;$L56))*$N56*INDEX($H$31:$N$35,$L56-2020,AP$49-2019)*INDEX($H$39:$N$43,$L56-2020,AP$49-2019)*$F$19,0)</f>
        <v>9250.4565440251754</v>
      </c>
      <c r="AQ56" s="121" cm="1">
        <f t="array" ref="AQ56">IF($N56&gt;0,((AQ$49=$L56)*((13-$M56)/12)+(AQ$49&gt;$L56))*$N56*INDEX($H$31:$N$35,$L56-2020,AQ$49-2019)*INDEX($H$39:$N$43,$L56-2020,AQ$49-2019)*$F$19,0)</f>
        <v>9535.5556147120315</v>
      </c>
      <c r="AS56" s="114">
        <f t="shared" si="14"/>
        <v>191767.67763486665</v>
      </c>
      <c r="AT56" s="114">
        <f t="shared" si="15"/>
        <v>194967.76079120953</v>
      </c>
      <c r="AU56" s="114">
        <f t="shared" si="16"/>
        <v>187910.09657127672</v>
      </c>
      <c r="AV56" s="114">
        <f t="shared" si="17"/>
        <v>182332.60891836649</v>
      </c>
    </row>
    <row r="57" spans="1:49" x14ac:dyDescent="0.2">
      <c r="B57" s="124">
        <f>'12. Input inv. &lt;= 10 jaar'!B17</f>
        <v>7</v>
      </c>
      <c r="C57" s="113"/>
      <c r="D57" s="113"/>
      <c r="E57" s="113"/>
      <c r="G57" s="113"/>
      <c r="H57" s="123" t="str">
        <f>'12. Input inv. &lt;= 10 jaar'!E17</f>
        <v>Systeem</v>
      </c>
      <c r="I57" s="123" t="str">
        <f>'12. Input inv. &lt;= 10 jaar'!F17</f>
        <v>EHS</v>
      </c>
      <c r="J57" s="123" t="str">
        <f>'12. Input inv. &lt;= 10 jaar'!G17</f>
        <v>(Proces)automatisering</v>
      </c>
      <c r="K57" s="123">
        <f>'12. Input inv. &lt;= 10 jaar'!H17</f>
        <v>5</v>
      </c>
      <c r="L57" s="124">
        <f>'12. Input inv. &lt;= 10 jaar'!I17</f>
        <v>2021</v>
      </c>
      <c r="M57" s="123">
        <f>'12. Input inv. &lt;= 10 jaar'!J17</f>
        <v>13</v>
      </c>
      <c r="N57" s="123">
        <f>'12. Input inv. &lt;= 10 jaar'!K17</f>
        <v>160262.96440000003</v>
      </c>
      <c r="O57" s="113"/>
      <c r="Q57" s="33">
        <f t="shared" si="0"/>
        <v>32052.592880000004</v>
      </c>
      <c r="R57" s="122">
        <f t="shared" si="1"/>
        <v>2027</v>
      </c>
      <c r="S57" s="33">
        <f t="shared" si="2"/>
        <v>0</v>
      </c>
      <c r="T57" s="33">
        <f t="shared" si="3"/>
        <v>0</v>
      </c>
      <c r="V57" s="121">
        <f t="shared" si="4"/>
        <v>0</v>
      </c>
      <c r="W57" s="121">
        <f t="shared" si="4"/>
        <v>32052.592880000004</v>
      </c>
      <c r="X57" s="121">
        <f t="shared" si="4"/>
        <v>32052.592880000004</v>
      </c>
      <c r="Y57" s="121">
        <f t="shared" si="4"/>
        <v>32052.592880000004</v>
      </c>
      <c r="Z57" s="121">
        <f t="shared" si="4"/>
        <v>32052.592880000004</v>
      </c>
      <c r="AB57" s="33">
        <f t="shared" si="5"/>
        <v>0</v>
      </c>
      <c r="AC57" s="33">
        <f t="shared" si="6"/>
        <v>32341.06621592</v>
      </c>
      <c r="AD57" s="33">
        <f t="shared" si="7"/>
        <v>32632.135811863278</v>
      </c>
      <c r="AE57" s="33">
        <f t="shared" si="8"/>
        <v>32925.82503417004</v>
      </c>
      <c r="AF57" s="33">
        <f t="shared" si="9"/>
        <v>33222.157459477574</v>
      </c>
      <c r="AH57" s="121">
        <f t="shared" si="10"/>
        <v>160262.96440000003</v>
      </c>
      <c r="AI57" s="121">
        <f t="shared" si="11"/>
        <v>129364.26486368</v>
      </c>
      <c r="AJ57" s="121">
        <f t="shared" si="12"/>
        <v>97896.407435589834</v>
      </c>
      <c r="AK57" s="121">
        <f t="shared" si="13"/>
        <v>65851.650068340095</v>
      </c>
      <c r="AL57" s="121">
        <f t="shared" si="13"/>
        <v>33222.157459477574</v>
      </c>
      <c r="AN57" s="121" cm="1">
        <f t="array" ref="AN57">IF($N57&gt;0,((AN$49=$L57)*((13-$M57)/12)+(AN$49&gt;$L57))*$N57*INDEX($H$31:$N$35,$L57-2020,AN$49-2019)*INDEX($H$39:$N$43,$L57-2020,AN$49-2019)*$F$19,0)</f>
        <v>1632.8872916787202</v>
      </c>
      <c r="AO57" s="121" cm="1">
        <f t="array" ref="AO57">IF($N57&gt;0,((AO$49=$L57)*((13-$M57)/12)+(AO$49&gt;$L57))*$N57*INDEX($H$31:$N$35,$L57-2020,AO$49-2019)*INDEX($H$39:$N$43,$L57-2020,AO$49-2019)*$F$19,0)</f>
        <v>1819.6895978467664</v>
      </c>
      <c r="AP57" s="121" cm="1">
        <f t="array" ref="AP57">IF($N57&gt;0,((AP$49=$L57)*((13-$M57)/12)+(AP$49&gt;$L57))*$N57*INDEX($H$31:$N$35,$L57-2020,AP$49-2019)*INDEX($H$39:$N$43,$L57-2020,AP$49-2019)*$F$19,0)</f>
        <v>1864.9088843532581</v>
      </c>
      <c r="AQ57" s="121" cm="1">
        <f t="array" ref="AQ57">IF($N57&gt;0,((AQ$49=$L57)*((13-$M57)/12)+(AQ$49&gt;$L57))*$N57*INDEX($H$31:$N$35,$L57-2020,AQ$49-2019)*INDEX($H$39:$N$43,$L57-2020,AQ$49-2019)*$F$19,0)</f>
        <v>1922.3853761690259</v>
      </c>
      <c r="AS57" s="114">
        <f t="shared" si="14"/>
        <v>38760.431307554885</v>
      </c>
      <c r="AT57" s="114">
        <f t="shared" si="15"/>
        <v>39444.542188925123</v>
      </c>
      <c r="AU57" s="114">
        <f t="shared" si="16"/>
        <v>38017.464771871964</v>
      </c>
      <c r="AV57" s="114">
        <f t="shared" si="17"/>
        <v>36905.317180998914</v>
      </c>
    </row>
    <row r="58" spans="1:49" x14ac:dyDescent="0.2">
      <c r="B58" s="124">
        <f>'12. Input inv. &lt;= 10 jaar'!B18</f>
        <v>8</v>
      </c>
      <c r="C58" s="113"/>
      <c r="D58" s="113"/>
      <c r="E58" s="113"/>
      <c r="G58" s="113"/>
      <c r="H58" s="123" t="str">
        <f>'12. Input inv. &lt;= 10 jaar'!E18</f>
        <v>Systeem</v>
      </c>
      <c r="I58" s="123" t="str">
        <f>'12. Input inv. &lt;= 10 jaar'!F18</f>
        <v>EHS</v>
      </c>
      <c r="J58" s="123" t="str">
        <f>'12. Input inv. &lt;= 10 jaar'!G18</f>
        <v>(Proces)automatisering</v>
      </c>
      <c r="K58" s="123">
        <f>'12. Input inv. &lt;= 10 jaar'!H18</f>
        <v>5</v>
      </c>
      <c r="L58" s="124">
        <f>'12. Input inv. &lt;= 10 jaar'!I18</f>
        <v>2021</v>
      </c>
      <c r="M58" s="123">
        <f>'12. Input inv. &lt;= 10 jaar'!J18</f>
        <v>13</v>
      </c>
      <c r="N58" s="123">
        <f>'12. Input inv. &lt;= 10 jaar'!K18</f>
        <v>1199333</v>
      </c>
      <c r="O58" s="113"/>
      <c r="Q58" s="33">
        <f t="shared" si="0"/>
        <v>239866.6</v>
      </c>
      <c r="R58" s="122">
        <f t="shared" si="1"/>
        <v>2027</v>
      </c>
      <c r="S58" s="33">
        <f t="shared" si="2"/>
        <v>0</v>
      </c>
      <c r="T58" s="33">
        <f t="shared" si="3"/>
        <v>0</v>
      </c>
      <c r="V58" s="121">
        <f t="shared" si="4"/>
        <v>0</v>
      </c>
      <c r="W58" s="121">
        <f t="shared" si="4"/>
        <v>239866.6</v>
      </c>
      <c r="X58" s="121">
        <f t="shared" si="4"/>
        <v>239866.6</v>
      </c>
      <c r="Y58" s="121">
        <f t="shared" si="4"/>
        <v>239866.6</v>
      </c>
      <c r="Z58" s="121">
        <f t="shared" si="4"/>
        <v>239866.6</v>
      </c>
      <c r="AB58" s="33">
        <f t="shared" si="5"/>
        <v>0</v>
      </c>
      <c r="AC58" s="33">
        <f t="shared" si="6"/>
        <v>242025.39939999999</v>
      </c>
      <c r="AD58" s="33">
        <f t="shared" si="7"/>
        <v>244203.62799459996</v>
      </c>
      <c r="AE58" s="33">
        <f t="shared" si="8"/>
        <v>246401.46064655131</v>
      </c>
      <c r="AF58" s="33">
        <f t="shared" si="9"/>
        <v>248619.0737923703</v>
      </c>
      <c r="AH58" s="121">
        <f t="shared" si="10"/>
        <v>1199333</v>
      </c>
      <c r="AI58" s="121">
        <f t="shared" si="11"/>
        <v>968101.59759999998</v>
      </c>
      <c r="AJ58" s="121">
        <f t="shared" si="12"/>
        <v>732610.88398379984</v>
      </c>
      <c r="AK58" s="121">
        <f t="shared" si="13"/>
        <v>492802.92129310267</v>
      </c>
      <c r="AL58" s="121">
        <f t="shared" si="13"/>
        <v>248619.07379237024</v>
      </c>
      <c r="AN58" s="121" cm="1">
        <f t="array" ref="AN58">IF($N58&gt;0,((AN$49=$L58)*((13-$M58)/12)+(AN$49&gt;$L58))*$N58*INDEX($H$31:$N$35,$L58-2020,AN$49-2019)*INDEX($H$39:$N$43,$L58-2020,AN$49-2019)*$F$19,0)</f>
        <v>12219.764070400002</v>
      </c>
      <c r="AO58" s="121" cm="1">
        <f t="array" ref="AO58">IF($N58&gt;0,((AO$49=$L58)*((13-$M58)/12)+(AO$49&gt;$L58))*$N58*INDEX($H$31:$N$35,$L58-2020,AO$49-2019)*INDEX($H$39:$N$43,$L58-2020,AO$49-2019)*$F$19,0)</f>
        <v>13617.705080053762</v>
      </c>
      <c r="AP58" s="121" cm="1">
        <f t="array" ref="AP58">IF($N58&gt;0,((AP$49=$L58)*((13-$M58)/12)+(AP$49&gt;$L58))*$N58*INDEX($H$31:$N$35,$L58-2020,AP$49-2019)*INDEX($H$39:$N$43,$L58-2020,AP$49-2019)*$F$19,0)</f>
        <v>13956.105051293098</v>
      </c>
      <c r="AQ58" s="121" cm="1">
        <f t="array" ref="AQ58">IF($N58&gt;0,((AQ$49=$L58)*((13-$M58)/12)+(AQ$49&gt;$L58))*$N58*INDEX($H$31:$N$35,$L58-2020,AQ$49-2019)*INDEX($H$39:$N$43,$L58-2020,AQ$49-2019)*$F$19,0)</f>
        <v>14386.232208973952</v>
      </c>
      <c r="AS58" s="114">
        <f t="shared" si="14"/>
        <v>290064.92258159997</v>
      </c>
      <c r="AT58" s="114">
        <f t="shared" si="15"/>
        <v>295184.48815782752</v>
      </c>
      <c r="AU58" s="114">
        <f t="shared" si="16"/>
        <v>284504.90884120646</v>
      </c>
      <c r="AV58" s="114">
        <f t="shared" si="17"/>
        <v>276182.11691233987</v>
      </c>
    </row>
    <row r="59" spans="1:49" x14ac:dyDescent="0.2">
      <c r="B59" s="124">
        <f>'12. Input inv. &lt;= 10 jaar'!B19</f>
        <v>9</v>
      </c>
      <c r="C59" s="113"/>
      <c r="D59" s="113"/>
      <c r="E59" s="113"/>
      <c r="G59" s="113"/>
      <c r="H59" s="123" t="str">
        <f>'12. Input inv. &lt;= 10 jaar'!E19</f>
        <v>Transport</v>
      </c>
      <c r="I59" s="123" t="str">
        <f>'12. Input inv. &lt;= 10 jaar'!F19</f>
        <v>EHS</v>
      </c>
      <c r="J59" s="123" t="str">
        <f>'12. Input inv. &lt;= 10 jaar'!G19</f>
        <v>(Proces)automatisering</v>
      </c>
      <c r="K59" s="123">
        <f>'12. Input inv. &lt;= 10 jaar'!H19</f>
        <v>5</v>
      </c>
      <c r="L59" s="124">
        <f>'12. Input inv. &lt;= 10 jaar'!I19</f>
        <v>2021</v>
      </c>
      <c r="M59" s="123">
        <f>'12. Input inv. &lt;= 10 jaar'!J19</f>
        <v>7</v>
      </c>
      <c r="N59" s="123">
        <f>'12. Input inv. &lt;= 10 jaar'!K19</f>
        <v>426363.098</v>
      </c>
      <c r="O59" s="113"/>
      <c r="Q59" s="33">
        <f t="shared" si="0"/>
        <v>85272.619600000005</v>
      </c>
      <c r="R59" s="122">
        <f t="shared" si="1"/>
        <v>2026</v>
      </c>
      <c r="S59" s="33">
        <f t="shared" si="2"/>
        <v>42636.309800000003</v>
      </c>
      <c r="T59" s="33">
        <f t="shared" si="3"/>
        <v>42636.309800000003</v>
      </c>
      <c r="V59" s="121">
        <f t="shared" si="4"/>
        <v>42636.309800000003</v>
      </c>
      <c r="W59" s="121">
        <f t="shared" si="4"/>
        <v>85272.619600000005</v>
      </c>
      <c r="X59" s="121">
        <f t="shared" si="4"/>
        <v>85272.619600000005</v>
      </c>
      <c r="Y59" s="121">
        <f t="shared" si="4"/>
        <v>85272.619600000005</v>
      </c>
      <c r="Z59" s="121">
        <f t="shared" si="4"/>
        <v>85272.619600000005</v>
      </c>
      <c r="AB59" s="33">
        <f t="shared" si="5"/>
        <v>42636.309800000003</v>
      </c>
      <c r="AC59" s="33">
        <f t="shared" si="6"/>
        <v>86040.073176399994</v>
      </c>
      <c r="AD59" s="33">
        <f t="shared" si="7"/>
        <v>86814.433834987591</v>
      </c>
      <c r="AE59" s="33">
        <f t="shared" si="8"/>
        <v>87595.763739502465</v>
      </c>
      <c r="AF59" s="33">
        <f t="shared" si="9"/>
        <v>88384.125613157987</v>
      </c>
      <c r="AH59" s="121">
        <f t="shared" si="10"/>
        <v>383726.78820000001</v>
      </c>
      <c r="AI59" s="121">
        <f t="shared" si="11"/>
        <v>301140.25611740001</v>
      </c>
      <c r="AJ59" s="121">
        <f t="shared" si="12"/>
        <v>217036.084587469</v>
      </c>
      <c r="AK59" s="121">
        <f t="shared" si="13"/>
        <v>131393.64560925373</v>
      </c>
      <c r="AL59" s="121">
        <f t="shared" si="13"/>
        <v>44192.062806579022</v>
      </c>
      <c r="AN59" s="121" cm="1">
        <f t="array" ref="AN59">IF($N59&gt;0,((AN$49=$L59)*((13-$M59)/12)+(AN$49&gt;$L59))*$N59*INDEX($H$31:$N$35,$L59-2020,AN$49-2019)*INDEX($H$39:$N$43,$L59-2020,AN$49-2019)*$F$19,0)</f>
        <v>4344.1283329024</v>
      </c>
      <c r="AO59" s="121" cm="1">
        <f t="array" ref="AO59">IF($N59&gt;0,((AO$49=$L59)*((13-$M59)/12)+(AO$49&gt;$L59))*$N59*INDEX($H$31:$N$35,$L59-2020,AO$49-2019)*INDEX($H$39:$N$43,$L59-2020,AO$49-2019)*$F$19,0)</f>
        <v>4841.0966141864355</v>
      </c>
      <c r="AP59" s="121" cm="1">
        <f t="array" ref="AP59">IF($N59&gt;0,((AP$49=$L59)*((13-$M59)/12)+(AP$49&gt;$L59))*$N59*INDEX($H$31:$N$35,$L59-2020,AP$49-2019)*INDEX($H$39:$N$43,$L59-2020,AP$49-2019)*$F$19,0)</f>
        <v>4961.397865048968</v>
      </c>
      <c r="AQ59" s="121" cm="1">
        <f t="array" ref="AQ59">IF($N59&gt;0,((AQ$49=$L59)*((13-$M59)/12)+(AQ$49&gt;$L59))*$N59*INDEX($H$31:$N$35,$L59-2020,AQ$49-2019)*INDEX($H$39:$N$43,$L59-2020,AQ$49-2019)*$F$19,0)</f>
        <v>5114.308147249777</v>
      </c>
      <c r="AS59" s="114">
        <f t="shared" si="14"/>
        <v>101526.3909856462</v>
      </c>
      <c r="AT59" s="114">
        <f t="shared" si="15"/>
        <v>102724.37076313494</v>
      </c>
      <c r="AU59" s="114">
        <f t="shared" si="16"/>
        <v>98995.450239404876</v>
      </c>
      <c r="AV59" s="114">
        <f t="shared" si="17"/>
        <v>95840.613089156453</v>
      </c>
    </row>
    <row r="60" spans="1:49" x14ac:dyDescent="0.2">
      <c r="B60" s="124">
        <f>'12. Input inv. &lt;= 10 jaar'!B20</f>
        <v>10</v>
      </c>
      <c r="C60" s="113"/>
      <c r="D60" s="113"/>
      <c r="E60" s="113"/>
      <c r="G60" s="113"/>
      <c r="H60" s="123" t="str">
        <f>'12. Input inv. &lt;= 10 jaar'!E20</f>
        <v>Transport</v>
      </c>
      <c r="I60" s="123" t="str">
        <f>'12. Input inv. &lt;= 10 jaar'!F20</f>
        <v>EHS</v>
      </c>
      <c r="J60" s="123" t="str">
        <f>'12. Input inv. &lt;= 10 jaar'!G20</f>
        <v>(Proces)automatisering</v>
      </c>
      <c r="K60" s="123">
        <f>'12. Input inv. &lt;= 10 jaar'!H20</f>
        <v>5</v>
      </c>
      <c r="L60" s="124">
        <f>'12. Input inv. &lt;= 10 jaar'!I20</f>
        <v>2021</v>
      </c>
      <c r="M60" s="123">
        <f>'12. Input inv. &lt;= 10 jaar'!J20</f>
        <v>13</v>
      </c>
      <c r="N60" s="123">
        <f>'12. Input inv. &lt;= 10 jaar'!K20</f>
        <v>216826.36360000001</v>
      </c>
      <c r="O60" s="113"/>
      <c r="Q60" s="33">
        <f t="shared" si="0"/>
        <v>43365.272720000001</v>
      </c>
      <c r="R60" s="122">
        <f t="shared" si="1"/>
        <v>2027</v>
      </c>
      <c r="S60" s="33">
        <f t="shared" si="2"/>
        <v>0</v>
      </c>
      <c r="T60" s="33">
        <f t="shared" si="3"/>
        <v>0</v>
      </c>
      <c r="V60" s="121">
        <f t="shared" si="4"/>
        <v>0</v>
      </c>
      <c r="W60" s="121">
        <f t="shared" si="4"/>
        <v>43365.272720000001</v>
      </c>
      <c r="X60" s="121">
        <f t="shared" si="4"/>
        <v>43365.272720000001</v>
      </c>
      <c r="Y60" s="121">
        <f t="shared" si="4"/>
        <v>43365.272720000001</v>
      </c>
      <c r="Z60" s="121">
        <f t="shared" si="4"/>
        <v>43365.272720000001</v>
      </c>
      <c r="AB60" s="33">
        <f t="shared" si="5"/>
        <v>0</v>
      </c>
      <c r="AC60" s="33">
        <f t="shared" si="6"/>
        <v>43755.560174479993</v>
      </c>
      <c r="AD60" s="33">
        <f t="shared" si="7"/>
        <v>44149.360216050314</v>
      </c>
      <c r="AE60" s="33">
        <f t="shared" si="8"/>
        <v>44546.704457994754</v>
      </c>
      <c r="AF60" s="33">
        <f t="shared" si="9"/>
        <v>44947.624798116711</v>
      </c>
      <c r="AH60" s="121">
        <f t="shared" si="10"/>
        <v>216826.36360000001</v>
      </c>
      <c r="AI60" s="121">
        <f t="shared" si="11"/>
        <v>175022.24069792</v>
      </c>
      <c r="AJ60" s="121">
        <f t="shared" si="12"/>
        <v>132448.08064815094</v>
      </c>
      <c r="AK60" s="121">
        <f t="shared" si="13"/>
        <v>89093.408915989537</v>
      </c>
      <c r="AL60" s="121">
        <f t="shared" si="13"/>
        <v>44947.624798116725</v>
      </c>
      <c r="AN60" s="121" cm="1">
        <f t="array" ref="AN60">IF($N60&gt;0,((AN$49=$L60)*((13-$M60)/12)+(AN$49&gt;$L60))*$N60*INDEX($H$31:$N$35,$L60-2020,AN$49-2019)*INDEX($H$39:$N$43,$L60-2020,AN$49-2019)*$F$19,0)</f>
        <v>2209.20045344768</v>
      </c>
      <c r="AO60" s="121" cm="1">
        <f t="array" ref="AO60">IF($N60&gt;0,((AO$49=$L60)*((13-$M60)/12)+(AO$49&gt;$L60))*$N60*INDEX($H$31:$N$35,$L60-2020,AO$49-2019)*INDEX($H$39:$N$43,$L60-2020,AO$49-2019)*$F$19,0)</f>
        <v>2461.9329853220952</v>
      </c>
      <c r="AP60" s="121" cm="1">
        <f t="array" ref="AP60">IF($N60&gt;0,((AP$49=$L60)*((13-$M60)/12)+(AP$49&gt;$L60))*$N60*INDEX($H$31:$N$35,$L60-2020,AP$49-2019)*INDEX($H$39:$N$43,$L60-2020,AP$49-2019)*$F$19,0)</f>
        <v>2523.1120200073487</v>
      </c>
      <c r="AQ60" s="121" cm="1">
        <f t="array" ref="AQ60">IF($N60&gt;0,((AQ$49=$L60)*((13-$M60)/12)+(AQ$49&gt;$L60))*$N60*INDEX($H$31:$N$35,$L60-2020,AQ$49-2019)*INDEX($H$39:$N$43,$L60-2020,AQ$49-2019)*$F$19,0)</f>
        <v>2600.8743324639759</v>
      </c>
      <c r="AS60" s="114">
        <f t="shared" si="14"/>
        <v>52440.583533750716</v>
      </c>
      <c r="AT60" s="114">
        <f t="shared" si="15"/>
        <v>53366.145314428111</v>
      </c>
      <c r="AU60" s="114">
        <f t="shared" si="16"/>
        <v>51435.393514885589</v>
      </c>
      <c r="AV60" s="114">
        <f t="shared" si="17"/>
        <v>49930.723244880872</v>
      </c>
    </row>
    <row r="61" spans="1:49" x14ac:dyDescent="0.2">
      <c r="B61" s="124">
        <f>'12. Input inv. &lt;= 10 jaar'!B21</f>
        <v>11</v>
      </c>
      <c r="C61" s="113"/>
      <c r="D61" s="113"/>
      <c r="E61" s="113"/>
      <c r="G61" s="113"/>
      <c r="H61" s="123" t="str">
        <f>'12. Input inv. &lt;= 10 jaar'!E21</f>
        <v>Transport</v>
      </c>
      <c r="I61" s="123" t="str">
        <f>'12. Input inv. &lt;= 10 jaar'!F21</f>
        <v>HS</v>
      </c>
      <c r="J61" s="123" t="str">
        <f>'12. Input inv. &lt;= 10 jaar'!G21</f>
        <v>(Proces)automatisering</v>
      </c>
      <c r="K61" s="123">
        <f>'12. Input inv. &lt;= 10 jaar'!H21</f>
        <v>5</v>
      </c>
      <c r="L61" s="124">
        <f>'12. Input inv. &lt;= 10 jaar'!I21</f>
        <v>2021</v>
      </c>
      <c r="M61" s="123">
        <f>'12. Input inv. &lt;= 10 jaar'!J21</f>
        <v>7</v>
      </c>
      <c r="N61" s="123">
        <f>'12. Input inv. &lt;= 10 jaar'!K21</f>
        <v>1347942.9620000001</v>
      </c>
      <c r="O61" s="113"/>
      <c r="Q61" s="33">
        <f t="shared" si="0"/>
        <v>269588.59240000002</v>
      </c>
      <c r="R61" s="122">
        <f t="shared" si="1"/>
        <v>2026</v>
      </c>
      <c r="S61" s="33">
        <f t="shared" si="2"/>
        <v>134794.29620000001</v>
      </c>
      <c r="T61" s="33">
        <f t="shared" si="3"/>
        <v>134794.29620000001</v>
      </c>
      <c r="V61" s="121">
        <f t="shared" ref="V61:Z70" si="18">((V$49=$L61)*$S61+(V$49&gt;$L61)*(V$49&lt;$R61)*$Q61+(V$49=$R61)*$T61)</f>
        <v>134794.29620000001</v>
      </c>
      <c r="W61" s="121">
        <f t="shared" si="18"/>
        <v>269588.59240000002</v>
      </c>
      <c r="X61" s="121">
        <f t="shared" si="18"/>
        <v>269588.59240000002</v>
      </c>
      <c r="Y61" s="121">
        <f t="shared" si="18"/>
        <v>269588.59240000002</v>
      </c>
      <c r="Z61" s="121">
        <f t="shared" si="18"/>
        <v>269588.59240000002</v>
      </c>
      <c r="AB61" s="33">
        <f t="shared" si="5"/>
        <v>134794.29620000001</v>
      </c>
      <c r="AC61" s="33">
        <f t="shared" si="6"/>
        <v>272014.88973160001</v>
      </c>
      <c r="AD61" s="33">
        <f t="shared" si="7"/>
        <v>274463.02373918437</v>
      </c>
      <c r="AE61" s="33">
        <f t="shared" si="8"/>
        <v>276933.190952837</v>
      </c>
      <c r="AF61" s="33">
        <f t="shared" si="9"/>
        <v>279425.58967141254</v>
      </c>
      <c r="AH61" s="121">
        <f t="shared" si="10"/>
        <v>1213148.6658000001</v>
      </c>
      <c r="AI61" s="121">
        <f t="shared" si="11"/>
        <v>952052.11406060006</v>
      </c>
      <c r="AJ61" s="121">
        <f t="shared" si="12"/>
        <v>686157.55934796098</v>
      </c>
      <c r="AK61" s="121">
        <f t="shared" si="13"/>
        <v>415399.7864292555</v>
      </c>
      <c r="AL61" s="121">
        <f t="shared" si="13"/>
        <v>139712.79483570624</v>
      </c>
      <c r="AN61" s="121" cm="1">
        <f t="array" ref="AN61">IF($N61&gt;0,((AN$49=$L61)*((13-$M61)/12)+(AN$49&gt;$L61))*$N61*INDEX($H$31:$N$35,$L61-2020,AN$49-2019)*INDEX($H$39:$N$43,$L61-2020,AN$49-2019)*$F$19,0)</f>
        <v>13733.921251225602</v>
      </c>
      <c r="AO61" s="121" cm="1">
        <f t="array" ref="AO61">IF($N61&gt;0,((AO$49=$L61)*((13-$M61)/12)+(AO$49&gt;$L61))*$N61*INDEX($H$31:$N$35,$L61-2020,AO$49-2019)*INDEX($H$39:$N$43,$L61-2020,AO$49-2019)*$F$19,0)</f>
        <v>15305.081842365813</v>
      </c>
      <c r="AP61" s="121" cm="1">
        <f t="array" ref="AP61">IF($N61&gt;0,((AP$49=$L61)*((13-$M61)/12)+(AP$49&gt;$L61))*$N61*INDEX($H$31:$N$35,$L61-2020,AP$49-2019)*INDEX($H$39:$N$43,$L61-2020,AP$49-2019)*$F$19,0)</f>
        <v>15685.413126148604</v>
      </c>
      <c r="AQ61" s="121" cm="1">
        <f t="array" ref="AQ61">IF($N61&gt;0,((AQ$49=$L61)*((13-$M61)/12)+(AQ$49&gt;$L61))*$N61*INDEX($H$31:$N$35,$L61-2020,AQ$49-2019)*INDEX($H$39:$N$43,$L61-2020,AQ$49-2019)*$F$19,0)</f>
        <v>16168.837558696503</v>
      </c>
      <c r="AS61" s="114">
        <f t="shared" si="14"/>
        <v>320974.73920306779</v>
      </c>
      <c r="AT61" s="114">
        <f t="shared" si="15"/>
        <v>324762.14110829617</v>
      </c>
      <c r="AU61" s="114">
        <f t="shared" si="16"/>
        <v>312973.19361401908</v>
      </c>
      <c r="AV61" s="114">
        <f t="shared" si="17"/>
        <v>302999.20535640151</v>
      </c>
    </row>
    <row r="62" spans="1:49" x14ac:dyDescent="0.2">
      <c r="B62" s="124">
        <f>'12. Input inv. &lt;= 10 jaar'!B22</f>
        <v>12</v>
      </c>
      <c r="C62" s="113"/>
      <c r="D62" s="113"/>
      <c r="E62" s="113"/>
      <c r="G62" s="113"/>
      <c r="H62" s="123" t="str">
        <f>'12. Input inv. &lt;= 10 jaar'!E22</f>
        <v>Transport</v>
      </c>
      <c r="I62" s="123" t="str">
        <f>'12. Input inv. &lt;= 10 jaar'!F22</f>
        <v>HS</v>
      </c>
      <c r="J62" s="123" t="str">
        <f>'12. Input inv. &lt;= 10 jaar'!G22</f>
        <v>(Proces)automatisering</v>
      </c>
      <c r="K62" s="123">
        <f>'12. Input inv. &lt;= 10 jaar'!H22</f>
        <v>5</v>
      </c>
      <c r="L62" s="124">
        <f>'12. Input inv. &lt;= 10 jaar'!I22</f>
        <v>2021</v>
      </c>
      <c r="M62" s="123">
        <f>'12. Input inv. &lt;= 10 jaar'!J22</f>
        <v>13</v>
      </c>
      <c r="N62" s="123">
        <f>'12. Input inv. &lt;= 10 jaar'!K22</f>
        <v>685494.52840000007</v>
      </c>
      <c r="O62" s="113"/>
      <c r="Q62" s="33">
        <f t="shared" si="0"/>
        <v>137098.90568000003</v>
      </c>
      <c r="R62" s="122">
        <f t="shared" si="1"/>
        <v>2027</v>
      </c>
      <c r="S62" s="33">
        <f t="shared" si="2"/>
        <v>0</v>
      </c>
      <c r="T62" s="33">
        <f t="shared" si="3"/>
        <v>0</v>
      </c>
      <c r="V62" s="121">
        <f t="shared" si="18"/>
        <v>0</v>
      </c>
      <c r="W62" s="121">
        <f t="shared" si="18"/>
        <v>137098.90568000003</v>
      </c>
      <c r="X62" s="121">
        <f t="shared" si="18"/>
        <v>137098.90568000003</v>
      </c>
      <c r="Y62" s="121">
        <f t="shared" si="18"/>
        <v>137098.90568000003</v>
      </c>
      <c r="Z62" s="121">
        <f t="shared" si="18"/>
        <v>137098.90568000003</v>
      </c>
      <c r="AB62" s="33">
        <f t="shared" si="5"/>
        <v>0</v>
      </c>
      <c r="AC62" s="33">
        <f t="shared" si="6"/>
        <v>138332.79583112002</v>
      </c>
      <c r="AD62" s="33">
        <f t="shared" si="7"/>
        <v>139577.79099360007</v>
      </c>
      <c r="AE62" s="33">
        <f t="shared" si="8"/>
        <v>140833.99111254246</v>
      </c>
      <c r="AF62" s="33">
        <f t="shared" si="9"/>
        <v>142101.49703255534</v>
      </c>
      <c r="AH62" s="121">
        <f t="shared" si="10"/>
        <v>685494.52840000007</v>
      </c>
      <c r="AI62" s="121">
        <f t="shared" si="11"/>
        <v>553331.18332447996</v>
      </c>
      <c r="AJ62" s="121">
        <f t="shared" si="12"/>
        <v>418733.37298080022</v>
      </c>
      <c r="AK62" s="121">
        <f t="shared" si="13"/>
        <v>281667.98222508491</v>
      </c>
      <c r="AL62" s="121">
        <f t="shared" si="13"/>
        <v>142101.49703255529</v>
      </c>
      <c r="AN62" s="121" cm="1">
        <f t="array" ref="AN62">IF($N62&gt;0,((AN$49=$L62)*((13-$M62)/12)+(AN$49&gt;$L62))*$N62*INDEX($H$31:$N$35,$L62-2020,AN$49-2019)*INDEX($H$39:$N$43,$L62-2020,AN$49-2019)*$F$19,0)</f>
        <v>6984.3666509619206</v>
      </c>
      <c r="AO62" s="121" cm="1">
        <f t="array" ref="AO62">IF($N62&gt;0,((AO$49=$L62)*((13-$M62)/12)+(AO$49&gt;$L62))*$N62*INDEX($H$31:$N$35,$L62-2020,AO$49-2019)*INDEX($H$39:$N$43,$L62-2020,AO$49-2019)*$F$19,0)</f>
        <v>7783.3781958319669</v>
      </c>
      <c r="AP62" s="121" cm="1">
        <f t="array" ref="AP62">IF($N62&gt;0,((AP$49=$L62)*((13-$M62)/12)+(AP$49&gt;$L62))*$N62*INDEX($H$31:$N$35,$L62-2020,AP$49-2019)*INDEX($H$39:$N$43,$L62-2020,AP$49-2019)*$F$19,0)</f>
        <v>7976.7951439983899</v>
      </c>
      <c r="AQ62" s="121" cm="1">
        <f t="array" ref="AQ62">IF($N62&gt;0,((AQ$49=$L62)*((13-$M62)/12)+(AQ$49&gt;$L62))*$N62*INDEX($H$31:$N$35,$L62-2020,AQ$49-2019)*INDEX($H$39:$N$43,$L62-2020,AQ$49-2019)*$F$19,0)</f>
        <v>8222.6399703364204</v>
      </c>
      <c r="AS62" s="114">
        <f t="shared" si="14"/>
        <v>165790.4162650877</v>
      </c>
      <c r="AT62" s="114">
        <f t="shared" si="15"/>
        <v>168716.57121145283</v>
      </c>
      <c r="AU62" s="114">
        <f t="shared" si="16"/>
        <v>162612.51738557001</v>
      </c>
      <c r="AV62" s="114">
        <f t="shared" si="17"/>
        <v>157855.51634561722</v>
      </c>
    </row>
    <row r="63" spans="1:49" x14ac:dyDescent="0.2">
      <c r="B63" s="124">
        <f>'12. Input inv. &lt;= 10 jaar'!B23</f>
        <v>13</v>
      </c>
      <c r="C63" s="113"/>
      <c r="D63" s="113"/>
      <c r="E63" s="113"/>
      <c r="G63" s="113"/>
      <c r="H63" s="123" t="str">
        <f>'12. Input inv. &lt;= 10 jaar'!E23</f>
        <v>Systeem</v>
      </c>
      <c r="I63" s="123" t="str">
        <f>'12. Input inv. &lt;= 10 jaar'!F23</f>
        <v>EHS</v>
      </c>
      <c r="J63" s="123" t="str">
        <f>'12. Input inv. &lt;= 10 jaar'!G23</f>
        <v>(Proces)automatisering</v>
      </c>
      <c r="K63" s="123">
        <f>'12. Input inv. &lt;= 10 jaar'!H23</f>
        <v>5</v>
      </c>
      <c r="L63" s="124">
        <f>'12. Input inv. &lt;= 10 jaar'!I23</f>
        <v>2022</v>
      </c>
      <c r="M63" s="123">
        <f>'12. Input inv. &lt;= 10 jaar'!J23</f>
        <v>1</v>
      </c>
      <c r="N63" s="123">
        <f>'12. Input inv. &lt;= 10 jaar'!K23</f>
        <v>2987481</v>
      </c>
      <c r="O63" s="113"/>
      <c r="Q63" s="33">
        <f t="shared" si="0"/>
        <v>597496.19999999995</v>
      </c>
      <c r="R63" s="122">
        <f t="shared" si="1"/>
        <v>2027</v>
      </c>
      <c r="S63" s="33">
        <f t="shared" si="2"/>
        <v>597496.19999999995</v>
      </c>
      <c r="T63" s="33">
        <f t="shared" si="3"/>
        <v>0</v>
      </c>
      <c r="V63" s="121">
        <f t="shared" si="18"/>
        <v>0</v>
      </c>
      <c r="W63" s="121">
        <f t="shared" si="18"/>
        <v>597496.19999999995</v>
      </c>
      <c r="X63" s="121">
        <f t="shared" si="18"/>
        <v>597496.19999999995</v>
      </c>
      <c r="Y63" s="121">
        <f t="shared" si="18"/>
        <v>597496.19999999995</v>
      </c>
      <c r="Z63" s="121">
        <f t="shared" si="18"/>
        <v>597496.19999999995</v>
      </c>
      <c r="AB63" s="33">
        <f t="shared" si="5"/>
        <v>0</v>
      </c>
      <c r="AC63" s="33">
        <f t="shared" si="6"/>
        <v>597496.19999999995</v>
      </c>
      <c r="AD63" s="33">
        <f t="shared" si="7"/>
        <v>602873.66579999984</v>
      </c>
      <c r="AE63" s="33">
        <f t="shared" si="8"/>
        <v>608299.5287921998</v>
      </c>
      <c r="AF63" s="33">
        <f t="shared" si="9"/>
        <v>613774.22455132951</v>
      </c>
      <c r="AH63" s="121">
        <f t="shared" si="10"/>
        <v>0</v>
      </c>
      <c r="AI63" s="121">
        <f t="shared" si="11"/>
        <v>2389984.7999999998</v>
      </c>
      <c r="AJ63" s="121">
        <f t="shared" si="12"/>
        <v>1808620.9973999995</v>
      </c>
      <c r="AK63" s="121">
        <f t="shared" si="13"/>
        <v>1216599.0575843994</v>
      </c>
      <c r="AL63" s="121">
        <f t="shared" si="13"/>
        <v>613774.22455132927</v>
      </c>
      <c r="AN63" s="121" cm="1">
        <f t="array" ref="AN63">IF($N63&gt;0,((AN$49=$L63)*((13-$M63)/12)+(AN$49&gt;$L63))*$N63*INDEX($H$31:$N$35,$L63-2020,AN$49-2019)*INDEX($H$39:$N$43,$L63-2020,AN$49-2019)*$F$19,0)</f>
        <v>29874.81</v>
      </c>
      <c r="AO63" s="121" cm="1">
        <f t="array" ref="AO63">IF($N63&gt;0,((AO$49=$L63)*((13-$M63)/12)+(AO$49&gt;$L63))*$N63*INDEX($H$31:$N$35,$L63-2020,AO$49-2019)*INDEX($H$39:$N$43,$L63-2020,AO$49-2019)*$F$19,0)</f>
        <v>33292.488264</v>
      </c>
      <c r="AP63" s="121" cm="1">
        <f t="array" ref="AP63">IF($N63&gt;0,((AP$49=$L63)*((13-$M63)/12)+(AP$49&gt;$L63))*$N63*INDEX($H$31:$N$35,$L63-2020,AP$49-2019)*INDEX($H$39:$N$43,$L63-2020,AP$49-2019)*$F$19,0)</f>
        <v>34119.80659736041</v>
      </c>
      <c r="AQ63" s="121" cm="1">
        <f t="array" ref="AQ63">IF($N63&gt;0,((AQ$49=$L63)*((13-$M63)/12)+(AQ$49&gt;$L63))*$N63*INDEX($H$31:$N$35,$L63-2020,AQ$49-2019)*INDEX($H$39:$N$43,$L63-2020,AQ$49-2019)*$F$19,0)</f>
        <v>35171.379036691062</v>
      </c>
      <c r="AS63" s="114">
        <f t="shared" si="14"/>
        <v>715800.44759999996</v>
      </c>
      <c r="AT63" s="114">
        <f t="shared" si="15"/>
        <v>728405.8249313999</v>
      </c>
      <c r="AU63" s="114">
        <f t="shared" si="16"/>
        <v>702032.6892111958</v>
      </c>
      <c r="AV63" s="114">
        <f t="shared" si="17"/>
        <v>681475.63748924097</v>
      </c>
    </row>
    <row r="64" spans="1:49" x14ac:dyDescent="0.2">
      <c r="B64" s="124">
        <f>'12. Input inv. &lt;= 10 jaar'!B24</f>
        <v>14</v>
      </c>
      <c r="C64" s="113"/>
      <c r="D64" s="113"/>
      <c r="E64" s="113"/>
      <c r="G64" s="113"/>
      <c r="H64" s="123" t="str">
        <f>'12. Input inv. &lt;= 10 jaar'!E24</f>
        <v>Systeem</v>
      </c>
      <c r="I64" s="123" t="str">
        <f>'12. Input inv. &lt;= 10 jaar'!F24</f>
        <v>EHS</v>
      </c>
      <c r="J64" s="123" t="str">
        <f>'12. Input inv. &lt;= 10 jaar'!G24</f>
        <v>(Proces)automatisering</v>
      </c>
      <c r="K64" s="123">
        <f>'12. Input inv. &lt;= 10 jaar'!H24</f>
        <v>5</v>
      </c>
      <c r="L64" s="124">
        <f>'12. Input inv. &lt;= 10 jaar'!I24</f>
        <v>2022</v>
      </c>
      <c r="M64" s="123">
        <f>'12. Input inv. &lt;= 10 jaar'!J24</f>
        <v>2</v>
      </c>
      <c r="N64" s="123">
        <f>'12. Input inv. &lt;= 10 jaar'!K24</f>
        <v>541346</v>
      </c>
      <c r="O64" s="113"/>
      <c r="Q64" s="33">
        <f t="shared" si="0"/>
        <v>108269.2</v>
      </c>
      <c r="R64" s="122">
        <f t="shared" si="1"/>
        <v>2027</v>
      </c>
      <c r="S64" s="33">
        <f t="shared" si="2"/>
        <v>99246.766666666663</v>
      </c>
      <c r="T64" s="33">
        <f t="shared" si="3"/>
        <v>9022.433333325127</v>
      </c>
      <c r="V64" s="121">
        <f t="shared" si="18"/>
        <v>0</v>
      </c>
      <c r="W64" s="121">
        <f t="shared" si="18"/>
        <v>99246.766666666663</v>
      </c>
      <c r="X64" s="121">
        <f t="shared" si="18"/>
        <v>108269.2</v>
      </c>
      <c r="Y64" s="121">
        <f t="shared" si="18"/>
        <v>108269.2</v>
      </c>
      <c r="Z64" s="121">
        <f t="shared" si="18"/>
        <v>108269.2</v>
      </c>
      <c r="AB64" s="33">
        <f t="shared" si="5"/>
        <v>0</v>
      </c>
      <c r="AC64" s="33">
        <f t="shared" si="6"/>
        <v>99246.766666666663</v>
      </c>
      <c r="AD64" s="33">
        <f t="shared" si="7"/>
        <v>109243.62279999998</v>
      </c>
      <c r="AE64" s="33">
        <f t="shared" si="8"/>
        <v>110226.81540519997</v>
      </c>
      <c r="AF64" s="33">
        <f t="shared" si="9"/>
        <v>111218.85674384676</v>
      </c>
      <c r="AH64" s="121">
        <f t="shared" si="10"/>
        <v>0</v>
      </c>
      <c r="AI64" s="121">
        <f t="shared" si="11"/>
        <v>442099.23333333334</v>
      </c>
      <c r="AJ64" s="121">
        <f t="shared" si="12"/>
        <v>336834.50363333325</v>
      </c>
      <c r="AK64" s="121">
        <f t="shared" si="13"/>
        <v>229639.19876083327</v>
      </c>
      <c r="AL64" s="121">
        <f t="shared" si="13"/>
        <v>120487.094805834</v>
      </c>
      <c r="AN64" s="121" cm="1">
        <f t="array" ref="AN64">IF($N64&gt;0,((AN$49=$L64)*((13-$M64)/12)+(AN$49&gt;$L64))*$N64*INDEX($H$31:$N$35,$L64-2020,AN$49-2019)*INDEX($H$39:$N$43,$L64-2020,AN$49-2019)*$F$19,0)</f>
        <v>4962.3383333333331</v>
      </c>
      <c r="AO64" s="121" cm="1">
        <f t="array" ref="AO64">IF($N64&gt;0,((AO$49=$L64)*((13-$M64)/12)+(AO$49&gt;$L64))*$N64*INDEX($H$31:$N$35,$L64-2020,AO$49-2019)*INDEX($H$39:$N$43,$L64-2020,AO$49-2019)*$F$19,0)</f>
        <v>6032.7598239999998</v>
      </c>
      <c r="AP64" s="121" cm="1">
        <f t="array" ref="AP64">IF($N64&gt;0,((AP$49=$L64)*((13-$M64)/12)+(AP$49&gt;$L64))*$N64*INDEX($H$31:$N$35,$L64-2020,AP$49-2019)*INDEX($H$39:$N$43,$L64-2020,AP$49-2019)*$F$19,0)</f>
        <v>6182.6739056264014</v>
      </c>
      <c r="AQ64" s="121" cm="1">
        <f t="array" ref="AQ64">IF($N64&gt;0,((AQ$49=$L64)*((13-$M64)/12)+(AQ$49&gt;$L64))*$N64*INDEX($H$31:$N$35,$L64-2020,AQ$49-2019)*INDEX($H$39:$N$43,$L64-2020,AQ$49-2019)*$F$19,0)</f>
        <v>6373.2239153978071</v>
      </c>
      <c r="AS64" s="114">
        <f t="shared" si="14"/>
        <v>120566.77663333333</v>
      </c>
      <c r="AT64" s="114">
        <f t="shared" si="15"/>
        <v>132454.94230929998</v>
      </c>
      <c r="AU64" s="114">
        <f t="shared" si="16"/>
        <v>127661.8100501072</v>
      </c>
      <c r="AV64" s="114">
        <f t="shared" si="17"/>
        <v>123977.89668395376</v>
      </c>
    </row>
    <row r="65" spans="2:48" x14ac:dyDescent="0.2">
      <c r="B65" s="124">
        <f>'12. Input inv. &lt;= 10 jaar'!B25</f>
        <v>15</v>
      </c>
      <c r="C65" s="113"/>
      <c r="D65" s="113"/>
      <c r="E65" s="113"/>
      <c r="G65" s="113"/>
      <c r="H65" s="123" t="str">
        <f>'12. Input inv. &lt;= 10 jaar'!E25</f>
        <v>Systeem</v>
      </c>
      <c r="I65" s="123" t="str">
        <f>'12. Input inv. &lt;= 10 jaar'!F25</f>
        <v>EHS</v>
      </c>
      <c r="J65" s="123" t="str">
        <f>'12. Input inv. &lt;= 10 jaar'!G25</f>
        <v>(Proces)automatisering</v>
      </c>
      <c r="K65" s="123">
        <f>'12. Input inv. &lt;= 10 jaar'!H25</f>
        <v>5</v>
      </c>
      <c r="L65" s="124">
        <f>'12. Input inv. &lt;= 10 jaar'!I25</f>
        <v>2022</v>
      </c>
      <c r="M65" s="123">
        <f>'12. Input inv. &lt;= 10 jaar'!J25</f>
        <v>6</v>
      </c>
      <c r="N65" s="123">
        <f>'12. Input inv. &lt;= 10 jaar'!K25</f>
        <v>2580118</v>
      </c>
      <c r="O65" s="113"/>
      <c r="Q65" s="33">
        <f t="shared" si="0"/>
        <v>516023.6</v>
      </c>
      <c r="R65" s="122">
        <f t="shared" si="1"/>
        <v>2027</v>
      </c>
      <c r="S65" s="33">
        <f t="shared" si="2"/>
        <v>301013.76666666666</v>
      </c>
      <c r="T65" s="33">
        <f t="shared" si="3"/>
        <v>215009.83333337243</v>
      </c>
      <c r="V65" s="121">
        <f t="shared" si="18"/>
        <v>0</v>
      </c>
      <c r="W65" s="121">
        <f t="shared" si="18"/>
        <v>301013.76666666666</v>
      </c>
      <c r="X65" s="121">
        <f t="shared" si="18"/>
        <v>516023.6</v>
      </c>
      <c r="Y65" s="121">
        <f t="shared" si="18"/>
        <v>516023.6</v>
      </c>
      <c r="Z65" s="121">
        <f t="shared" si="18"/>
        <v>516023.6</v>
      </c>
      <c r="AB65" s="33">
        <f t="shared" si="5"/>
        <v>0</v>
      </c>
      <c r="AC65" s="33">
        <f t="shared" si="6"/>
        <v>301013.76666666666</v>
      </c>
      <c r="AD65" s="33">
        <f t="shared" si="7"/>
        <v>520667.81239999994</v>
      </c>
      <c r="AE65" s="33">
        <f t="shared" si="8"/>
        <v>525353.82271159987</v>
      </c>
      <c r="AF65" s="33">
        <f t="shared" si="9"/>
        <v>530082.00711600413</v>
      </c>
      <c r="AH65" s="121">
        <f t="shared" si="10"/>
        <v>0</v>
      </c>
      <c r="AI65" s="121">
        <f t="shared" si="11"/>
        <v>2279104.2333333334</v>
      </c>
      <c r="AJ65" s="121">
        <f t="shared" si="12"/>
        <v>1778948.3590333334</v>
      </c>
      <c r="AK65" s="121">
        <f t="shared" si="13"/>
        <v>1269605.0715530333</v>
      </c>
      <c r="AL65" s="121">
        <f t="shared" si="13"/>
        <v>750949.51008100645</v>
      </c>
      <c r="AN65" s="121" cm="1">
        <f t="array" ref="AN65">IF($N65&gt;0,((AN$49=$L65)*((13-$M65)/12)+(AN$49&gt;$L65))*$N65*INDEX($H$31:$N$35,$L65-2020,AN$49-2019)*INDEX($H$39:$N$43,$L65-2020,AN$49-2019)*$F$19,0)</f>
        <v>15050.688333333335</v>
      </c>
      <c r="AO65" s="121" cm="1">
        <f t="array" ref="AO65">IF($N65&gt;0,((AO$49=$L65)*((13-$M65)/12)+(AO$49&gt;$L65))*$N65*INDEX($H$31:$N$35,$L65-2020,AO$49-2019)*INDEX($H$39:$N$43,$L65-2020,AO$49-2019)*$F$19,0)</f>
        <v>28752.834992</v>
      </c>
      <c r="AP65" s="121" cm="1">
        <f t="array" ref="AP65">IF($N65&gt;0,((AP$49=$L65)*((13-$M65)/12)+(AP$49&gt;$L65))*$N65*INDEX($H$31:$N$35,$L65-2020,AP$49-2019)*INDEX($H$39:$N$43,$L65-2020,AP$49-2019)*$F$19,0)</f>
        <v>29467.342941551204</v>
      </c>
      <c r="AQ65" s="121" cm="1">
        <f t="array" ref="AQ65">IF($N65&gt;0,((AQ$49=$L65)*((13-$M65)/12)+(AQ$49&gt;$L65))*$N65*INDEX($H$31:$N$35,$L65-2020,AQ$49-2019)*INDEX($H$39:$N$43,$L65-2020,AQ$49-2019)*$F$19,0)</f>
        <v>30375.526451009817</v>
      </c>
      <c r="AS65" s="114">
        <f t="shared" si="14"/>
        <v>400391.31163333333</v>
      </c>
      <c r="AT65" s="114">
        <f t="shared" si="15"/>
        <v>640147.01370269991</v>
      </c>
      <c r="AU65" s="114">
        <f t="shared" si="16"/>
        <v>617031.81415924977</v>
      </c>
      <c r="AV65" s="114">
        <f t="shared" si="17"/>
        <v>600257.85760130722</v>
      </c>
    </row>
    <row r="66" spans="2:48" x14ac:dyDescent="0.2">
      <c r="B66" s="124">
        <f>'12. Input inv. &lt;= 10 jaar'!B26</f>
        <v>16</v>
      </c>
      <c r="C66" s="113"/>
      <c r="D66" s="113"/>
      <c r="E66" s="113"/>
      <c r="G66" s="113"/>
      <c r="H66" s="123" t="str">
        <f>'12. Input inv. &lt;= 10 jaar'!E26</f>
        <v>Systeem</v>
      </c>
      <c r="I66" s="123" t="str">
        <f>'12. Input inv. &lt;= 10 jaar'!F26</f>
        <v>EHS</v>
      </c>
      <c r="J66" s="123" t="str">
        <f>'12. Input inv. &lt;= 10 jaar'!G26</f>
        <v>(Proces)automatisering</v>
      </c>
      <c r="K66" s="123">
        <f>'12. Input inv. &lt;= 10 jaar'!H26</f>
        <v>5</v>
      </c>
      <c r="L66" s="124">
        <f>'12. Input inv. &lt;= 10 jaar'!I26</f>
        <v>2022</v>
      </c>
      <c r="M66" s="123">
        <f>'12. Input inv. &lt;= 10 jaar'!J26</f>
        <v>7</v>
      </c>
      <c r="N66" s="123">
        <f>'12. Input inv. &lt;= 10 jaar'!K26</f>
        <v>12016565</v>
      </c>
      <c r="O66" s="113"/>
      <c r="Q66" s="33">
        <f t="shared" si="0"/>
        <v>2403313</v>
      </c>
      <c r="R66" s="122">
        <f t="shared" si="1"/>
        <v>2027</v>
      </c>
      <c r="S66" s="33">
        <f t="shared" si="2"/>
        <v>1201656.5</v>
      </c>
      <c r="T66" s="33">
        <f t="shared" si="3"/>
        <v>1201656.5</v>
      </c>
      <c r="V66" s="121">
        <f t="shared" si="18"/>
        <v>0</v>
      </c>
      <c r="W66" s="121">
        <f t="shared" si="18"/>
        <v>1201656.5</v>
      </c>
      <c r="X66" s="121">
        <f t="shared" si="18"/>
        <v>2403313</v>
      </c>
      <c r="Y66" s="121">
        <f t="shared" si="18"/>
        <v>2403313</v>
      </c>
      <c r="Z66" s="121">
        <f t="shared" si="18"/>
        <v>2403313</v>
      </c>
      <c r="AB66" s="33">
        <f t="shared" si="5"/>
        <v>0</v>
      </c>
      <c r="AC66" s="33">
        <f t="shared" si="6"/>
        <v>1201656.5</v>
      </c>
      <c r="AD66" s="33">
        <f t="shared" si="7"/>
        <v>2424942.8169999998</v>
      </c>
      <c r="AE66" s="33">
        <f t="shared" si="8"/>
        <v>2446767.3023529993</v>
      </c>
      <c r="AF66" s="33">
        <f t="shared" si="9"/>
        <v>2468788.2080741762</v>
      </c>
      <c r="AH66" s="121">
        <f t="shared" si="10"/>
        <v>0</v>
      </c>
      <c r="AI66" s="121">
        <f t="shared" si="11"/>
        <v>10814908.5</v>
      </c>
      <c r="AJ66" s="121">
        <f t="shared" si="12"/>
        <v>8487299.8594999984</v>
      </c>
      <c r="AK66" s="121">
        <f t="shared" si="13"/>
        <v>6116918.2558824988</v>
      </c>
      <c r="AL66" s="121">
        <f t="shared" si="13"/>
        <v>3703182.3121112646</v>
      </c>
      <c r="AN66" s="121" cm="1">
        <f t="array" ref="AN66">IF($N66&gt;0,((AN$49=$L66)*((13-$M66)/12)+(AN$49&gt;$L66))*$N66*INDEX($H$31:$N$35,$L66-2020,AN$49-2019)*INDEX($H$39:$N$43,$L66-2020,AN$49-2019)*$F$19,0)</f>
        <v>60082.825000000004</v>
      </c>
      <c r="AO66" s="121" cm="1">
        <f t="array" ref="AO66">IF($N66&gt;0,((AO$49=$L66)*((13-$M66)/12)+(AO$49&gt;$L66))*$N66*INDEX($H$31:$N$35,$L66-2020,AO$49-2019)*INDEX($H$39:$N$43,$L66-2020,AO$49-2019)*$F$19,0)</f>
        <v>133912.60036000001</v>
      </c>
      <c r="AP66" s="121" cm="1">
        <f t="array" ref="AP66">IF($N66&gt;0,((AP$49=$L66)*((13-$M66)/12)+(AP$49&gt;$L66))*$N66*INDEX($H$31:$N$35,$L66-2020,AP$49-2019)*INDEX($H$39:$N$43,$L66-2020,AP$49-2019)*$F$19,0)</f>
        <v>137240.32847894603</v>
      </c>
      <c r="AQ66" s="121" cm="1">
        <f t="array" ref="AQ66">IF($N66&gt;0,((AQ$49=$L66)*((13-$M66)/12)+(AQ$49&gt;$L66))*$N66*INDEX($H$31:$N$35,$L66-2020,AQ$49-2019)*INDEX($H$39:$N$43,$L66-2020,AQ$49-2019)*$F$19,0)</f>
        <v>141470.07540266713</v>
      </c>
      <c r="AS66" s="114">
        <f t="shared" si="14"/>
        <v>1661890.9394999999</v>
      </c>
      <c r="AT66" s="114">
        <f t="shared" si="15"/>
        <v>2991707.7101944997</v>
      </c>
      <c r="AU66" s="114">
        <f t="shared" si="16"/>
        <v>2883736.6253701877</v>
      </c>
      <c r="AV66" s="114">
        <f t="shared" si="17"/>
        <v>2806526.9460187405</v>
      </c>
    </row>
    <row r="67" spans="2:48" x14ac:dyDescent="0.2">
      <c r="B67" s="124">
        <f>'12. Input inv. &lt;= 10 jaar'!B27</f>
        <v>17</v>
      </c>
      <c r="C67" s="113"/>
      <c r="D67" s="113"/>
      <c r="E67" s="113"/>
      <c r="G67" s="113"/>
      <c r="H67" s="123" t="str">
        <f>'12. Input inv. &lt;= 10 jaar'!E27</f>
        <v>Systeem</v>
      </c>
      <c r="I67" s="123" t="str">
        <f>'12. Input inv. &lt;= 10 jaar'!F27</f>
        <v>EHS</v>
      </c>
      <c r="J67" s="123" t="str">
        <f>'12. Input inv. &lt;= 10 jaar'!G27</f>
        <v>(Proces)automatisering</v>
      </c>
      <c r="K67" s="123">
        <f>'12. Input inv. &lt;= 10 jaar'!H27</f>
        <v>5</v>
      </c>
      <c r="L67" s="124">
        <f>'12. Input inv. &lt;= 10 jaar'!I27</f>
        <v>2022</v>
      </c>
      <c r="M67" s="123">
        <f>'12. Input inv. &lt;= 10 jaar'!J27</f>
        <v>11</v>
      </c>
      <c r="N67" s="123">
        <f>'12. Input inv. &lt;= 10 jaar'!K27</f>
        <v>399182</v>
      </c>
      <c r="O67" s="113"/>
      <c r="Q67" s="33">
        <f t="shared" si="0"/>
        <v>79836.399999999994</v>
      </c>
      <c r="R67" s="122">
        <f t="shared" si="1"/>
        <v>2027</v>
      </c>
      <c r="S67" s="33">
        <f t="shared" si="2"/>
        <v>13306.066666666666</v>
      </c>
      <c r="T67" s="33">
        <f t="shared" si="3"/>
        <v>66530.333333327275</v>
      </c>
      <c r="V67" s="121">
        <f t="shared" si="18"/>
        <v>0</v>
      </c>
      <c r="W67" s="121">
        <f t="shared" si="18"/>
        <v>13306.066666666666</v>
      </c>
      <c r="X67" s="121">
        <f t="shared" si="18"/>
        <v>79836.399999999994</v>
      </c>
      <c r="Y67" s="121">
        <f t="shared" si="18"/>
        <v>79836.399999999994</v>
      </c>
      <c r="Z67" s="121">
        <f t="shared" si="18"/>
        <v>79836.399999999994</v>
      </c>
      <c r="AB67" s="33">
        <f t="shared" si="5"/>
        <v>0</v>
      </c>
      <c r="AC67" s="33">
        <f t="shared" si="6"/>
        <v>13306.066666666666</v>
      </c>
      <c r="AD67" s="33">
        <f t="shared" si="7"/>
        <v>80554.927599999981</v>
      </c>
      <c r="AE67" s="33">
        <f t="shared" si="8"/>
        <v>81279.921948399977</v>
      </c>
      <c r="AF67" s="33">
        <f t="shared" si="9"/>
        <v>82011.441245935566</v>
      </c>
      <c r="AH67" s="121">
        <f t="shared" si="10"/>
        <v>0</v>
      </c>
      <c r="AI67" s="121">
        <f t="shared" si="11"/>
        <v>385875.93333333335</v>
      </c>
      <c r="AJ67" s="121">
        <f t="shared" si="12"/>
        <v>308793.88913333329</v>
      </c>
      <c r="AK67" s="121">
        <f t="shared" si="13"/>
        <v>230293.11218713329</v>
      </c>
      <c r="AL67" s="121">
        <f t="shared" si="13"/>
        <v>150354.30895088191</v>
      </c>
      <c r="AN67" s="121" cm="1">
        <f t="array" ref="AN67">IF($N67&gt;0,((AN$49=$L67)*((13-$M67)/12)+(AN$49&gt;$L67))*$N67*INDEX($H$31:$N$35,$L67-2020,AN$49-2019)*INDEX($H$39:$N$43,$L67-2020,AN$49-2019)*$F$19,0)</f>
        <v>665.30333333333328</v>
      </c>
      <c r="AO67" s="121" cm="1">
        <f t="array" ref="AO67">IF($N67&gt;0,((AO$49=$L67)*((13-$M67)/12)+(AO$49&gt;$L67))*$N67*INDEX($H$31:$N$35,$L67-2020,AO$49-2019)*INDEX($H$39:$N$43,$L67-2020,AO$49-2019)*$F$19,0)</f>
        <v>4448.4842080000008</v>
      </c>
      <c r="AP67" s="121" cm="1">
        <f t="array" ref="AP67">IF($N67&gt;0,((AP$49=$L67)*((13-$M67)/12)+(AP$49&gt;$L67))*$N67*INDEX($H$31:$N$35,$L67-2020,AP$49-2019)*INDEX($H$39:$N$43,$L67-2020,AP$49-2019)*$F$19,0)</f>
        <v>4559.0290405688002</v>
      </c>
      <c r="AQ67" s="121" cm="1">
        <f t="array" ref="AQ67">IF($N67&gt;0,((AQ$49=$L67)*((13-$M67)/12)+(AQ$49&gt;$L67))*$N67*INDEX($H$31:$N$35,$L67-2020,AQ$49-2019)*INDEX($H$39:$N$43,$L67-2020,AQ$49-2019)*$F$19,0)</f>
        <v>4699.5383155991321</v>
      </c>
      <c r="AS67" s="114">
        <f t="shared" si="14"/>
        <v>28248.779533333331</v>
      </c>
      <c r="AT67" s="114">
        <f t="shared" si="15"/>
        <v>100751.90015379997</v>
      </c>
      <c r="AU67" s="114">
        <f t="shared" si="16"/>
        <v>97123.313486138301</v>
      </c>
      <c r="AV67" s="114">
        <f t="shared" si="17"/>
        <v>94679.75793593144</v>
      </c>
    </row>
    <row r="68" spans="2:48" x14ac:dyDescent="0.2">
      <c r="B68" s="124">
        <f>'12. Input inv. &lt;= 10 jaar'!B28</f>
        <v>18</v>
      </c>
      <c r="C68" s="113"/>
      <c r="D68" s="113"/>
      <c r="E68" s="113"/>
      <c r="G68" s="113"/>
      <c r="H68" s="123" t="str">
        <f>'12. Input inv. &lt;= 10 jaar'!E28</f>
        <v>Systeem</v>
      </c>
      <c r="I68" s="123" t="str">
        <f>'12. Input inv. &lt;= 10 jaar'!F28</f>
        <v>EHS</v>
      </c>
      <c r="J68" s="123" t="str">
        <f>'12. Input inv. &lt;= 10 jaar'!G28</f>
        <v>(Proces)automatisering</v>
      </c>
      <c r="K68" s="123">
        <f>'12. Input inv. &lt;= 10 jaar'!H28</f>
        <v>5</v>
      </c>
      <c r="L68" s="124">
        <f>'12. Input inv. &lt;= 10 jaar'!I28</f>
        <v>2022</v>
      </c>
      <c r="M68" s="123">
        <f>'12. Input inv. &lt;= 10 jaar'!J28</f>
        <v>12</v>
      </c>
      <c r="N68" s="123">
        <f>'12. Input inv. &lt;= 10 jaar'!K28</f>
        <v>962773.33668883843</v>
      </c>
      <c r="O68" s="113"/>
      <c r="Q68" s="33">
        <f t="shared" si="0"/>
        <v>192554.66733776769</v>
      </c>
      <c r="R68" s="122">
        <f t="shared" si="1"/>
        <v>2027</v>
      </c>
      <c r="S68" s="33">
        <f t="shared" si="2"/>
        <v>16046.222278147308</v>
      </c>
      <c r="T68" s="33">
        <f t="shared" si="3"/>
        <v>176508.44505963498</v>
      </c>
      <c r="V68" s="121">
        <f t="shared" si="18"/>
        <v>0</v>
      </c>
      <c r="W68" s="121">
        <f t="shared" si="18"/>
        <v>16046.222278147308</v>
      </c>
      <c r="X68" s="121">
        <f t="shared" si="18"/>
        <v>192554.66733776769</v>
      </c>
      <c r="Y68" s="121">
        <f t="shared" si="18"/>
        <v>192554.66733776769</v>
      </c>
      <c r="Z68" s="121">
        <f t="shared" si="18"/>
        <v>192554.66733776769</v>
      </c>
      <c r="AB68" s="33">
        <f t="shared" si="5"/>
        <v>0</v>
      </c>
      <c r="AC68" s="33">
        <f t="shared" si="6"/>
        <v>16046.222278147308</v>
      </c>
      <c r="AD68" s="33">
        <f t="shared" si="7"/>
        <v>194287.65934380758</v>
      </c>
      <c r="AE68" s="33">
        <f t="shared" si="8"/>
        <v>196036.24827790182</v>
      </c>
      <c r="AF68" s="33">
        <f t="shared" si="9"/>
        <v>197800.57451240291</v>
      </c>
      <c r="AH68" s="121">
        <f t="shared" si="10"/>
        <v>0</v>
      </c>
      <c r="AI68" s="121">
        <f t="shared" si="11"/>
        <v>946727.11441069108</v>
      </c>
      <c r="AJ68" s="121">
        <f t="shared" si="12"/>
        <v>760959.99909657962</v>
      </c>
      <c r="AK68" s="121">
        <f t="shared" si="13"/>
        <v>571772.39081054693</v>
      </c>
      <c r="AL68" s="121">
        <f t="shared" si="13"/>
        <v>379117.76781543891</v>
      </c>
      <c r="AN68" s="121" cm="1">
        <f t="array" ref="AN68">IF($N68&gt;0,((AN$49=$L68)*((13-$M68)/12)+(AN$49&gt;$L68))*$N68*INDEX($H$31:$N$35,$L68-2020,AN$49-2019)*INDEX($H$39:$N$43,$L68-2020,AN$49-2019)*$F$19,0)</f>
        <v>802.31111390736532</v>
      </c>
      <c r="AO68" s="121" cm="1">
        <f t="array" ref="AO68">IF($N68&gt;0,((AO$49=$L68)*((13-$M68)/12)+(AO$49&gt;$L68))*$N68*INDEX($H$31:$N$35,$L68-2020,AO$49-2019)*INDEX($H$39:$N$43,$L68-2020,AO$49-2019)*$F$19,0)</f>
        <v>10729.146064060416</v>
      </c>
      <c r="AP68" s="121" cm="1">
        <f t="array" ref="AP68">IF($N68&gt;0,((AP$49=$L68)*((13-$M68)/12)+(AP$49&gt;$L68))*$N68*INDEX($H$31:$N$35,$L68-2020,AP$49-2019)*INDEX($H$39:$N$43,$L68-2020,AP$49-2019)*$F$19,0)</f>
        <v>10995.76534375232</v>
      </c>
      <c r="AQ68" s="121" cm="1">
        <f t="array" ref="AQ68">IF($N68&gt;0,((AQ$49=$L68)*((13-$M68)/12)+(AQ$49&gt;$L68))*$N68*INDEX($H$31:$N$35,$L68-2020,AQ$49-2019)*INDEX($H$39:$N$43,$L68-2020,AQ$49-2019)*$F$19,0)</f>
        <v>11334.654831646765</v>
      </c>
      <c r="AS68" s="114">
        <f t="shared" si="14"/>
        <v>51877.436625250244</v>
      </c>
      <c r="AT68" s="114">
        <f t="shared" si="15"/>
        <v>243825.76536179354</v>
      </c>
      <c r="AU68" s="114">
        <f t="shared" si="16"/>
        <v>235048.86077137094</v>
      </c>
      <c r="AV68" s="114">
        <f t="shared" si="17"/>
        <v>229228.47103826795</v>
      </c>
    </row>
    <row r="69" spans="2:48" x14ac:dyDescent="0.2">
      <c r="B69" s="124">
        <f>'12. Input inv. &lt;= 10 jaar'!B29</f>
        <v>19</v>
      </c>
      <c r="C69" s="113"/>
      <c r="D69" s="113"/>
      <c r="E69" s="113"/>
      <c r="G69" s="113"/>
      <c r="H69" s="123" t="str">
        <f>'12. Input inv. &lt;= 10 jaar'!E29</f>
        <v>Systeem</v>
      </c>
      <c r="I69" s="123" t="str">
        <f>'12. Input inv. &lt;= 10 jaar'!F29</f>
        <v>EHS</v>
      </c>
      <c r="J69" s="123" t="str">
        <f>'12. Input inv. &lt;= 10 jaar'!G29</f>
        <v>(Proces)automatisering</v>
      </c>
      <c r="K69" s="123">
        <f>'12. Input inv. &lt;= 10 jaar'!H29</f>
        <v>5</v>
      </c>
      <c r="L69" s="124">
        <f>'12. Input inv. &lt;= 10 jaar'!I29</f>
        <v>2022</v>
      </c>
      <c r="M69" s="123">
        <f>'12. Input inv. &lt;= 10 jaar'!J29</f>
        <v>12</v>
      </c>
      <c r="N69" s="123">
        <f>'12. Input inv. &lt;= 10 jaar'!K29</f>
        <v>3129087</v>
      </c>
      <c r="O69" s="113"/>
      <c r="Q69" s="33">
        <f t="shared" si="0"/>
        <v>625817.4</v>
      </c>
      <c r="R69" s="122">
        <f t="shared" si="1"/>
        <v>2027</v>
      </c>
      <c r="S69" s="33">
        <f t="shared" si="2"/>
        <v>52151.450000000004</v>
      </c>
      <c r="T69" s="33">
        <f t="shared" si="3"/>
        <v>573665.95000004745</v>
      </c>
      <c r="V69" s="121">
        <f t="shared" si="18"/>
        <v>0</v>
      </c>
      <c r="W69" s="121">
        <f t="shared" si="18"/>
        <v>52151.450000000004</v>
      </c>
      <c r="X69" s="121">
        <f t="shared" si="18"/>
        <v>625817.4</v>
      </c>
      <c r="Y69" s="121">
        <f t="shared" si="18"/>
        <v>625817.4</v>
      </c>
      <c r="Z69" s="121">
        <f t="shared" si="18"/>
        <v>625817.4</v>
      </c>
      <c r="AB69" s="33">
        <f t="shared" si="5"/>
        <v>0</v>
      </c>
      <c r="AC69" s="33">
        <f t="shared" si="6"/>
        <v>52151.450000000004</v>
      </c>
      <c r="AD69" s="33">
        <f t="shared" si="7"/>
        <v>631449.75659999996</v>
      </c>
      <c r="AE69" s="33">
        <f t="shared" si="8"/>
        <v>637132.80440939986</v>
      </c>
      <c r="AF69" s="33">
        <f t="shared" si="9"/>
        <v>642866.99964908441</v>
      </c>
      <c r="AH69" s="121">
        <f t="shared" si="10"/>
        <v>0</v>
      </c>
      <c r="AI69" s="121">
        <f t="shared" si="11"/>
        <v>3076935.55</v>
      </c>
      <c r="AJ69" s="121">
        <f t="shared" si="12"/>
        <v>2473178.2133499994</v>
      </c>
      <c r="AK69" s="121">
        <f t="shared" si="13"/>
        <v>1858304.0128607491</v>
      </c>
      <c r="AL69" s="121">
        <f t="shared" si="13"/>
        <v>1232161.7493274114</v>
      </c>
      <c r="AN69" s="121" cm="1">
        <f t="array" ref="AN69">IF($N69&gt;0,((AN$49=$L69)*((13-$M69)/12)+(AN$49&gt;$L69))*$N69*INDEX($H$31:$N$35,$L69-2020,AN$49-2019)*INDEX($H$39:$N$43,$L69-2020,AN$49-2019)*$F$19,0)</f>
        <v>2607.5725000000002</v>
      </c>
      <c r="AO69" s="121" cm="1">
        <f t="array" ref="AO69">IF($N69&gt;0,((AO$49=$L69)*((13-$M69)/12)+(AO$49&gt;$L69))*$N69*INDEX($H$31:$N$35,$L69-2020,AO$49-2019)*INDEX($H$39:$N$43,$L69-2020,AO$49-2019)*$F$19,0)</f>
        <v>34870.545528000002</v>
      </c>
      <c r="AP69" s="121" cm="1">
        <f t="array" ref="AP69">IF($N69&gt;0,((AP$49=$L69)*((13-$M69)/12)+(AP$49&gt;$L69))*$N69*INDEX($H$31:$N$35,$L69-2020,AP$49-2019)*INDEX($H$39:$N$43,$L69-2020,AP$49-2019)*$F$19,0)</f>
        <v>35737.078584370807</v>
      </c>
      <c r="AQ69" s="121" cm="1">
        <f t="array" ref="AQ69">IF($N69&gt;0,((AQ$49=$L69)*((13-$M69)/12)+(AQ$49&gt;$L69))*$N69*INDEX($H$31:$N$35,$L69-2020,AQ$49-2019)*INDEX($H$39:$N$43,$L69-2020,AQ$49-2019)*$F$19,0)</f>
        <v>36838.495346341122</v>
      </c>
      <c r="AS69" s="114">
        <f t="shared" si="14"/>
        <v>168605.63785</v>
      </c>
      <c r="AT69" s="114">
        <f t="shared" si="15"/>
        <v>792452.39100884995</v>
      </c>
      <c r="AU69" s="114">
        <f t="shared" si="16"/>
        <v>763926.77962394734</v>
      </c>
      <c r="AV69" s="114">
        <f t="shared" si="17"/>
        <v>745010.06770977832</v>
      </c>
    </row>
    <row r="70" spans="2:48" x14ac:dyDescent="0.2">
      <c r="B70" s="124">
        <f>'12. Input inv. &lt;= 10 jaar'!B30</f>
        <v>20</v>
      </c>
      <c r="C70" s="113"/>
      <c r="D70" s="113"/>
      <c r="E70" s="113"/>
      <c r="G70" s="113"/>
      <c r="H70" s="123" t="str">
        <f>'12. Input inv. &lt;= 10 jaar'!E30</f>
        <v>Systeem</v>
      </c>
      <c r="I70" s="123" t="str">
        <f>'12. Input inv. &lt;= 10 jaar'!F30</f>
        <v>EHS</v>
      </c>
      <c r="J70" s="123" t="str">
        <f>'12. Input inv. &lt;= 10 jaar'!G30</f>
        <v>Computerapparatuur</v>
      </c>
      <c r="K70" s="123">
        <f>'12. Input inv. &lt;= 10 jaar'!H30</f>
        <v>5</v>
      </c>
      <c r="L70" s="124">
        <f>'12. Input inv. &lt;= 10 jaar'!I30</f>
        <v>2022</v>
      </c>
      <c r="M70" s="123">
        <f>'12. Input inv. &lt;= 10 jaar'!J30</f>
        <v>12</v>
      </c>
      <c r="N70" s="123">
        <f>'12. Input inv. &lt;= 10 jaar'!K30</f>
        <v>210297.11848939362</v>
      </c>
      <c r="O70" s="113"/>
      <c r="Q70" s="33">
        <f t="shared" si="0"/>
        <v>42059.423697878723</v>
      </c>
      <c r="R70" s="122">
        <f t="shared" si="1"/>
        <v>2027</v>
      </c>
      <c r="S70" s="33">
        <f t="shared" si="2"/>
        <v>3504.9519748232269</v>
      </c>
      <c r="T70" s="33">
        <f t="shared" si="3"/>
        <v>38554.471723058683</v>
      </c>
      <c r="V70" s="121">
        <f t="shared" si="18"/>
        <v>0</v>
      </c>
      <c r="W70" s="121">
        <f t="shared" si="18"/>
        <v>3504.9519748232269</v>
      </c>
      <c r="X70" s="121">
        <f t="shared" si="18"/>
        <v>42059.423697878723</v>
      </c>
      <c r="Y70" s="121">
        <f t="shared" si="18"/>
        <v>42059.423697878723</v>
      </c>
      <c r="Z70" s="121">
        <f t="shared" si="18"/>
        <v>42059.423697878723</v>
      </c>
      <c r="AB70" s="33">
        <f t="shared" si="5"/>
        <v>0</v>
      </c>
      <c r="AC70" s="33">
        <f t="shared" si="6"/>
        <v>3504.9519748232269</v>
      </c>
      <c r="AD70" s="33">
        <f t="shared" si="7"/>
        <v>42437.958511159624</v>
      </c>
      <c r="AE70" s="33">
        <f t="shared" si="8"/>
        <v>42819.900137760058</v>
      </c>
      <c r="AF70" s="33">
        <f t="shared" si="9"/>
        <v>43205.279238999894</v>
      </c>
      <c r="AH70" s="121">
        <f t="shared" si="10"/>
        <v>0</v>
      </c>
      <c r="AI70" s="121">
        <f t="shared" si="11"/>
        <v>206792.16651457039</v>
      </c>
      <c r="AJ70" s="121">
        <f t="shared" si="12"/>
        <v>166215.33750204189</v>
      </c>
      <c r="AK70" s="121">
        <f t="shared" si="13"/>
        <v>124891.37540180018</v>
      </c>
      <c r="AL70" s="121">
        <f t="shared" si="13"/>
        <v>82810.118541416479</v>
      </c>
      <c r="AN70" s="121" cm="1">
        <f t="array" ref="AN70">IF($N70&gt;0,((AN$49=$L70)*((13-$M70)/12)+(AN$49&gt;$L70))*$N70*INDEX($H$31:$N$35,$L70-2020,AN$49-2019)*INDEX($H$39:$N$43,$L70-2020,AN$49-2019)*$F$19,0)</f>
        <v>175.24759874116134</v>
      </c>
      <c r="AO70" s="121" cm="1">
        <f t="array" ref="AO70">IF($N70&gt;0,((AO$49=$L70)*((13-$M70)/12)+(AO$49&gt;$L70))*$N70*INDEX($H$31:$N$35,$L70-2020,AO$49-2019)*INDEX($H$39:$N$43,$L70-2020,AO$49-2019)*$F$19,0)</f>
        <v>2343.5510884458026</v>
      </c>
      <c r="AP70" s="121" cm="1">
        <f t="array" ref="AP70">IF($N70&gt;0,((AP$49=$L70)*((13-$M70)/12)+(AP$49&gt;$L70))*$N70*INDEX($H$31:$N$35,$L70-2020,AP$49-2019)*INDEX($H$39:$N$43,$L70-2020,AP$49-2019)*$F$19,0)</f>
        <v>2401.7883329936813</v>
      </c>
      <c r="AQ70" s="121" cm="1">
        <f t="array" ref="AQ70">IF($N70&gt;0,((AQ$49=$L70)*((13-$M70)/12)+(AQ$49&gt;$L70))*$N70*INDEX($H$31:$N$35,$L70-2020,AQ$49-2019)*INDEX($H$39:$N$43,$L70-2020,AQ$49-2019)*$F$19,0)</f>
        <v>2475.8114494165466</v>
      </c>
      <c r="AS70" s="114">
        <f t="shared" si="14"/>
        <v>11331.509734603493</v>
      </c>
      <c r="AT70" s="114">
        <f t="shared" si="15"/>
        <v>53258.49181220957</v>
      </c>
      <c r="AU70" s="114">
        <f t="shared" si="16"/>
        <v>51341.365865441949</v>
      </c>
      <c r="AV70" s="114">
        <f t="shared" si="17"/>
        <v>50070.026971111518</v>
      </c>
    </row>
    <row r="71" spans="2:48" x14ac:dyDescent="0.2">
      <c r="B71" s="124">
        <f>'12. Input inv. &lt;= 10 jaar'!B31</f>
        <v>21</v>
      </c>
      <c r="C71" s="113"/>
      <c r="D71" s="113"/>
      <c r="E71" s="113"/>
      <c r="G71" s="113"/>
      <c r="H71" s="123" t="str">
        <f>'12. Input inv. &lt;= 10 jaar'!E31</f>
        <v>Transport</v>
      </c>
      <c r="I71" s="123" t="str">
        <f>'12. Input inv. &lt;= 10 jaar'!F31</f>
        <v>EHS</v>
      </c>
      <c r="J71" s="123" t="str">
        <f>'12. Input inv. &lt;= 10 jaar'!G31</f>
        <v>(Proces)automatisering</v>
      </c>
      <c r="K71" s="123">
        <f>'12. Input inv. &lt;= 10 jaar'!H31</f>
        <v>5</v>
      </c>
      <c r="L71" s="124">
        <f>'12. Input inv. &lt;= 10 jaar'!I31</f>
        <v>2022</v>
      </c>
      <c r="M71" s="123">
        <f>'12. Input inv. &lt;= 10 jaar'!J31</f>
        <v>12</v>
      </c>
      <c r="N71" s="123">
        <f>'12. Input inv. &lt;= 10 jaar'!K31</f>
        <v>1302575.6908143107</v>
      </c>
      <c r="O71" s="113"/>
      <c r="Q71" s="33">
        <f t="shared" si="0"/>
        <v>260515.13816286213</v>
      </c>
      <c r="R71" s="122">
        <f t="shared" si="1"/>
        <v>2027</v>
      </c>
      <c r="S71" s="33">
        <f t="shared" si="2"/>
        <v>21709.594846905176</v>
      </c>
      <c r="T71" s="33">
        <f t="shared" si="3"/>
        <v>238805.54331597671</v>
      </c>
      <c r="V71" s="121">
        <f t="shared" ref="V71:Z80" si="19">((V$49=$L71)*$S71+(V$49&gt;$L71)*(V$49&lt;$R71)*$Q71+(V$49=$R71)*$T71)</f>
        <v>0</v>
      </c>
      <c r="W71" s="121">
        <f t="shared" si="19"/>
        <v>21709.594846905176</v>
      </c>
      <c r="X71" s="121">
        <f t="shared" si="19"/>
        <v>260515.13816286213</v>
      </c>
      <c r="Y71" s="121">
        <f t="shared" si="19"/>
        <v>260515.13816286213</v>
      </c>
      <c r="Z71" s="121">
        <f t="shared" si="19"/>
        <v>260515.13816286213</v>
      </c>
      <c r="AB71" s="33">
        <f t="shared" si="5"/>
        <v>0</v>
      </c>
      <c r="AC71" s="33">
        <f t="shared" si="6"/>
        <v>21709.594846905176</v>
      </c>
      <c r="AD71" s="33">
        <f t="shared" si="7"/>
        <v>262859.77440632787</v>
      </c>
      <c r="AE71" s="33">
        <f t="shared" si="8"/>
        <v>265225.51237598481</v>
      </c>
      <c r="AF71" s="33">
        <f t="shared" si="9"/>
        <v>267612.5419873686</v>
      </c>
      <c r="AH71" s="121">
        <f t="shared" si="10"/>
        <v>0</v>
      </c>
      <c r="AI71" s="121">
        <f t="shared" si="11"/>
        <v>1280866.0959674055</v>
      </c>
      <c r="AJ71" s="121">
        <f t="shared" si="12"/>
        <v>1029534.1164247841</v>
      </c>
      <c r="AK71" s="121">
        <f t="shared" si="13"/>
        <v>773574.41109662224</v>
      </c>
      <c r="AL71" s="121">
        <f t="shared" si="13"/>
        <v>512924.0388091231</v>
      </c>
      <c r="AN71" s="121" cm="1">
        <f t="array" ref="AN71">IF($N71&gt;0,((AN$49=$L71)*((13-$M71)/12)+(AN$49&gt;$L71))*$N71*INDEX($H$31:$N$35,$L71-2020,AN$49-2019)*INDEX($H$39:$N$43,$L71-2020,AN$49-2019)*$F$19,0)</f>
        <v>1085.479742345259</v>
      </c>
      <c r="AO71" s="121" cm="1">
        <f t="array" ref="AO71">IF($N71&gt;0,((AO$49=$L71)*((13-$M71)/12)+(AO$49&gt;$L71))*$N71*INDEX($H$31:$N$35,$L71-2020,AO$49-2019)*INDEX($H$39:$N$43,$L71-2020,AO$49-2019)*$F$19,0)</f>
        <v>14515.903498434678</v>
      </c>
      <c r="AP71" s="121" cm="1">
        <f t="array" ref="AP71">IF($N71&gt;0,((AP$49=$L71)*((13-$M71)/12)+(AP$49&gt;$L71))*$N71*INDEX($H$31:$N$35,$L71-2020,AP$49-2019)*INDEX($H$39:$N$43,$L71-2020,AP$49-2019)*$F$19,0)</f>
        <v>14876.623700370781</v>
      </c>
      <c r="AQ71" s="121" cm="1">
        <f t="array" ref="AQ71">IF($N71&gt;0,((AQ$49=$L71)*((13-$M71)/12)+(AQ$49&gt;$L71))*$N71*INDEX($H$31:$N$35,$L71-2020,AQ$49-2019)*INDEX($H$39:$N$43,$L71-2020,AQ$49-2019)*$F$19,0)</f>
        <v>15335.121242816211</v>
      </c>
      <c r="AS71" s="114">
        <f t="shared" si="14"/>
        <v>70187.120140044426</v>
      </c>
      <c r="AT71" s="114">
        <f t="shared" si="15"/>
        <v>329881.91784242657</v>
      </c>
      <c r="AU71" s="114">
        <f t="shared" si="16"/>
        <v>318007.2822200901</v>
      </c>
      <c r="AV71" s="114">
        <f t="shared" si="17"/>
        <v>310132.63728706836</v>
      </c>
    </row>
    <row r="72" spans="2:48" x14ac:dyDescent="0.2">
      <c r="B72" s="124">
        <f>'12. Input inv. &lt;= 10 jaar'!B32</f>
        <v>22</v>
      </c>
      <c r="C72" s="113"/>
      <c r="D72" s="113"/>
      <c r="E72" s="113"/>
      <c r="G72" s="113"/>
      <c r="H72" s="123" t="str">
        <f>'12. Input inv. &lt;= 10 jaar'!E32</f>
        <v>Transport</v>
      </c>
      <c r="I72" s="123" t="str">
        <f>'12. Input inv. &lt;= 10 jaar'!F32</f>
        <v>EHS</v>
      </c>
      <c r="J72" s="123" t="str">
        <f>'12. Input inv. &lt;= 10 jaar'!G32</f>
        <v>Computerapparatuur</v>
      </c>
      <c r="K72" s="123">
        <f>'12. Input inv. &lt;= 10 jaar'!H32</f>
        <v>5</v>
      </c>
      <c r="L72" s="124">
        <f>'12. Input inv. &lt;= 10 jaar'!I32</f>
        <v>2022</v>
      </c>
      <c r="M72" s="123">
        <f>'12. Input inv. &lt;= 10 jaar'!J32</f>
        <v>12</v>
      </c>
      <c r="N72" s="123">
        <f>'12. Input inv. &lt;= 10 jaar'!K32</f>
        <v>363426.14578865486</v>
      </c>
      <c r="O72" s="113"/>
      <c r="Q72" s="33">
        <f t="shared" si="0"/>
        <v>72685.229157730966</v>
      </c>
      <c r="R72" s="122">
        <f t="shared" si="1"/>
        <v>2027</v>
      </c>
      <c r="S72" s="33">
        <f t="shared" si="2"/>
        <v>6057.1024298109141</v>
      </c>
      <c r="T72" s="33">
        <f t="shared" si="3"/>
        <v>66628.126727925555</v>
      </c>
      <c r="V72" s="121">
        <f t="shared" si="19"/>
        <v>0</v>
      </c>
      <c r="W72" s="121">
        <f t="shared" si="19"/>
        <v>6057.1024298109141</v>
      </c>
      <c r="X72" s="121">
        <f t="shared" si="19"/>
        <v>72685.229157730966</v>
      </c>
      <c r="Y72" s="121">
        <f t="shared" si="19"/>
        <v>72685.229157730966</v>
      </c>
      <c r="Z72" s="121">
        <f t="shared" si="19"/>
        <v>72685.229157730966</v>
      </c>
      <c r="AB72" s="33">
        <f t="shared" si="5"/>
        <v>0</v>
      </c>
      <c r="AC72" s="33">
        <f t="shared" si="6"/>
        <v>6057.1024298109141</v>
      </c>
      <c r="AD72" s="33">
        <f t="shared" si="7"/>
        <v>73339.396220150535</v>
      </c>
      <c r="AE72" s="33">
        <f t="shared" si="8"/>
        <v>73999.450786131885</v>
      </c>
      <c r="AF72" s="33">
        <f t="shared" si="9"/>
        <v>74665.445843207053</v>
      </c>
      <c r="AH72" s="121">
        <f t="shared" si="10"/>
        <v>0</v>
      </c>
      <c r="AI72" s="121">
        <f t="shared" si="11"/>
        <v>357369.04335884395</v>
      </c>
      <c r="AJ72" s="121">
        <f t="shared" si="12"/>
        <v>287245.968528923</v>
      </c>
      <c r="AK72" s="121">
        <f t="shared" si="13"/>
        <v>215831.73145955137</v>
      </c>
      <c r="AL72" s="121">
        <f t="shared" si="13"/>
        <v>143108.77119948028</v>
      </c>
      <c r="AN72" s="121" cm="1">
        <f t="array" ref="AN72">IF($N72&gt;0,((AN$49=$L72)*((13-$M72)/12)+(AN$49&gt;$L72))*$N72*INDEX($H$31:$N$35,$L72-2020,AN$49-2019)*INDEX($H$39:$N$43,$L72-2020,AN$49-2019)*$F$19,0)</f>
        <v>302.85512149054574</v>
      </c>
      <c r="AO72" s="121" cm="1">
        <f t="array" ref="AO72">IF($N72&gt;0,((AO$49=$L72)*((13-$M72)/12)+(AO$49&gt;$L72))*$N72*INDEX($H$31:$N$35,$L72-2020,AO$49-2019)*INDEX($H$39:$N$43,$L72-2020,AO$49-2019)*$F$19,0)</f>
        <v>4050.0209686687699</v>
      </c>
      <c r="AP72" s="121" cm="1">
        <f t="array" ref="AP72">IF($N72&gt;0,((AP$49=$L72)*((13-$M72)/12)+(AP$49&gt;$L72))*$N72*INDEX($H$31:$N$35,$L72-2020,AP$49-2019)*INDEX($H$39:$N$43,$L72-2020,AP$49-2019)*$F$19,0)</f>
        <v>4150.6639897401892</v>
      </c>
      <c r="AQ72" s="121" cm="1">
        <f t="array" ref="AQ72">IF($N72&gt;0,((AQ$49=$L72)*((13-$M72)/12)+(AQ$49&gt;$L72))*$N72*INDEX($H$31:$N$35,$L72-2020,AQ$49-2019)*INDEX($H$39:$N$43,$L72-2020,AQ$49-2019)*$F$19,0)</f>
        <v>4278.5874539039824</v>
      </c>
      <c r="AS72" s="114">
        <f t="shared" si="14"/>
        <v>19582.612155578685</v>
      </c>
      <c r="AT72" s="114">
        <f t="shared" si="15"/>
        <v>92038.961583794386</v>
      </c>
      <c r="AU72" s="114">
        <f t="shared" si="16"/>
        <v>88725.869617390097</v>
      </c>
      <c r="AV72" s="114">
        <f t="shared" si="17"/>
        <v>86528.798170683483</v>
      </c>
    </row>
    <row r="73" spans="2:48" x14ac:dyDescent="0.2">
      <c r="B73" s="124">
        <f>'12. Input inv. &lt;= 10 jaar'!B33</f>
        <v>23</v>
      </c>
      <c r="C73" s="113"/>
      <c r="D73" s="113"/>
      <c r="E73" s="113"/>
      <c r="G73" s="113"/>
      <c r="H73" s="123" t="str">
        <f>'12. Input inv. &lt;= 10 jaar'!E33</f>
        <v>Transport</v>
      </c>
      <c r="I73" s="123" t="str">
        <f>'12. Input inv. &lt;= 10 jaar'!F33</f>
        <v>HS</v>
      </c>
      <c r="J73" s="123" t="str">
        <f>'12. Input inv. &lt;= 10 jaar'!G33</f>
        <v>(Proces)automatisering</v>
      </c>
      <c r="K73" s="123">
        <f>'12. Input inv. &lt;= 10 jaar'!H33</f>
        <v>5</v>
      </c>
      <c r="L73" s="124">
        <f>'12. Input inv. &lt;= 10 jaar'!I33</f>
        <v>2022</v>
      </c>
      <c r="M73" s="123">
        <f>'12. Input inv. &lt;= 10 jaar'!J33</f>
        <v>12</v>
      </c>
      <c r="N73" s="123">
        <f>'12. Input inv. &lt;= 10 jaar'!K33</f>
        <v>4118080.9107110817</v>
      </c>
      <c r="O73" s="113"/>
      <c r="Q73" s="33">
        <f t="shared" si="0"/>
        <v>823616.18214221636</v>
      </c>
      <c r="R73" s="122">
        <f t="shared" si="1"/>
        <v>2027</v>
      </c>
      <c r="S73" s="33">
        <f t="shared" si="2"/>
        <v>68634.681845184692</v>
      </c>
      <c r="T73" s="33">
        <f t="shared" si="3"/>
        <v>754981.50029709411</v>
      </c>
      <c r="V73" s="121">
        <f t="shared" si="19"/>
        <v>0</v>
      </c>
      <c r="W73" s="121">
        <f t="shared" si="19"/>
        <v>68634.681845184692</v>
      </c>
      <c r="X73" s="121">
        <f t="shared" si="19"/>
        <v>823616.18214221636</v>
      </c>
      <c r="Y73" s="121">
        <f t="shared" si="19"/>
        <v>823616.18214221636</v>
      </c>
      <c r="Z73" s="121">
        <f t="shared" si="19"/>
        <v>823616.18214221636</v>
      </c>
      <c r="AB73" s="33">
        <f t="shared" si="5"/>
        <v>0</v>
      </c>
      <c r="AC73" s="33">
        <f t="shared" si="6"/>
        <v>68634.681845184692</v>
      </c>
      <c r="AD73" s="33">
        <f t="shared" si="7"/>
        <v>831028.72778149624</v>
      </c>
      <c r="AE73" s="33">
        <f t="shared" si="8"/>
        <v>838507.98633152957</v>
      </c>
      <c r="AF73" s="33">
        <f t="shared" si="9"/>
        <v>846054.55820851319</v>
      </c>
      <c r="AH73" s="121">
        <f t="shared" si="10"/>
        <v>0</v>
      </c>
      <c r="AI73" s="121">
        <f t="shared" si="11"/>
        <v>4049446.2288658968</v>
      </c>
      <c r="AJ73" s="121">
        <f t="shared" si="12"/>
        <v>3254862.5171441929</v>
      </c>
      <c r="AK73" s="121">
        <f t="shared" si="13"/>
        <v>2445648.293466961</v>
      </c>
      <c r="AL73" s="121">
        <f t="shared" si="13"/>
        <v>1621604.5698996503</v>
      </c>
      <c r="AN73" s="121" cm="1">
        <f t="array" ref="AN73">IF($N73&gt;0,((AN$49=$L73)*((13-$M73)/12)+(AN$49&gt;$L73))*$N73*INDEX($H$31:$N$35,$L73-2020,AN$49-2019)*INDEX($H$39:$N$43,$L73-2020,AN$49-2019)*$F$19,0)</f>
        <v>3431.7340922592348</v>
      </c>
      <c r="AO73" s="121" cm="1">
        <f t="array" ref="AO73">IF($N73&gt;0,((AO$49=$L73)*((13-$M73)/12)+(AO$49&gt;$L73))*$N73*INDEX($H$31:$N$35,$L73-2020,AO$49-2019)*INDEX($H$39:$N$43,$L73-2020,AO$49-2019)*$F$19,0)</f>
        <v>45891.893668964301</v>
      </c>
      <c r="AP73" s="121" cm="1">
        <f t="array" ref="AP73">IF($N73&gt;0,((AP$49=$L73)*((13-$M73)/12)+(AP$49&gt;$L73))*$N73*INDEX($H$31:$N$35,$L73-2020,AP$49-2019)*INDEX($H$39:$N$43,$L73-2020,AP$49-2019)*$F$19,0)</f>
        <v>47032.30722663807</v>
      </c>
      <c r="AQ73" s="121" cm="1">
        <f t="array" ref="AQ73">IF($N73&gt;0,((AQ$49=$L73)*((13-$M73)/12)+(AQ$49&gt;$L73))*$N73*INDEX($H$31:$N$35,$L73-2020,AQ$49-2019)*INDEX($H$39:$N$43,$L73-2020,AQ$49-2019)*$F$19,0)</f>
        <v>48481.842935363056</v>
      </c>
      <c r="AS73" s="114">
        <f t="shared" si="14"/>
        <v>221895.92640548208</v>
      </c>
      <c r="AT73" s="114">
        <f t="shared" si="15"/>
        <v>1042918.6098248144</v>
      </c>
      <c r="AU73" s="114">
        <f t="shared" si="16"/>
        <v>1005377.0599380487</v>
      </c>
      <c r="AV73" s="114">
        <f t="shared" si="17"/>
        <v>980481.44334855769</v>
      </c>
    </row>
    <row r="74" spans="2:48" x14ac:dyDescent="0.2">
      <c r="B74" s="124">
        <f>'12. Input inv. &lt;= 10 jaar'!B34</f>
        <v>24</v>
      </c>
      <c r="C74" s="113"/>
      <c r="D74" s="113"/>
      <c r="E74" s="113"/>
      <c r="G74" s="113"/>
      <c r="H74" s="123" t="str">
        <f>'12. Input inv. &lt;= 10 jaar'!E34</f>
        <v>Transport</v>
      </c>
      <c r="I74" s="123" t="str">
        <f>'12. Input inv. &lt;= 10 jaar'!F34</f>
        <v>HS</v>
      </c>
      <c r="J74" s="123" t="str">
        <f>'12. Input inv. &lt;= 10 jaar'!G34</f>
        <v>Computerapparatuur</v>
      </c>
      <c r="K74" s="123">
        <f>'12. Input inv. &lt;= 10 jaar'!H34</f>
        <v>5</v>
      </c>
      <c r="L74" s="124">
        <f>'12. Input inv. &lt;= 10 jaar'!I34</f>
        <v>2022</v>
      </c>
      <c r="M74" s="123">
        <f>'12. Input inv. &lt;= 10 jaar'!J34</f>
        <v>12</v>
      </c>
      <c r="N74" s="123">
        <f>'12. Input inv. &lt;= 10 jaar'!K34</f>
        <v>1090278.4373659645</v>
      </c>
      <c r="O74" s="113"/>
      <c r="Q74" s="33">
        <f t="shared" si="0"/>
        <v>218055.6874731929</v>
      </c>
      <c r="R74" s="122">
        <f t="shared" si="1"/>
        <v>2027</v>
      </c>
      <c r="S74" s="33">
        <f t="shared" si="2"/>
        <v>18171.307289432742</v>
      </c>
      <c r="T74" s="33">
        <f t="shared" si="3"/>
        <v>199884.3801837767</v>
      </c>
      <c r="V74" s="121">
        <f t="shared" si="19"/>
        <v>0</v>
      </c>
      <c r="W74" s="121">
        <f t="shared" si="19"/>
        <v>18171.307289432742</v>
      </c>
      <c r="X74" s="121">
        <f t="shared" si="19"/>
        <v>218055.6874731929</v>
      </c>
      <c r="Y74" s="121">
        <f t="shared" si="19"/>
        <v>218055.6874731929</v>
      </c>
      <c r="Z74" s="121">
        <f t="shared" si="19"/>
        <v>218055.6874731929</v>
      </c>
      <c r="AB74" s="33">
        <f t="shared" si="5"/>
        <v>0</v>
      </c>
      <c r="AC74" s="33">
        <f t="shared" si="6"/>
        <v>18171.307289432742</v>
      </c>
      <c r="AD74" s="33">
        <f t="shared" si="7"/>
        <v>220018.18866045162</v>
      </c>
      <c r="AE74" s="33">
        <f t="shared" si="8"/>
        <v>221998.35235839564</v>
      </c>
      <c r="AF74" s="33">
        <f t="shared" si="9"/>
        <v>223996.33752962117</v>
      </c>
      <c r="AH74" s="121">
        <f t="shared" si="10"/>
        <v>0</v>
      </c>
      <c r="AI74" s="121">
        <f t="shared" si="11"/>
        <v>1072107.1300765318</v>
      </c>
      <c r="AJ74" s="121">
        <f t="shared" si="12"/>
        <v>861737.90558676887</v>
      </c>
      <c r="AK74" s="121">
        <f t="shared" si="13"/>
        <v>647495.19437865401</v>
      </c>
      <c r="AL74" s="121">
        <f t="shared" si="13"/>
        <v>429326.31359844061</v>
      </c>
      <c r="AN74" s="121" cm="1">
        <f t="array" ref="AN74">IF($N74&gt;0,((AN$49=$L74)*((13-$M74)/12)+(AN$49&gt;$L74))*$N74*INDEX($H$31:$N$35,$L74-2020,AN$49-2019)*INDEX($H$39:$N$43,$L74-2020,AN$49-2019)*$F$19,0)</f>
        <v>908.56536447163705</v>
      </c>
      <c r="AO74" s="121" cm="1">
        <f t="array" ref="AO74">IF($N74&gt;0,((AO$49=$L74)*((13-$M74)/12)+(AO$49&gt;$L74))*$N74*INDEX($H$31:$N$35,$L74-2020,AO$49-2019)*INDEX($H$39:$N$43,$L74-2020,AO$49-2019)*$F$19,0)</f>
        <v>12150.062906006309</v>
      </c>
      <c r="AP74" s="121" cm="1">
        <f t="array" ref="AP74">IF($N74&gt;0,((AP$49=$L74)*((13-$M74)/12)+(AP$49&gt;$L74))*$N74*INDEX($H$31:$N$35,$L74-2020,AP$49-2019)*INDEX($H$39:$N$43,$L74-2020,AP$49-2019)*$F$19,0)</f>
        <v>12451.991969220569</v>
      </c>
      <c r="AQ74" s="121" cm="1">
        <f t="array" ref="AQ74">IF($N74&gt;0,((AQ$49=$L74)*((13-$M74)/12)+(AQ$49&gt;$L74))*$N74*INDEX($H$31:$N$35,$L74-2020,AQ$49-2019)*INDEX($H$39:$N$43,$L74-2020,AQ$49-2019)*$F$19,0)</f>
        <v>12835.762361711946</v>
      </c>
      <c r="AS74" s="114">
        <f t="shared" si="14"/>
        <v>58747.836466736051</v>
      </c>
      <c r="AT74" s="114">
        <f t="shared" si="15"/>
        <v>276116.8847513831</v>
      </c>
      <c r="AU74" s="114">
        <f t="shared" si="16"/>
        <v>266177.60885217023</v>
      </c>
      <c r="AV74" s="114">
        <f t="shared" si="17"/>
        <v>259586.39451205046</v>
      </c>
    </row>
    <row r="75" spans="2:48" x14ac:dyDescent="0.2">
      <c r="B75" s="124">
        <f>'12. Input inv. &lt;= 10 jaar'!B35</f>
        <v>25</v>
      </c>
      <c r="C75" s="113"/>
      <c r="D75" s="113"/>
      <c r="E75" s="113"/>
      <c r="G75" s="113"/>
      <c r="H75" s="123" t="str">
        <f>'12. Input inv. &lt;= 10 jaar'!E35</f>
        <v>Systeem</v>
      </c>
      <c r="I75" s="123" t="str">
        <f>'12. Input inv. &lt;= 10 jaar'!F35</f>
        <v>EHS</v>
      </c>
      <c r="J75" s="123" t="str">
        <f>'12. Input inv. &lt;= 10 jaar'!G35</f>
        <v>(Proces)automatisering</v>
      </c>
      <c r="K75" s="123">
        <f>'12. Input inv. &lt;= 10 jaar'!H35</f>
        <v>5</v>
      </c>
      <c r="L75" s="124">
        <f>'12. Input inv. &lt;= 10 jaar'!I35</f>
        <v>2023</v>
      </c>
      <c r="M75" s="123">
        <f>'12. Input inv. &lt;= 10 jaar'!J35</f>
        <v>2</v>
      </c>
      <c r="N75" s="123">
        <f>'12. Input inv. &lt;= 10 jaar'!K35</f>
        <v>611298</v>
      </c>
      <c r="O75" s="113"/>
      <c r="Q75" s="33">
        <f t="shared" si="0"/>
        <v>122259.6</v>
      </c>
      <c r="R75" s="122">
        <f t="shared" si="1"/>
        <v>2028</v>
      </c>
      <c r="S75" s="33">
        <f t="shared" si="2"/>
        <v>112071.3</v>
      </c>
      <c r="T75" s="33">
        <f t="shared" si="3"/>
        <v>10188.299999990735</v>
      </c>
      <c r="V75" s="121">
        <f t="shared" si="19"/>
        <v>0</v>
      </c>
      <c r="W75" s="121">
        <f t="shared" si="19"/>
        <v>0</v>
      </c>
      <c r="X75" s="121">
        <f t="shared" si="19"/>
        <v>112071.3</v>
      </c>
      <c r="Y75" s="121">
        <f t="shared" si="19"/>
        <v>122259.6</v>
      </c>
      <c r="Z75" s="121">
        <f t="shared" si="19"/>
        <v>122259.6</v>
      </c>
      <c r="AB75" s="33">
        <f t="shared" si="5"/>
        <v>0</v>
      </c>
      <c r="AC75" s="33">
        <f t="shared" si="6"/>
        <v>0</v>
      </c>
      <c r="AD75" s="33">
        <f t="shared" si="7"/>
        <v>112071.3</v>
      </c>
      <c r="AE75" s="33">
        <f t="shared" si="8"/>
        <v>123359.93639999999</v>
      </c>
      <c r="AF75" s="33">
        <f t="shared" si="9"/>
        <v>124470.17582759997</v>
      </c>
      <c r="AH75" s="121">
        <f t="shared" si="10"/>
        <v>0</v>
      </c>
      <c r="AI75" s="121">
        <f t="shared" si="11"/>
        <v>0</v>
      </c>
      <c r="AJ75" s="121">
        <f t="shared" si="12"/>
        <v>499226.7</v>
      </c>
      <c r="AK75" s="121">
        <f t="shared" si="13"/>
        <v>380359.80389999994</v>
      </c>
      <c r="AL75" s="121">
        <f t="shared" si="13"/>
        <v>259312.86630749991</v>
      </c>
      <c r="AN75" s="121" cm="1">
        <f t="array" ref="AN75">IF($N75&gt;0,((AN$49=$L75)*((13-$M75)/12)+(AN$49&gt;$L75))*$N75*INDEX($H$31:$N$35,$L75-2020,AN$49-2019)*INDEX($H$39:$N$43,$L75-2020,AN$49-2019)*$F$19,0)</f>
        <v>0</v>
      </c>
      <c r="AO75" s="121" cm="1">
        <f t="array" ref="AO75">IF($N75&gt;0,((AO$49=$L75)*((13-$M75)/12)+(AO$49&gt;$L75))*$N75*INDEX($H$31:$N$35,$L75-2020,AO$49-2019)*INDEX($H$39:$N$43,$L75-2020,AO$49-2019)*$F$19,0)</f>
        <v>5603.5650000000005</v>
      </c>
      <c r="AP75" s="121" cm="1">
        <f t="array" ref="AP75">IF($N75&gt;0,((AP$49=$L75)*((13-$M75)/12)+(AP$49&gt;$L75))*$N75*INDEX($H$31:$N$35,$L75-2020,AP$49-2019)*INDEX($H$39:$N$43,$L75-2020,AP$49-2019)*$F$19,0)</f>
        <v>6264.8875530000005</v>
      </c>
      <c r="AQ75" s="121" cm="1">
        <f t="array" ref="AQ75">IF($N75&gt;0,((AQ$49=$L75)*((13-$M75)/12)+(AQ$49&gt;$L75))*$N75*INDEX($H$31:$N$35,$L75-2020,AQ$49-2019)*INDEX($H$39:$N$43,$L75-2020,AQ$49-2019)*$F$19,0)</f>
        <v>6457.9713873834608</v>
      </c>
      <c r="AS75" s="114">
        <f t="shared" si="14"/>
        <v>0</v>
      </c>
      <c r="AT75" s="114">
        <f t="shared" si="15"/>
        <v>143135.42670000001</v>
      </c>
      <c r="AU75" s="114">
        <f t="shared" si="16"/>
        <v>148262.4543441</v>
      </c>
      <c r="AV75" s="114">
        <f t="shared" si="17"/>
        <v>144671.72912928095</v>
      </c>
    </row>
    <row r="76" spans="2:48" x14ac:dyDescent="0.2">
      <c r="B76" s="124">
        <f>'12. Input inv. &lt;= 10 jaar'!B36</f>
        <v>26</v>
      </c>
      <c r="C76" s="113"/>
      <c r="D76" s="113"/>
      <c r="E76" s="113"/>
      <c r="G76" s="113"/>
      <c r="H76" s="123" t="str">
        <f>'12. Input inv. &lt;= 10 jaar'!E36</f>
        <v>Systeem</v>
      </c>
      <c r="I76" s="123" t="str">
        <f>'12. Input inv. &lt;= 10 jaar'!F36</f>
        <v>EHS</v>
      </c>
      <c r="J76" s="123" t="str">
        <f>'12. Input inv. &lt;= 10 jaar'!G36</f>
        <v>(Proces)automatisering</v>
      </c>
      <c r="K76" s="123">
        <f>'12. Input inv. &lt;= 10 jaar'!H36</f>
        <v>5</v>
      </c>
      <c r="L76" s="124">
        <f>'12. Input inv. &lt;= 10 jaar'!I36</f>
        <v>2023</v>
      </c>
      <c r="M76" s="123">
        <f>'12. Input inv. &lt;= 10 jaar'!J36</f>
        <v>5</v>
      </c>
      <c r="N76" s="123">
        <f>'12. Input inv. &lt;= 10 jaar'!K36</f>
        <v>2405449.83</v>
      </c>
      <c r="O76" s="113"/>
      <c r="Q76" s="33">
        <f t="shared" si="0"/>
        <v>481089.96600000001</v>
      </c>
      <c r="R76" s="122">
        <f t="shared" si="1"/>
        <v>2028</v>
      </c>
      <c r="S76" s="33">
        <f t="shared" si="2"/>
        <v>320726.64400000003</v>
      </c>
      <c r="T76" s="33">
        <f t="shared" si="3"/>
        <v>160363.32199996355</v>
      </c>
      <c r="V76" s="121">
        <f t="shared" si="19"/>
        <v>0</v>
      </c>
      <c r="W76" s="121">
        <f t="shared" si="19"/>
        <v>0</v>
      </c>
      <c r="X76" s="121">
        <f t="shared" si="19"/>
        <v>320726.64400000003</v>
      </c>
      <c r="Y76" s="121">
        <f t="shared" si="19"/>
        <v>481089.96600000001</v>
      </c>
      <c r="Z76" s="121">
        <f t="shared" si="19"/>
        <v>481089.96600000001</v>
      </c>
      <c r="AB76" s="33">
        <f t="shared" si="5"/>
        <v>0</v>
      </c>
      <c r="AC76" s="33">
        <f t="shared" si="6"/>
        <v>0</v>
      </c>
      <c r="AD76" s="33">
        <f t="shared" si="7"/>
        <v>320726.64400000003</v>
      </c>
      <c r="AE76" s="33">
        <f t="shared" si="8"/>
        <v>485419.77569399995</v>
      </c>
      <c r="AF76" s="33">
        <f t="shared" si="9"/>
        <v>489788.5536752459</v>
      </c>
      <c r="AH76" s="121">
        <f t="shared" si="10"/>
        <v>0</v>
      </c>
      <c r="AI76" s="121">
        <f t="shared" si="11"/>
        <v>0</v>
      </c>
      <c r="AJ76" s="121">
        <f t="shared" si="12"/>
        <v>2084723.186</v>
      </c>
      <c r="AK76" s="121">
        <f t="shared" si="13"/>
        <v>1618065.9189799996</v>
      </c>
      <c r="AL76" s="121">
        <f t="shared" si="13"/>
        <v>1142839.9585755735</v>
      </c>
      <c r="AN76" s="121" cm="1">
        <f t="array" ref="AN76">IF($N76&gt;0,((AN$49=$L76)*((13-$M76)/12)+(AN$49&gt;$L76))*$N76*INDEX($H$31:$N$35,$L76-2020,AN$49-2019)*INDEX($H$39:$N$43,$L76-2020,AN$49-2019)*$F$19,0)</f>
        <v>0</v>
      </c>
      <c r="AO76" s="121" cm="1">
        <f t="array" ref="AO76">IF($N76&gt;0,((AO$49=$L76)*((13-$M76)/12)+(AO$49&gt;$L76))*$N76*INDEX($H$31:$N$35,$L76-2020,AO$49-2019)*INDEX($H$39:$N$43,$L76-2020,AO$49-2019)*$F$19,0)</f>
        <v>16036.332200000001</v>
      </c>
      <c r="AP76" s="121" cm="1">
        <f t="array" ref="AP76">IF($N76&gt;0,((AP$49=$L76)*((13-$M76)/12)+(AP$49&gt;$L76))*$N76*INDEX($H$31:$N$35,$L76-2020,AP$49-2019)*INDEX($H$39:$N$43,$L76-2020,AP$49-2019)*$F$19,0)</f>
        <v>24652.252582755005</v>
      </c>
      <c r="AQ76" s="121" cm="1">
        <f t="array" ref="AQ76">IF($N76&gt;0,((AQ$49=$L76)*((13-$M76)/12)+(AQ$49&gt;$L76))*$N76*INDEX($H$31:$N$35,$L76-2020,AQ$49-2019)*INDEX($H$39:$N$43,$L76-2020,AQ$49-2019)*$F$19,0)</f>
        <v>25412.035007355513</v>
      </c>
      <c r="AS76" s="114">
        <f t="shared" si="14"/>
        <v>0</v>
      </c>
      <c r="AT76" s="114">
        <f t="shared" si="15"/>
        <v>443083.85868600005</v>
      </c>
      <c r="AU76" s="114">
        <f t="shared" si="16"/>
        <v>589357.25830677501</v>
      </c>
      <c r="AV76" s="114">
        <f t="shared" si="17"/>
        <v>575771.10648710676</v>
      </c>
    </row>
    <row r="77" spans="2:48" x14ac:dyDescent="0.2">
      <c r="B77" s="124">
        <f>'12. Input inv. &lt;= 10 jaar'!B37</f>
        <v>27</v>
      </c>
      <c r="C77" s="113"/>
      <c r="D77" s="113"/>
      <c r="E77" s="113"/>
      <c r="G77" s="113"/>
      <c r="H77" s="123" t="str">
        <f>'12. Input inv. &lt;= 10 jaar'!E37</f>
        <v>Systeem</v>
      </c>
      <c r="I77" s="123" t="str">
        <f>'12. Input inv. &lt;= 10 jaar'!F37</f>
        <v>EHS</v>
      </c>
      <c r="J77" s="123" t="str">
        <f>'12. Input inv. &lt;= 10 jaar'!G37</f>
        <v>(Proces)automatisering</v>
      </c>
      <c r="K77" s="123">
        <f>'12. Input inv. &lt;= 10 jaar'!H37</f>
        <v>5</v>
      </c>
      <c r="L77" s="124">
        <f>'12. Input inv. &lt;= 10 jaar'!I37</f>
        <v>2023</v>
      </c>
      <c r="M77" s="123">
        <f>'12. Input inv. &lt;= 10 jaar'!J37</f>
        <v>12</v>
      </c>
      <c r="N77" s="123">
        <f>'12. Input inv. &lt;= 10 jaar'!K37</f>
        <v>1469705.23</v>
      </c>
      <c r="O77" s="113"/>
      <c r="Q77" s="33">
        <f t="shared" si="0"/>
        <v>293941.04599999997</v>
      </c>
      <c r="R77" s="122">
        <f t="shared" si="1"/>
        <v>2028</v>
      </c>
      <c r="S77" s="33">
        <f t="shared" si="2"/>
        <v>24495.087166666664</v>
      </c>
      <c r="T77" s="33">
        <f t="shared" si="3"/>
        <v>269445.95883335557</v>
      </c>
      <c r="V77" s="121">
        <f t="shared" si="19"/>
        <v>0</v>
      </c>
      <c r="W77" s="121">
        <f t="shared" si="19"/>
        <v>0</v>
      </c>
      <c r="X77" s="121">
        <f t="shared" si="19"/>
        <v>24495.087166666664</v>
      </c>
      <c r="Y77" s="121">
        <f t="shared" si="19"/>
        <v>293941.04599999997</v>
      </c>
      <c r="Z77" s="121">
        <f t="shared" si="19"/>
        <v>293941.04599999997</v>
      </c>
      <c r="AB77" s="33">
        <f t="shared" si="5"/>
        <v>0</v>
      </c>
      <c r="AC77" s="33">
        <f t="shared" si="6"/>
        <v>0</v>
      </c>
      <c r="AD77" s="33">
        <f t="shared" si="7"/>
        <v>24495.087166666664</v>
      </c>
      <c r="AE77" s="33">
        <f t="shared" si="8"/>
        <v>296586.51541399996</v>
      </c>
      <c r="AF77" s="33">
        <f t="shared" si="9"/>
        <v>299255.79405272589</v>
      </c>
      <c r="AH77" s="121">
        <f t="shared" si="10"/>
        <v>0</v>
      </c>
      <c r="AI77" s="121">
        <f t="shared" si="11"/>
        <v>0</v>
      </c>
      <c r="AJ77" s="121">
        <f t="shared" si="12"/>
        <v>1445210.1428333332</v>
      </c>
      <c r="AK77" s="121">
        <f t="shared" si="13"/>
        <v>1161630.518704833</v>
      </c>
      <c r="AL77" s="121">
        <f t="shared" si="13"/>
        <v>872829.39932045038</v>
      </c>
      <c r="AN77" s="121" cm="1">
        <f t="array" ref="AN77">IF($N77&gt;0,((AN$49=$L77)*((13-$M77)/12)+(AN$49&gt;$L77))*$N77*INDEX($H$31:$N$35,$L77-2020,AN$49-2019)*INDEX($H$39:$N$43,$L77-2020,AN$49-2019)*$F$19,0)</f>
        <v>0</v>
      </c>
      <c r="AO77" s="121" cm="1">
        <f t="array" ref="AO77">IF($N77&gt;0,((AO$49=$L77)*((13-$M77)/12)+(AO$49&gt;$L77))*$N77*INDEX($H$31:$N$35,$L77-2020,AO$49-2019)*INDEX($H$39:$N$43,$L77-2020,AO$49-2019)*$F$19,0)</f>
        <v>1224.7543583333334</v>
      </c>
      <c r="AP77" s="121" cm="1">
        <f t="array" ref="AP77">IF($N77&gt;0,((AP$49=$L77)*((13-$M77)/12)+(AP$49&gt;$L77))*$N77*INDEX($H$31:$N$35,$L77-2020,AP$49-2019)*INDEX($H$39:$N$43,$L77-2020,AP$49-2019)*$F$19,0)</f>
        <v>15062.274049655001</v>
      </c>
      <c r="AQ77" s="121" cm="1">
        <f t="array" ref="AQ77">IF($N77&gt;0,((AQ$49=$L77)*((13-$M77)/12)+(AQ$49&gt;$L77))*$N77*INDEX($H$31:$N$35,$L77-2020,AQ$49-2019)*INDEX($H$39:$N$43,$L77-2020,AQ$49-2019)*$F$19,0)</f>
        <v>15526.493335865369</v>
      </c>
      <c r="AS77" s="114">
        <f t="shared" si="14"/>
        <v>0</v>
      </c>
      <c r="AT77" s="114">
        <f t="shared" si="15"/>
        <v>99425.558809499984</v>
      </c>
      <c r="AU77" s="114">
        <f t="shared" si="16"/>
        <v>368568.68488019181</v>
      </c>
      <c r="AV77" s="114">
        <f t="shared" si="17"/>
        <v>361042.24555257516</v>
      </c>
    </row>
    <row r="78" spans="2:48" x14ac:dyDescent="0.2">
      <c r="B78" s="124">
        <f>'12. Input inv. &lt;= 10 jaar'!B38</f>
        <v>28</v>
      </c>
      <c r="C78" s="113"/>
      <c r="D78" s="113"/>
      <c r="E78" s="113"/>
      <c r="G78" s="113"/>
      <c r="H78" s="123" t="str">
        <f>'12. Input inv. &lt;= 10 jaar'!E38</f>
        <v>Systeem</v>
      </c>
      <c r="I78" s="123" t="str">
        <f>'12. Input inv. &lt;= 10 jaar'!F38</f>
        <v>EHS</v>
      </c>
      <c r="J78" s="123" t="str">
        <f>'12. Input inv. &lt;= 10 jaar'!G38</f>
        <v>(Proces)automatisering</v>
      </c>
      <c r="K78" s="123">
        <f>'12. Input inv. &lt;= 10 jaar'!H38</f>
        <v>5</v>
      </c>
      <c r="L78" s="124">
        <f>'12. Input inv. &lt;= 10 jaar'!I38</f>
        <v>2023</v>
      </c>
      <c r="M78" s="123">
        <f>'12. Input inv. &lt;= 10 jaar'!J38</f>
        <v>11</v>
      </c>
      <c r="N78" s="123">
        <f>'12. Input inv. &lt;= 10 jaar'!K38</f>
        <v>119220.6806099</v>
      </c>
      <c r="O78" s="113"/>
      <c r="Q78" s="33">
        <f t="shared" si="0"/>
        <v>23844.136121979998</v>
      </c>
      <c r="R78" s="122">
        <f t="shared" si="1"/>
        <v>2028</v>
      </c>
      <c r="S78" s="33">
        <f t="shared" si="2"/>
        <v>3974.0226869966664</v>
      </c>
      <c r="T78" s="33">
        <f t="shared" si="3"/>
        <v>19870.113434981526</v>
      </c>
      <c r="V78" s="121">
        <f t="shared" si="19"/>
        <v>0</v>
      </c>
      <c r="W78" s="121">
        <f t="shared" si="19"/>
        <v>0</v>
      </c>
      <c r="X78" s="121">
        <f t="shared" si="19"/>
        <v>3974.0226869966664</v>
      </c>
      <c r="Y78" s="121">
        <f t="shared" si="19"/>
        <v>23844.136121979998</v>
      </c>
      <c r="Z78" s="121">
        <f t="shared" si="19"/>
        <v>23844.136121979998</v>
      </c>
      <c r="AB78" s="33">
        <f t="shared" si="5"/>
        <v>0</v>
      </c>
      <c r="AC78" s="33">
        <f t="shared" si="6"/>
        <v>0</v>
      </c>
      <c r="AD78" s="33">
        <f t="shared" si="7"/>
        <v>3974.0226869966664</v>
      </c>
      <c r="AE78" s="33">
        <f t="shared" si="8"/>
        <v>24058.733347077818</v>
      </c>
      <c r="AF78" s="33">
        <f t="shared" si="9"/>
        <v>24275.261947201514</v>
      </c>
      <c r="AH78" s="121">
        <f t="shared" si="10"/>
        <v>0</v>
      </c>
      <c r="AI78" s="121">
        <f t="shared" si="11"/>
        <v>0</v>
      </c>
      <c r="AJ78" s="121">
        <f t="shared" si="12"/>
        <v>115246.65792290332</v>
      </c>
      <c r="AK78" s="121">
        <f t="shared" si="13"/>
        <v>92225.144497131638</v>
      </c>
      <c r="AL78" s="121">
        <f t="shared" si="13"/>
        <v>68779.908850404288</v>
      </c>
      <c r="AN78" s="121" cm="1">
        <f t="array" ref="AN78">IF($N78&gt;0,((AN$49=$L78)*((13-$M78)/12)+(AN$49&gt;$L78))*$N78*INDEX($H$31:$N$35,$L78-2020,AN$49-2019)*INDEX($H$39:$N$43,$L78-2020,AN$49-2019)*$F$19,0)</f>
        <v>0</v>
      </c>
      <c r="AO78" s="121" cm="1">
        <f t="array" ref="AO78">IF($N78&gt;0,((AO$49=$L78)*((13-$M78)/12)+(AO$49&gt;$L78))*$N78*INDEX($H$31:$N$35,$L78-2020,AO$49-2019)*INDEX($H$39:$N$43,$L78-2020,AO$49-2019)*$F$19,0)</f>
        <v>198.7011343498333</v>
      </c>
      <c r="AP78" s="121" cm="1">
        <f t="array" ref="AP78">IF($N78&gt;0,((AP$49=$L78)*((13-$M78)/12)+(AP$49&gt;$L78))*$N78*INDEX($H$31:$N$35,$L78-2020,AP$49-2019)*INDEX($H$39:$N$43,$L78-2020,AP$49-2019)*$F$19,0)</f>
        <v>1221.8331452305601</v>
      </c>
      <c r="AQ78" s="121" cm="1">
        <f t="array" ref="AQ78">IF($N78&gt;0,((AQ$49=$L78)*((13-$M78)/12)+(AQ$49&gt;$L78))*$N78*INDEX($H$31:$N$35,$L78-2020,AQ$49-2019)*INDEX($H$39:$N$43,$L78-2020,AQ$49-2019)*$F$19,0)</f>
        <v>1259.4900427665661</v>
      </c>
      <c r="AS78" s="114">
        <f t="shared" si="14"/>
        <v>0</v>
      </c>
      <c r="AT78" s="114">
        <f t="shared" si="15"/>
        <v>10050.303375414567</v>
      </c>
      <c r="AU78" s="114">
        <f t="shared" si="16"/>
        <v>29799.59857266783</v>
      </c>
      <c r="AV78" s="114">
        <f t="shared" si="17"/>
        <v>29180.087159039507</v>
      </c>
    </row>
    <row r="79" spans="2:48" x14ac:dyDescent="0.2">
      <c r="B79" s="124">
        <f>'12. Input inv. &lt;= 10 jaar'!B39</f>
        <v>29</v>
      </c>
      <c r="C79" s="113"/>
      <c r="D79" s="113"/>
      <c r="E79" s="113"/>
      <c r="G79" s="113"/>
      <c r="H79" s="123" t="str">
        <f>'12. Input inv. &lt;= 10 jaar'!E39</f>
        <v>Systeem</v>
      </c>
      <c r="I79" s="123" t="str">
        <f>'12. Input inv. &lt;= 10 jaar'!F39</f>
        <v>EHS</v>
      </c>
      <c r="J79" s="123" t="str">
        <f>'12. Input inv. &lt;= 10 jaar'!G39</f>
        <v>(Proces)automatisering</v>
      </c>
      <c r="K79" s="123">
        <f>'12. Input inv. &lt;= 10 jaar'!H39</f>
        <v>5</v>
      </c>
      <c r="L79" s="124">
        <f>'12. Input inv. &lt;= 10 jaar'!I39</f>
        <v>2023</v>
      </c>
      <c r="M79" s="123">
        <f>'12. Input inv. &lt;= 10 jaar'!J39</f>
        <v>12</v>
      </c>
      <c r="N79" s="123">
        <f>'12. Input inv. &lt;= 10 jaar'!K39</f>
        <v>1495782.0008922433</v>
      </c>
      <c r="O79" s="113"/>
      <c r="Q79" s="33">
        <f t="shared" si="0"/>
        <v>299156.40017844865</v>
      </c>
      <c r="R79" s="122">
        <f t="shared" si="1"/>
        <v>2028</v>
      </c>
      <c r="S79" s="33">
        <f t="shared" si="2"/>
        <v>24929.700014870719</v>
      </c>
      <c r="T79" s="33">
        <f t="shared" si="3"/>
        <v>274226.70016360062</v>
      </c>
      <c r="V79" s="121">
        <f t="shared" si="19"/>
        <v>0</v>
      </c>
      <c r="W79" s="121">
        <f t="shared" si="19"/>
        <v>0</v>
      </c>
      <c r="X79" s="121">
        <f t="shared" si="19"/>
        <v>24929.700014870719</v>
      </c>
      <c r="Y79" s="121">
        <f t="shared" si="19"/>
        <v>299156.40017844865</v>
      </c>
      <c r="Z79" s="121">
        <f t="shared" si="19"/>
        <v>299156.40017844865</v>
      </c>
      <c r="AB79" s="33">
        <f t="shared" si="5"/>
        <v>0</v>
      </c>
      <c r="AC79" s="33">
        <f t="shared" si="6"/>
        <v>0</v>
      </c>
      <c r="AD79" s="33">
        <f t="shared" si="7"/>
        <v>24929.700014870719</v>
      </c>
      <c r="AE79" s="33">
        <f t="shared" si="8"/>
        <v>301848.80778005463</v>
      </c>
      <c r="AF79" s="33">
        <f t="shared" si="9"/>
        <v>304565.4470500751</v>
      </c>
      <c r="AH79" s="121">
        <f t="shared" si="10"/>
        <v>0</v>
      </c>
      <c r="AI79" s="121">
        <f t="shared" si="11"/>
        <v>0</v>
      </c>
      <c r="AJ79" s="121">
        <f t="shared" si="12"/>
        <v>1470852.3008773727</v>
      </c>
      <c r="AK79" s="121">
        <f t="shared" si="13"/>
        <v>1182241.1638052142</v>
      </c>
      <c r="AL79" s="121">
        <f t="shared" si="13"/>
        <v>888315.88722938602</v>
      </c>
      <c r="AN79" s="121" cm="1">
        <f t="array" ref="AN79">IF($N79&gt;0,((AN$49=$L79)*((13-$M79)/12)+(AN$49&gt;$L79))*$N79*INDEX($H$31:$N$35,$L79-2020,AN$49-2019)*INDEX($H$39:$N$43,$L79-2020,AN$49-2019)*$F$19,0)</f>
        <v>0</v>
      </c>
      <c r="AO79" s="121" cm="1">
        <f t="array" ref="AO79">IF($N79&gt;0,((AO$49=$L79)*((13-$M79)/12)+(AO$49&gt;$L79))*$N79*INDEX($H$31:$N$35,$L79-2020,AO$49-2019)*INDEX($H$39:$N$43,$L79-2020,AO$49-2019)*$F$19,0)</f>
        <v>1246.4850007435361</v>
      </c>
      <c r="AP79" s="121" cm="1">
        <f t="array" ref="AP79">IF($N79&gt;0,((AP$49=$L79)*((13-$M79)/12)+(AP$49&gt;$L79))*$N79*INDEX($H$31:$N$35,$L79-2020,AP$49-2019)*INDEX($H$39:$N$43,$L79-2020,AP$49-2019)*$F$19,0)</f>
        <v>15329.521836144157</v>
      </c>
      <c r="AQ79" s="121" cm="1">
        <f t="array" ref="AQ79">IF($N79&gt;0,((AQ$49=$L79)*((13-$M79)/12)+(AQ$49&gt;$L79))*$N79*INDEX($H$31:$N$35,$L79-2020,AQ$49-2019)*INDEX($H$39:$N$43,$L79-2020,AQ$49-2019)*$F$19,0)</f>
        <v>15801.97769913412</v>
      </c>
      <c r="AS79" s="114">
        <f t="shared" si="14"/>
        <v>0</v>
      </c>
      <c r="AT79" s="114">
        <f t="shared" si="15"/>
        <v>101189.65236036025</v>
      </c>
      <c r="AU79" s="114">
        <f t="shared" si="16"/>
        <v>375108.14664265426</v>
      </c>
      <c r="AV79" s="114">
        <f t="shared" si="17"/>
        <v>367448.16677236673</v>
      </c>
    </row>
    <row r="80" spans="2:48" x14ac:dyDescent="0.2">
      <c r="B80" s="124">
        <f>'12. Input inv. &lt;= 10 jaar'!B40</f>
        <v>30</v>
      </c>
      <c r="C80" s="113"/>
      <c r="D80" s="113"/>
      <c r="E80" s="113"/>
      <c r="G80" s="113"/>
      <c r="H80" s="123" t="str">
        <f>'12. Input inv. &lt;= 10 jaar'!E40</f>
        <v>Systeem</v>
      </c>
      <c r="I80" s="123" t="str">
        <f>'12. Input inv. &lt;= 10 jaar'!F40</f>
        <v>EHS</v>
      </c>
      <c r="J80" s="123" t="str">
        <f>'12. Input inv. &lt;= 10 jaar'!G40</f>
        <v>(Proces)automatisering</v>
      </c>
      <c r="K80" s="123">
        <f>'12. Input inv. &lt;= 10 jaar'!H40</f>
        <v>5</v>
      </c>
      <c r="L80" s="124">
        <f>'12. Input inv. &lt;= 10 jaar'!I40</f>
        <v>2023</v>
      </c>
      <c r="M80" s="123">
        <f>'12. Input inv. &lt;= 10 jaar'!J40</f>
        <v>13</v>
      </c>
      <c r="N80" s="123">
        <f>'12. Input inv. &lt;= 10 jaar'!K40</f>
        <v>1483999.9897533602</v>
      </c>
      <c r="O80" s="113"/>
      <c r="Q80" s="33">
        <f t="shared" si="0"/>
        <v>296799.99795067206</v>
      </c>
      <c r="R80" s="122">
        <f t="shared" si="1"/>
        <v>2029</v>
      </c>
      <c r="S80" s="33">
        <f t="shared" si="2"/>
        <v>0</v>
      </c>
      <c r="T80" s="33">
        <f t="shared" si="3"/>
        <v>0</v>
      </c>
      <c r="V80" s="121">
        <f t="shared" si="19"/>
        <v>0</v>
      </c>
      <c r="W80" s="121">
        <f t="shared" si="19"/>
        <v>0</v>
      </c>
      <c r="X80" s="121">
        <f t="shared" si="19"/>
        <v>0</v>
      </c>
      <c r="Y80" s="121">
        <f t="shared" si="19"/>
        <v>296799.99795067206</v>
      </c>
      <c r="Z80" s="121">
        <f t="shared" si="19"/>
        <v>296799.99795067206</v>
      </c>
      <c r="AB80" s="33">
        <f t="shared" si="5"/>
        <v>0</v>
      </c>
      <c r="AC80" s="33">
        <f t="shared" si="6"/>
        <v>0</v>
      </c>
      <c r="AD80" s="33">
        <f t="shared" si="7"/>
        <v>0</v>
      </c>
      <c r="AE80" s="33">
        <f t="shared" si="8"/>
        <v>299471.1979322281</v>
      </c>
      <c r="AF80" s="33">
        <f t="shared" si="9"/>
        <v>302166.43871361809</v>
      </c>
      <c r="AH80" s="121">
        <f t="shared" si="10"/>
        <v>0</v>
      </c>
      <c r="AI80" s="121">
        <f t="shared" si="11"/>
        <v>0</v>
      </c>
      <c r="AJ80" s="121">
        <f t="shared" si="12"/>
        <v>1483999.9897533602</v>
      </c>
      <c r="AK80" s="121">
        <f t="shared" si="13"/>
        <v>1197884.7917289119</v>
      </c>
      <c r="AL80" s="121">
        <f t="shared" si="13"/>
        <v>906499.31614085403</v>
      </c>
      <c r="AN80" s="121" cm="1">
        <f t="array" ref="AN80">IF($N80&gt;0,((AN$49=$L80)*((13-$M80)/12)+(AN$49&gt;$L80))*$N80*INDEX($H$31:$N$35,$L80-2020,AN$49-2019)*INDEX($H$39:$N$43,$L80-2020,AN$49-2019)*$F$19,0)</f>
        <v>0</v>
      </c>
      <c r="AO80" s="121" cm="1">
        <f t="array" ref="AO80">IF($N80&gt;0,((AO$49=$L80)*((13-$M80)/12)+(AO$49&gt;$L80))*$N80*INDEX($H$31:$N$35,$L80-2020,AO$49-2019)*INDEX($H$39:$N$43,$L80-2020,AO$49-2019)*$F$19,0)</f>
        <v>0</v>
      </c>
      <c r="AP80" s="121" cm="1">
        <f t="array" ref="AP80">IF($N80&gt;0,((AP$49=$L80)*((13-$M80)/12)+(AP$49&gt;$L80))*$N80*INDEX($H$31:$N$35,$L80-2020,AP$49-2019)*INDEX($H$39:$N$43,$L80-2020,AP$49-2019)*$F$19,0)</f>
        <v>15208.773894987315</v>
      </c>
      <c r="AQ80" s="121" cm="1">
        <f t="array" ref="AQ80">IF($N80&gt;0,((AQ$49=$L80)*((13-$M80)/12)+(AQ$49&gt;$L80))*$N80*INDEX($H$31:$N$35,$L80-2020,AQ$49-2019)*INDEX($H$39:$N$43,$L80-2020,AQ$49-2019)*$F$19,0)</f>
        <v>15677.508306430824</v>
      </c>
      <c r="AS80" s="114">
        <f t="shared" si="14"/>
        <v>0</v>
      </c>
      <c r="AT80" s="114">
        <f t="shared" si="15"/>
        <v>75683.99947742137</v>
      </c>
      <c r="AU80" s="114">
        <f t="shared" si="16"/>
        <v>373376.32662193209</v>
      </c>
      <c r="AV80" s="114">
        <f t="shared" si="17"/>
        <v>365888.4107755142</v>
      </c>
    </row>
    <row r="81" spans="2:48" x14ac:dyDescent="0.2">
      <c r="B81" s="124">
        <f>'12. Input inv. &lt;= 10 jaar'!B41</f>
        <v>31</v>
      </c>
      <c r="C81" s="113"/>
      <c r="D81" s="113"/>
      <c r="E81" s="113"/>
      <c r="G81" s="113"/>
      <c r="H81" s="123" t="str">
        <f>'12. Input inv. &lt;= 10 jaar'!E41</f>
        <v>Systeem</v>
      </c>
      <c r="I81" s="123" t="str">
        <f>'12. Input inv. &lt;= 10 jaar'!F41</f>
        <v>EHS</v>
      </c>
      <c r="J81" s="123" t="str">
        <f>'12. Input inv. &lt;= 10 jaar'!G41</f>
        <v>Computerapparatuur</v>
      </c>
      <c r="K81" s="123">
        <f>'12. Input inv. &lt;= 10 jaar'!H41</f>
        <v>5</v>
      </c>
      <c r="L81" s="124">
        <f>'12. Input inv. &lt;= 10 jaar'!I41</f>
        <v>2023</v>
      </c>
      <c r="M81" s="123">
        <f>'12. Input inv. &lt;= 10 jaar'!J41</f>
        <v>11</v>
      </c>
      <c r="N81" s="123">
        <f>'12. Input inv. &lt;= 10 jaar'!K41</f>
        <v>924377.02612806007</v>
      </c>
      <c r="O81" s="113"/>
      <c r="Q81" s="33">
        <f t="shared" si="0"/>
        <v>184875.40522561202</v>
      </c>
      <c r="R81" s="122">
        <f t="shared" si="1"/>
        <v>2028</v>
      </c>
      <c r="S81" s="33">
        <f t="shared" si="2"/>
        <v>30812.567537602004</v>
      </c>
      <c r="T81" s="33">
        <f t="shared" si="3"/>
        <v>154062.83768799601</v>
      </c>
      <c r="V81" s="121">
        <f t="shared" ref="V81:Z90" si="20">((V$49=$L81)*$S81+(V$49&gt;$L81)*(V$49&lt;$R81)*$Q81+(V$49=$R81)*$T81)</f>
        <v>0</v>
      </c>
      <c r="W81" s="121">
        <f t="shared" si="20"/>
        <v>0</v>
      </c>
      <c r="X81" s="121">
        <f t="shared" si="20"/>
        <v>30812.567537602004</v>
      </c>
      <c r="Y81" s="121">
        <f t="shared" si="20"/>
        <v>184875.40522561202</v>
      </c>
      <c r="Z81" s="121">
        <f t="shared" si="20"/>
        <v>184875.40522561202</v>
      </c>
      <c r="AB81" s="33">
        <f t="shared" si="5"/>
        <v>0</v>
      </c>
      <c r="AC81" s="33">
        <f t="shared" si="6"/>
        <v>0</v>
      </c>
      <c r="AD81" s="33">
        <f t="shared" si="7"/>
        <v>30812.567537602004</v>
      </c>
      <c r="AE81" s="33">
        <f t="shared" si="8"/>
        <v>186539.2838726425</v>
      </c>
      <c r="AF81" s="33">
        <f t="shared" si="9"/>
        <v>188218.13742749626</v>
      </c>
      <c r="AH81" s="121">
        <f t="shared" si="10"/>
        <v>0</v>
      </c>
      <c r="AI81" s="121">
        <f t="shared" si="11"/>
        <v>0</v>
      </c>
      <c r="AJ81" s="121">
        <f t="shared" si="12"/>
        <v>893564.45859045803</v>
      </c>
      <c r="AK81" s="121">
        <f t="shared" si="13"/>
        <v>715067.25484512956</v>
      </c>
      <c r="AL81" s="121">
        <f t="shared" si="13"/>
        <v>533284.72271123936</v>
      </c>
      <c r="AN81" s="121" cm="1">
        <f t="array" ref="AN81">IF($N81&gt;0,((AN$49=$L81)*((13-$M81)/12)+(AN$49&gt;$L81))*$N81*INDEX($H$31:$N$35,$L81-2020,AN$49-2019)*INDEX($H$39:$N$43,$L81-2020,AN$49-2019)*$F$19,0)</f>
        <v>0</v>
      </c>
      <c r="AO81" s="121" cm="1">
        <f t="array" ref="AO81">IF($N81&gt;0,((AO$49=$L81)*((13-$M81)/12)+(AO$49&gt;$L81))*$N81*INDEX($H$31:$N$35,$L81-2020,AO$49-2019)*INDEX($H$39:$N$43,$L81-2020,AO$49-2019)*$F$19,0)</f>
        <v>1540.6283768801002</v>
      </c>
      <c r="AP81" s="121" cm="1">
        <f t="array" ref="AP81">IF($N81&gt;0,((AP$49=$L81)*((13-$M81)/12)+(AP$49&gt;$L81))*$N81*INDEX($H$31:$N$35,$L81-2020,AP$49-2019)*INDEX($H$39:$N$43,$L81-2020,AP$49-2019)*$F$19,0)</f>
        <v>9473.4779522734243</v>
      </c>
      <c r="AQ81" s="121" cm="1">
        <f t="array" ref="AQ81">IF($N81&gt;0,((AQ$49=$L81)*((13-$M81)/12)+(AQ$49&gt;$L81))*$N81*INDEX($H$31:$N$35,$L81-2020,AQ$49-2019)*INDEX($H$39:$N$43,$L81-2020,AQ$49-2019)*$F$19,0)</f>
        <v>9765.4505427624899</v>
      </c>
      <c r="AS81" s="114">
        <f t="shared" si="14"/>
        <v>0</v>
      </c>
      <c r="AT81" s="114">
        <f t="shared" si="15"/>
        <v>77924.983302595458</v>
      </c>
      <c r="AU81" s="114">
        <f t="shared" si="16"/>
        <v>231051.05731232726</v>
      </c>
      <c r="AV81" s="114">
        <f t="shared" si="17"/>
        <v>226247.67827395443</v>
      </c>
    </row>
    <row r="82" spans="2:48" x14ac:dyDescent="0.2">
      <c r="B82" s="124">
        <f>'12. Input inv. &lt;= 10 jaar'!B42</f>
        <v>32</v>
      </c>
      <c r="C82" s="113"/>
      <c r="D82" s="113"/>
      <c r="E82" s="113"/>
      <c r="G82" s="113"/>
      <c r="H82" s="123" t="str">
        <f>'12. Input inv. &lt;= 10 jaar'!E42</f>
        <v>Systeem</v>
      </c>
      <c r="I82" s="123" t="str">
        <f>'12. Input inv. &lt;= 10 jaar'!F42</f>
        <v>EHS</v>
      </c>
      <c r="J82" s="123" t="str">
        <f>'12. Input inv. &lt;= 10 jaar'!G42</f>
        <v>Computerapparatuur</v>
      </c>
      <c r="K82" s="123">
        <f>'12. Input inv. &lt;= 10 jaar'!H42</f>
        <v>5</v>
      </c>
      <c r="L82" s="124">
        <f>'12. Input inv. &lt;= 10 jaar'!I42</f>
        <v>2023</v>
      </c>
      <c r="M82" s="123">
        <f>'12. Input inv. &lt;= 10 jaar'!J42</f>
        <v>12</v>
      </c>
      <c r="N82" s="123">
        <f>'12. Input inv. &lt;= 10 jaar'!K42</f>
        <v>595861.60221771244</v>
      </c>
      <c r="O82" s="113"/>
      <c r="Q82" s="33">
        <f t="shared" si="0"/>
        <v>119172.32044354249</v>
      </c>
      <c r="R82" s="122">
        <f t="shared" si="1"/>
        <v>2028</v>
      </c>
      <c r="S82" s="33">
        <f t="shared" si="2"/>
        <v>9931.0267036285404</v>
      </c>
      <c r="T82" s="33">
        <f t="shared" si="3"/>
        <v>109241.29373992297</v>
      </c>
      <c r="V82" s="121">
        <f t="shared" si="20"/>
        <v>0</v>
      </c>
      <c r="W82" s="121">
        <f t="shared" si="20"/>
        <v>0</v>
      </c>
      <c r="X82" s="121">
        <f t="shared" si="20"/>
        <v>9931.0267036285404</v>
      </c>
      <c r="Y82" s="121">
        <f t="shared" si="20"/>
        <v>119172.32044354249</v>
      </c>
      <c r="Z82" s="121">
        <f t="shared" si="20"/>
        <v>119172.32044354249</v>
      </c>
      <c r="AB82" s="33">
        <f t="shared" si="5"/>
        <v>0</v>
      </c>
      <c r="AC82" s="33">
        <f t="shared" si="6"/>
        <v>0</v>
      </c>
      <c r="AD82" s="33">
        <f t="shared" si="7"/>
        <v>9931.0267036285404</v>
      </c>
      <c r="AE82" s="33">
        <f t="shared" si="8"/>
        <v>120244.87132753436</v>
      </c>
      <c r="AF82" s="33">
        <f t="shared" si="9"/>
        <v>121327.07516948215</v>
      </c>
      <c r="AH82" s="121">
        <f t="shared" si="10"/>
        <v>0</v>
      </c>
      <c r="AI82" s="121">
        <f t="shared" si="11"/>
        <v>0</v>
      </c>
      <c r="AJ82" s="121">
        <f t="shared" si="12"/>
        <v>585930.57551408384</v>
      </c>
      <c r="AK82" s="121">
        <f t="shared" si="13"/>
        <v>470959.07936617621</v>
      </c>
      <c r="AL82" s="121">
        <f t="shared" si="13"/>
        <v>353870.6359109896</v>
      </c>
      <c r="AN82" s="121" cm="1">
        <f t="array" ref="AN82">IF($N82&gt;0,((AN$49=$L82)*((13-$M82)/12)+(AN$49&gt;$L82))*$N82*INDEX($H$31:$N$35,$L82-2020,AN$49-2019)*INDEX($H$39:$N$43,$L82-2020,AN$49-2019)*$F$19,0)</f>
        <v>0</v>
      </c>
      <c r="AO82" s="121" cm="1">
        <f t="array" ref="AO82">IF($N82&gt;0,((AO$49=$L82)*((13-$M82)/12)+(AO$49&gt;$L82))*$N82*INDEX($H$31:$N$35,$L82-2020,AO$49-2019)*INDEX($H$39:$N$43,$L82-2020,AO$49-2019)*$F$19,0)</f>
        <v>496.55133518142702</v>
      </c>
      <c r="AP82" s="121" cm="1">
        <f t="array" ref="AP82">IF($N82&gt;0,((AP$49=$L82)*((13-$M82)/12)+(AP$49&gt;$L82))*$N82*INDEX($H$31:$N$35,$L82-2020,AP$49-2019)*INDEX($H$39:$N$43,$L82-2020,AP$49-2019)*$F$19,0)</f>
        <v>6106.6876303282252</v>
      </c>
      <c r="AQ82" s="121" cm="1">
        <f t="array" ref="AQ82">IF($N82&gt;0,((AQ$49=$L82)*((13-$M82)/12)+(AQ$49&gt;$L82))*$N82*INDEX($H$31:$N$35,$L82-2020,AQ$49-2019)*INDEX($H$39:$N$43,$L82-2020,AQ$49-2019)*$F$19,0)</f>
        <v>6294.8957430949422</v>
      </c>
      <c r="AS82" s="114">
        <f t="shared" si="14"/>
        <v>0</v>
      </c>
      <c r="AT82" s="114">
        <f t="shared" si="15"/>
        <v>40310.037390028243</v>
      </c>
      <c r="AU82" s="114">
        <f t="shared" si="16"/>
        <v>149428.55384680524</v>
      </c>
      <c r="AV82" s="114">
        <f t="shared" si="17"/>
        <v>146377.11461585955</v>
      </c>
    </row>
    <row r="83" spans="2:48" x14ac:dyDescent="0.2">
      <c r="B83" s="124">
        <f>'12. Input inv. &lt;= 10 jaar'!B43</f>
        <v>33</v>
      </c>
      <c r="C83" s="113"/>
      <c r="D83" s="113"/>
      <c r="E83" s="113"/>
      <c r="G83" s="113"/>
      <c r="H83" s="123" t="str">
        <f>'12. Input inv. &lt;= 10 jaar'!E43</f>
        <v>Systeem</v>
      </c>
      <c r="I83" s="123" t="str">
        <f>'12. Input inv. &lt;= 10 jaar'!F43</f>
        <v>EHS</v>
      </c>
      <c r="J83" s="123" t="str">
        <f>'12. Input inv. &lt;= 10 jaar'!G43</f>
        <v>Computerapparatuur</v>
      </c>
      <c r="K83" s="123">
        <f>'12. Input inv. &lt;= 10 jaar'!H43</f>
        <v>5</v>
      </c>
      <c r="L83" s="124">
        <f>'12. Input inv. &lt;= 10 jaar'!I43</f>
        <v>2023</v>
      </c>
      <c r="M83" s="123">
        <f>'12. Input inv. &lt;= 10 jaar'!J43</f>
        <v>12</v>
      </c>
      <c r="N83" s="123">
        <f>'12. Input inv. &lt;= 10 jaar'!K43</f>
        <v>1015891.33</v>
      </c>
      <c r="O83" s="113"/>
      <c r="Q83" s="33">
        <f t="shared" ref="Q83:Q114" si="21">IF(K83&gt;0,N83/K83,0)</f>
        <v>203178.266</v>
      </c>
      <c r="R83" s="122">
        <f t="shared" ref="R83:R114" si="22">ROUNDDOWN(L83+K83+(M83-1)/12,0)</f>
        <v>2028</v>
      </c>
      <c r="S83" s="33">
        <f t="shared" ref="S83:S114" si="23">Q83*(13-M83)/12</f>
        <v>16931.522166666666</v>
      </c>
      <c r="T83" s="33">
        <f t="shared" ref="T83:T114" si="24">Q83*(L83+K83+(M83-1)/12-R83)</f>
        <v>186246.74383334874</v>
      </c>
      <c r="V83" s="121">
        <f t="shared" si="20"/>
        <v>0</v>
      </c>
      <c r="W83" s="121">
        <f t="shared" si="20"/>
        <v>0</v>
      </c>
      <c r="X83" s="121">
        <f t="shared" si="20"/>
        <v>16931.522166666666</v>
      </c>
      <c r="Y83" s="121">
        <f t="shared" si="20"/>
        <v>203178.266</v>
      </c>
      <c r="Z83" s="121">
        <f t="shared" si="20"/>
        <v>203178.266</v>
      </c>
      <c r="AB83" s="33">
        <f t="shared" ref="AB83:AB114" si="25">POWER((1+$F$25),(AB$49-$L83))*V83</f>
        <v>0</v>
      </c>
      <c r="AC83" s="33">
        <f t="shared" ref="AC83:AC114" si="26">POWER((1+$F$25),(AC$49-$L83))*W83</f>
        <v>0</v>
      </c>
      <c r="AD83" s="33">
        <f t="shared" ref="AD83:AD114" si="27">POWER((1+$F$25),(AD$49-$L83))*X83</f>
        <v>16931.522166666666</v>
      </c>
      <c r="AE83" s="33">
        <f t="shared" ref="AE83:AF114" si="28">POWER((1+$F$25),(AE$49-$L83))*Y83</f>
        <v>205006.87039399997</v>
      </c>
      <c r="AF83" s="33">
        <f t="shared" si="28"/>
        <v>206851.93222754597</v>
      </c>
      <c r="AH83" s="121">
        <f t="shared" ref="AH83:AH114" si="29">(AH$49=$L83)*($N83-AB83)+(AH$49&gt;$L83)*(AG83*(1+$F$25)-AB83)</f>
        <v>0</v>
      </c>
      <c r="AI83" s="121">
        <f t="shared" ref="AI83:AI114" si="30">(AI$49=$L83)*($N83-AC83)+(AI$49&gt;$L83)*(AH83*(1+$F$25)-AC83)</f>
        <v>0</v>
      </c>
      <c r="AJ83" s="121">
        <f t="shared" ref="AJ83:AJ114" si="31">(AJ$49=$L83)*($N83-AD83)+(AJ$49&gt;$L83)*(AI83*(1+$F$25)-AD83)</f>
        <v>998959.80783333327</v>
      </c>
      <c r="AK83" s="121">
        <f t="shared" ref="AK83:AL114" si="32">(AK$49=$L83)*($N83-AE83)+(AK$49&gt;$L83)*(AJ83*(1+$F$25)-AE83)</f>
        <v>802943.57570983318</v>
      </c>
      <c r="AL83" s="121">
        <f t="shared" si="32"/>
        <v>603318.13566367561</v>
      </c>
      <c r="AN83" s="121" cm="1">
        <f t="array" ref="AN83">IF($N83&gt;0,((AN$49=$L83)*((13-$M83)/12)+(AN$49&gt;$L83))*$N83*INDEX($H$31:$N$35,$L83-2020,AN$49-2019)*INDEX($H$39:$N$43,$L83-2020,AN$49-2019)*$F$19,0)</f>
        <v>0</v>
      </c>
      <c r="AO83" s="121" cm="1">
        <f t="array" ref="AO83">IF($N83&gt;0,((AO$49=$L83)*((13-$M83)/12)+(AO$49&gt;$L83))*$N83*INDEX($H$31:$N$35,$L83-2020,AO$49-2019)*INDEX($H$39:$N$43,$L83-2020,AO$49-2019)*$F$19,0)</f>
        <v>846.57610833333331</v>
      </c>
      <c r="AP83" s="121" cm="1">
        <f t="array" ref="AP83">IF($N83&gt;0,((AP$49=$L83)*((13-$M83)/12)+(AP$49&gt;$L83))*$N83*INDEX($H$31:$N$35,$L83-2020,AP$49-2019)*INDEX($H$39:$N$43,$L83-2020,AP$49-2019)*$F$19,0)</f>
        <v>10411.362295505001</v>
      </c>
      <c r="AQ83" s="121" cm="1">
        <f t="array" ref="AQ83">IF($N83&gt;0,((AQ$49=$L83)*((13-$M83)/12)+(AQ$49&gt;$L83))*$N83*INDEX($H$31:$N$35,$L83-2020,AQ$49-2019)*INDEX($H$39:$N$43,$L83-2020,AQ$49-2019)*$F$19,0)</f>
        <v>10732.240481452465</v>
      </c>
      <c r="AS83" s="114">
        <f t="shared" ref="AS83:AS114" si="33">AC83+AI83*J$16+AN83</f>
        <v>0</v>
      </c>
      <c r="AT83" s="114">
        <f t="shared" ref="AT83:AT114" si="34">AD83+AJ83*K$16+AO83</f>
        <v>68725.048474499999</v>
      </c>
      <c r="AU83" s="114">
        <f t="shared" ref="AU83:AU114" si="35">AE83+AK83*L$16+AP83</f>
        <v>254762.4678992868</v>
      </c>
      <c r="AV83" s="114">
        <f t="shared" ref="AV83:AV114" si="36">AF83+AL83*M$16+AQ83</f>
        <v>249560.03389917323</v>
      </c>
    </row>
    <row r="84" spans="2:48" x14ac:dyDescent="0.2">
      <c r="B84" s="124">
        <f>'12. Input inv. &lt;= 10 jaar'!B44</f>
        <v>34</v>
      </c>
      <c r="C84" s="113"/>
      <c r="D84" s="113"/>
      <c r="E84" s="113"/>
      <c r="G84" s="113"/>
      <c r="H84" s="123" t="str">
        <f>'12. Input inv. &lt;= 10 jaar'!E44</f>
        <v>Systeem</v>
      </c>
      <c r="I84" s="123" t="str">
        <f>'12. Input inv. &lt;= 10 jaar'!F44</f>
        <v>EHS</v>
      </c>
      <c r="J84" s="123" t="str">
        <f>'12. Input inv. &lt;= 10 jaar'!G44</f>
        <v>Overige bedrijfsmiddelen</v>
      </c>
      <c r="K84" s="123">
        <f>'12. Input inv. &lt;= 10 jaar'!H44</f>
        <v>10</v>
      </c>
      <c r="L84" s="124">
        <f>'12. Input inv. &lt;= 10 jaar'!I44</f>
        <v>2023</v>
      </c>
      <c r="M84" s="123">
        <f>'12. Input inv. &lt;= 10 jaar'!J44</f>
        <v>12</v>
      </c>
      <c r="N84" s="123">
        <f>'12. Input inv. &lt;= 10 jaar'!K44</f>
        <v>102950.75000000001</v>
      </c>
      <c r="O84" s="113"/>
      <c r="Q84" s="33">
        <f t="shared" si="21"/>
        <v>10295.075000000001</v>
      </c>
      <c r="R84" s="122">
        <f t="shared" si="22"/>
        <v>2033</v>
      </c>
      <c r="S84" s="33">
        <f t="shared" si="23"/>
        <v>857.92291666666677</v>
      </c>
      <c r="T84" s="33">
        <f t="shared" si="24"/>
        <v>9437.1520833341146</v>
      </c>
      <c r="V84" s="121">
        <f t="shared" si="20"/>
        <v>0</v>
      </c>
      <c r="W84" s="121">
        <f t="shared" si="20"/>
        <v>0</v>
      </c>
      <c r="X84" s="121">
        <f t="shared" si="20"/>
        <v>857.92291666666677</v>
      </c>
      <c r="Y84" s="121">
        <f t="shared" si="20"/>
        <v>10295.075000000001</v>
      </c>
      <c r="Z84" s="121">
        <f t="shared" si="20"/>
        <v>10295.075000000001</v>
      </c>
      <c r="AB84" s="33">
        <f t="shared" si="25"/>
        <v>0</v>
      </c>
      <c r="AC84" s="33">
        <f t="shared" si="26"/>
        <v>0</v>
      </c>
      <c r="AD84" s="33">
        <f t="shared" si="27"/>
        <v>857.92291666666677</v>
      </c>
      <c r="AE84" s="33">
        <f t="shared" si="28"/>
        <v>10387.730674999999</v>
      </c>
      <c r="AF84" s="33">
        <f t="shared" si="28"/>
        <v>10481.220251074999</v>
      </c>
      <c r="AH84" s="121">
        <f t="shared" si="29"/>
        <v>0</v>
      </c>
      <c r="AI84" s="121">
        <f t="shared" si="30"/>
        <v>0</v>
      </c>
      <c r="AJ84" s="121">
        <f t="shared" si="31"/>
        <v>102092.82708333335</v>
      </c>
      <c r="AK84" s="121">
        <f t="shared" si="32"/>
        <v>92623.931852083348</v>
      </c>
      <c r="AL84" s="121">
        <f t="shared" si="32"/>
        <v>82976.326987677079</v>
      </c>
      <c r="AN84" s="121" cm="1">
        <f t="array" ref="AN84">IF($N84&gt;0,((AN$49=$L84)*((13-$M84)/12)+(AN$49&gt;$L84))*$N84*INDEX($H$31:$N$35,$L84-2020,AN$49-2019)*INDEX($H$39:$N$43,$L84-2020,AN$49-2019)*$F$19,0)</f>
        <v>0</v>
      </c>
      <c r="AO84" s="121" cm="1">
        <f t="array" ref="AO84">IF($N84&gt;0,((AO$49=$L84)*((13-$M84)/12)+(AO$49&gt;$L84))*$N84*INDEX($H$31:$N$35,$L84-2020,AO$49-2019)*INDEX($H$39:$N$43,$L84-2020,AO$49-2019)*$F$19,0)</f>
        <v>85.792291666666685</v>
      </c>
      <c r="AP84" s="121" cm="1">
        <f t="array" ref="AP84">IF($N84&gt;0,((AP$49=$L84)*((13-$M84)/12)+(AP$49&gt;$L84))*$N84*INDEX($H$31:$N$35,$L84-2020,AP$49-2019)*INDEX($H$39:$N$43,$L84-2020,AP$49-2019)*$F$19,0)</f>
        <v>1055.0907613750001</v>
      </c>
      <c r="AQ84" s="121" cm="1">
        <f t="array" ref="AQ84">IF($N84&gt;0,((AQ$49=$L84)*((13-$M84)/12)+(AQ$49&gt;$L84))*$N84*INDEX($H$31:$N$35,$L84-2020,AQ$49-2019)*INDEX($H$39:$N$43,$L84-2020,AQ$49-2019)*$F$19,0)</f>
        <v>1087.6086586405777</v>
      </c>
      <c r="AS84" s="114">
        <f t="shared" si="33"/>
        <v>0</v>
      </c>
      <c r="AT84" s="114">
        <f t="shared" si="34"/>
        <v>6150.4493895833339</v>
      </c>
      <c r="AU84" s="114">
        <f t="shared" si="35"/>
        <v>15981.394097127084</v>
      </c>
      <c r="AV84" s="114">
        <f t="shared" si="36"/>
        <v>15966.574240062462</v>
      </c>
    </row>
    <row r="85" spans="2:48" x14ac:dyDescent="0.2">
      <c r="B85" s="124">
        <f>'12. Input inv. &lt;= 10 jaar'!B45</f>
        <v>35</v>
      </c>
      <c r="C85" s="113"/>
      <c r="D85" s="113"/>
      <c r="E85" s="113"/>
      <c r="G85" s="113"/>
      <c r="H85" s="123" t="str">
        <f>'12. Input inv. &lt;= 10 jaar'!E45</f>
        <v>Transport</v>
      </c>
      <c r="I85" s="123" t="str">
        <f>'12. Input inv. &lt;= 10 jaar'!F45</f>
        <v>EHS</v>
      </c>
      <c r="J85" s="123" t="str">
        <f>'12. Input inv. &lt;= 10 jaar'!G45</f>
        <v>(Proces)automatisering</v>
      </c>
      <c r="K85" s="123">
        <f>'12. Input inv. &lt;= 10 jaar'!H45</f>
        <v>5</v>
      </c>
      <c r="L85" s="124">
        <f>'12. Input inv. &lt;= 10 jaar'!I45</f>
        <v>2023</v>
      </c>
      <c r="M85" s="123">
        <f>'12. Input inv. &lt;= 10 jaar'!J45</f>
        <v>11</v>
      </c>
      <c r="N85" s="123">
        <f>'12. Input inv. &lt;= 10 jaar'!K45</f>
        <v>182322.78913615001</v>
      </c>
      <c r="O85" s="113"/>
      <c r="Q85" s="33">
        <f t="shared" si="21"/>
        <v>36464.557827230004</v>
      </c>
      <c r="R85" s="122">
        <f t="shared" si="22"/>
        <v>2028</v>
      </c>
      <c r="S85" s="33">
        <f t="shared" si="23"/>
        <v>6077.4263045383341</v>
      </c>
      <c r="T85" s="33">
        <f t="shared" si="24"/>
        <v>30387.131522688906</v>
      </c>
      <c r="V85" s="121">
        <f t="shared" si="20"/>
        <v>0</v>
      </c>
      <c r="W85" s="121">
        <f t="shared" si="20"/>
        <v>0</v>
      </c>
      <c r="X85" s="121">
        <f t="shared" si="20"/>
        <v>6077.4263045383341</v>
      </c>
      <c r="Y85" s="121">
        <f t="shared" si="20"/>
        <v>36464.557827230004</v>
      </c>
      <c r="Z85" s="121">
        <f t="shared" si="20"/>
        <v>36464.557827230004</v>
      </c>
      <c r="AB85" s="33">
        <f t="shared" si="25"/>
        <v>0</v>
      </c>
      <c r="AC85" s="33">
        <f t="shared" si="26"/>
        <v>0</v>
      </c>
      <c r="AD85" s="33">
        <f t="shared" si="27"/>
        <v>6077.4263045383341</v>
      </c>
      <c r="AE85" s="33">
        <f t="shared" si="28"/>
        <v>36792.738847675071</v>
      </c>
      <c r="AF85" s="33">
        <f t="shared" si="28"/>
        <v>37123.873497304143</v>
      </c>
      <c r="AH85" s="121">
        <f t="shared" si="29"/>
        <v>0</v>
      </c>
      <c r="AI85" s="121">
        <f t="shared" si="30"/>
        <v>0</v>
      </c>
      <c r="AJ85" s="121">
        <f t="shared" si="31"/>
        <v>176245.36283161168</v>
      </c>
      <c r="AK85" s="121">
        <f t="shared" si="32"/>
        <v>141038.8322494211</v>
      </c>
      <c r="AL85" s="121">
        <f t="shared" si="32"/>
        <v>105184.30824236175</v>
      </c>
      <c r="AN85" s="121" cm="1">
        <f t="array" ref="AN85">IF($N85&gt;0,((AN$49=$L85)*((13-$M85)/12)+(AN$49&gt;$L85))*$N85*INDEX($H$31:$N$35,$L85-2020,AN$49-2019)*INDEX($H$39:$N$43,$L85-2020,AN$49-2019)*$F$19,0)</f>
        <v>0</v>
      </c>
      <c r="AO85" s="121" cm="1">
        <f t="array" ref="AO85">IF($N85&gt;0,((AO$49=$L85)*((13-$M85)/12)+(AO$49&gt;$L85))*$N85*INDEX($H$31:$N$35,$L85-2020,AO$49-2019)*INDEX($H$39:$N$43,$L85-2020,AO$49-2019)*$F$19,0)</f>
        <v>303.87131522691669</v>
      </c>
      <c r="AP85" s="121" cm="1">
        <f t="array" ref="AP85">IF($N85&gt;0,((AP$49=$L85)*((13-$M85)/12)+(AP$49&gt;$L85))*$N85*INDEX($H$31:$N$35,$L85-2020,AP$49-2019)*INDEX($H$39:$N$43,$L85-2020,AP$49-2019)*$F$19,0)</f>
        <v>1868.5351044618335</v>
      </c>
      <c r="AQ85" s="121" cm="1">
        <f t="array" ref="AQ85">IF($N85&gt;0,((AQ$49=$L85)*((13-$M85)/12)+(AQ$49&gt;$L85))*$N85*INDEX($H$31:$N$35,$L85-2020,AQ$49-2019)*INDEX($H$39:$N$43,$L85-2020,AQ$49-2019)*$F$19,0)</f>
        <v>1926.1233563813471</v>
      </c>
      <c r="AS85" s="114">
        <f t="shared" si="33"/>
        <v>0</v>
      </c>
      <c r="AT85" s="114">
        <f t="shared" si="34"/>
        <v>15369.811124177446</v>
      </c>
      <c r="AU85" s="114">
        <f t="shared" si="35"/>
        <v>45572.176732358545</v>
      </c>
      <c r="AV85" s="114">
        <f t="shared" si="36"/>
        <v>44624.765190530656</v>
      </c>
    </row>
    <row r="86" spans="2:48" x14ac:dyDescent="0.2">
      <c r="B86" s="124">
        <f>'12. Input inv. &lt;= 10 jaar'!B46</f>
        <v>36</v>
      </c>
      <c r="C86" s="113"/>
      <c r="D86" s="113"/>
      <c r="E86" s="113"/>
      <c r="G86" s="113"/>
      <c r="H86" s="123" t="str">
        <f>'12. Input inv. &lt;= 10 jaar'!E46</f>
        <v>Transport</v>
      </c>
      <c r="I86" s="123" t="str">
        <f>'12. Input inv. &lt;= 10 jaar'!F46</f>
        <v>EHS</v>
      </c>
      <c r="J86" s="123" t="str">
        <f>'12. Input inv. &lt;= 10 jaar'!G46</f>
        <v>(Proces)automatisering</v>
      </c>
      <c r="K86" s="123">
        <f>'12. Input inv. &lt;= 10 jaar'!H46</f>
        <v>5</v>
      </c>
      <c r="L86" s="124">
        <f>'12. Input inv. &lt;= 10 jaar'!I46</f>
        <v>2023</v>
      </c>
      <c r="M86" s="123">
        <f>'12. Input inv. &lt;= 10 jaar'!J46</f>
        <v>12</v>
      </c>
      <c r="N86" s="123">
        <f>'12. Input inv. &lt;= 10 jaar'!K46</f>
        <v>2287481.8766848533</v>
      </c>
      <c r="O86" s="113"/>
      <c r="Q86" s="33">
        <f t="shared" si="21"/>
        <v>457496.37533697067</v>
      </c>
      <c r="R86" s="122">
        <f t="shared" si="22"/>
        <v>2028</v>
      </c>
      <c r="S86" s="33">
        <f t="shared" si="23"/>
        <v>38124.697944747553</v>
      </c>
      <c r="T86" s="33">
        <f t="shared" si="24"/>
        <v>419371.67739225778</v>
      </c>
      <c r="V86" s="121">
        <f t="shared" si="20"/>
        <v>0</v>
      </c>
      <c r="W86" s="121">
        <f t="shared" si="20"/>
        <v>0</v>
      </c>
      <c r="X86" s="121">
        <f t="shared" si="20"/>
        <v>38124.697944747553</v>
      </c>
      <c r="Y86" s="121">
        <f t="shared" si="20"/>
        <v>457496.37533697067</v>
      </c>
      <c r="Z86" s="121">
        <f t="shared" si="20"/>
        <v>457496.37533697067</v>
      </c>
      <c r="AB86" s="33">
        <f t="shared" si="25"/>
        <v>0</v>
      </c>
      <c r="AC86" s="33">
        <f t="shared" si="26"/>
        <v>0</v>
      </c>
      <c r="AD86" s="33">
        <f t="shared" si="27"/>
        <v>38124.697944747553</v>
      </c>
      <c r="AE86" s="33">
        <f t="shared" si="28"/>
        <v>461613.84271500335</v>
      </c>
      <c r="AF86" s="33">
        <f t="shared" si="28"/>
        <v>465768.36729943834</v>
      </c>
      <c r="AH86" s="121">
        <f t="shared" si="29"/>
        <v>0</v>
      </c>
      <c r="AI86" s="121">
        <f t="shared" si="30"/>
        <v>0</v>
      </c>
      <c r="AJ86" s="121">
        <f t="shared" si="31"/>
        <v>2249357.1787401056</v>
      </c>
      <c r="AK86" s="121">
        <f t="shared" si="32"/>
        <v>1807987.5506337632</v>
      </c>
      <c r="AL86" s="121">
        <f t="shared" si="32"/>
        <v>1358491.0712900287</v>
      </c>
      <c r="AN86" s="121" cm="1">
        <f t="array" ref="AN86">IF($N86&gt;0,((AN$49=$L86)*((13-$M86)/12)+(AN$49&gt;$L86))*$N86*INDEX($H$31:$N$35,$L86-2020,AN$49-2019)*INDEX($H$39:$N$43,$L86-2020,AN$49-2019)*$F$19,0)</f>
        <v>0</v>
      </c>
      <c r="AO86" s="121" cm="1">
        <f t="array" ref="AO86">IF($N86&gt;0,((AO$49=$L86)*((13-$M86)/12)+(AO$49&gt;$L86))*$N86*INDEX($H$31:$N$35,$L86-2020,AO$49-2019)*INDEX($H$39:$N$43,$L86-2020,AO$49-2019)*$F$19,0)</f>
        <v>1906.2348972373777</v>
      </c>
      <c r="AP86" s="121" cm="1">
        <f t="array" ref="AP86">IF($N86&gt;0,((AP$49=$L86)*((13-$M86)/12)+(AP$49&gt;$L86))*$N86*INDEX($H$31:$N$35,$L86-2020,AP$49-2019)*INDEX($H$39:$N$43,$L86-2020,AP$49-2019)*$F$19,0)</f>
        <v>23443.258013204719</v>
      </c>
      <c r="AQ86" s="121" cm="1">
        <f t="array" ref="AQ86">IF($N86&gt;0,((AQ$49=$L86)*((13-$M86)/12)+(AQ$49&gt;$L86))*$N86*INDEX($H$31:$N$35,$L86-2020,AQ$49-2019)*INDEX($H$39:$N$43,$L86-2020,AQ$49-2019)*$F$19,0)</f>
        <v>24165.779225171689</v>
      </c>
      <c r="AS86" s="114">
        <f t="shared" si="33"/>
        <v>0</v>
      </c>
      <c r="AT86" s="114">
        <f t="shared" si="34"/>
        <v>154748.14895773033</v>
      </c>
      <c r="AU86" s="114">
        <f t="shared" si="35"/>
        <v>573648.49070926243</v>
      </c>
      <c r="AV86" s="114">
        <f t="shared" si="36"/>
        <v>561934.17330298154</v>
      </c>
    </row>
    <row r="87" spans="2:48" x14ac:dyDescent="0.2">
      <c r="B87" s="124">
        <f>'12. Input inv. &lt;= 10 jaar'!B47</f>
        <v>37</v>
      </c>
      <c r="C87" s="113"/>
      <c r="D87" s="113"/>
      <c r="E87" s="113"/>
      <c r="G87" s="113"/>
      <c r="H87" s="123" t="str">
        <f>'12. Input inv. &lt;= 10 jaar'!E47</f>
        <v>Transport</v>
      </c>
      <c r="I87" s="123" t="str">
        <f>'12. Input inv. &lt;= 10 jaar'!F47</f>
        <v>EHS</v>
      </c>
      <c r="J87" s="123" t="str">
        <f>'12. Input inv. &lt;= 10 jaar'!G47</f>
        <v>(Proces)automatisering</v>
      </c>
      <c r="K87" s="123">
        <f>'12. Input inv. &lt;= 10 jaar'!H47</f>
        <v>5</v>
      </c>
      <c r="L87" s="124">
        <f>'12. Input inv. &lt;= 10 jaar'!I47</f>
        <v>2023</v>
      </c>
      <c r="M87" s="123">
        <f>'12. Input inv. &lt;= 10 jaar'!J47</f>
        <v>13</v>
      </c>
      <c r="N87" s="123">
        <f>'12. Input inv. &lt;= 10 jaar'!K47</f>
        <v>2269463.7861963604</v>
      </c>
      <c r="O87" s="113"/>
      <c r="Q87" s="33">
        <f t="shared" si="21"/>
        <v>453892.75723927206</v>
      </c>
      <c r="R87" s="122">
        <f t="shared" si="22"/>
        <v>2029</v>
      </c>
      <c r="S87" s="33">
        <f t="shared" si="23"/>
        <v>0</v>
      </c>
      <c r="T87" s="33">
        <f t="shared" si="24"/>
        <v>0</v>
      </c>
      <c r="V87" s="121">
        <f t="shared" si="20"/>
        <v>0</v>
      </c>
      <c r="W87" s="121">
        <f t="shared" si="20"/>
        <v>0</v>
      </c>
      <c r="X87" s="121">
        <f t="shared" si="20"/>
        <v>0</v>
      </c>
      <c r="Y87" s="121">
        <f t="shared" si="20"/>
        <v>453892.75723927206</v>
      </c>
      <c r="Z87" s="121">
        <f t="shared" si="20"/>
        <v>453892.75723927206</v>
      </c>
      <c r="AB87" s="33">
        <f t="shared" si="25"/>
        <v>0</v>
      </c>
      <c r="AC87" s="33">
        <f t="shared" si="26"/>
        <v>0</v>
      </c>
      <c r="AD87" s="33">
        <f t="shared" si="27"/>
        <v>0</v>
      </c>
      <c r="AE87" s="33">
        <f t="shared" si="28"/>
        <v>457977.79205442546</v>
      </c>
      <c r="AF87" s="33">
        <f t="shared" si="28"/>
        <v>462099.59218291525</v>
      </c>
      <c r="AH87" s="121">
        <f t="shared" si="29"/>
        <v>0</v>
      </c>
      <c r="AI87" s="121">
        <f t="shared" si="30"/>
        <v>0</v>
      </c>
      <c r="AJ87" s="121">
        <f t="shared" si="31"/>
        <v>2269463.7861963604</v>
      </c>
      <c r="AK87" s="121">
        <f t="shared" si="32"/>
        <v>1831911.1682177018</v>
      </c>
      <c r="AL87" s="121">
        <f t="shared" si="32"/>
        <v>1386298.7765487458</v>
      </c>
      <c r="AN87" s="121" cm="1">
        <f t="array" ref="AN87">IF($N87&gt;0,((AN$49=$L87)*((13-$M87)/12)+(AN$49&gt;$L87))*$N87*INDEX($H$31:$N$35,$L87-2020,AN$49-2019)*INDEX($H$39:$N$43,$L87-2020,AN$49-2019)*$F$19,0)</f>
        <v>0</v>
      </c>
      <c r="AO87" s="121" cm="1">
        <f t="array" ref="AO87">IF($N87&gt;0,((AO$49=$L87)*((13-$M87)/12)+(AO$49&gt;$L87))*$N87*INDEX($H$31:$N$35,$L87-2020,AO$49-2019)*INDEX($H$39:$N$43,$L87-2020,AO$49-2019)*$F$19,0)</f>
        <v>0</v>
      </c>
      <c r="AP87" s="121" cm="1">
        <f t="array" ref="AP87">IF($N87&gt;0,((AP$49=$L87)*((13-$M87)/12)+(AP$49&gt;$L87))*$N87*INDEX($H$31:$N$35,$L87-2020,AP$49-2019)*INDEX($H$39:$N$43,$L87-2020,AP$49-2019)*$F$19,0)</f>
        <v>23258.599612833401</v>
      </c>
      <c r="AQ87" s="121" cm="1">
        <f t="array" ref="AQ87">IF($N87&gt;0,((AQ$49=$L87)*((13-$M87)/12)+(AQ$49&gt;$L87))*$N87*INDEX($H$31:$N$35,$L87-2020,AQ$49-2019)*INDEX($H$39:$N$43,$L87-2020,AQ$49-2019)*$F$19,0)</f>
        <v>23975.429652900926</v>
      </c>
      <c r="AS87" s="114">
        <f t="shared" si="33"/>
        <v>0</v>
      </c>
      <c r="AT87" s="114">
        <f t="shared" si="34"/>
        <v>115742.65309601437</v>
      </c>
      <c r="AU87" s="114">
        <f t="shared" si="35"/>
        <v>571000.0389099262</v>
      </c>
      <c r="AV87" s="114">
        <f t="shared" si="36"/>
        <v>559548.85699289967</v>
      </c>
    </row>
    <row r="88" spans="2:48" x14ac:dyDescent="0.2">
      <c r="B88" s="124">
        <f>'12. Input inv. &lt;= 10 jaar'!B48</f>
        <v>38</v>
      </c>
      <c r="C88" s="113"/>
      <c r="D88" s="113"/>
      <c r="E88" s="113"/>
      <c r="G88" s="113"/>
      <c r="H88" s="123" t="str">
        <f>'12. Input inv. &lt;= 10 jaar'!E48</f>
        <v>Transport</v>
      </c>
      <c r="I88" s="123" t="str">
        <f>'12. Input inv. &lt;= 10 jaar'!F48</f>
        <v>EHS</v>
      </c>
      <c r="J88" s="123" t="str">
        <f>'12. Input inv. &lt;= 10 jaar'!G48</f>
        <v>Computerapparatuur</v>
      </c>
      <c r="K88" s="123">
        <f>'12. Input inv. &lt;= 10 jaar'!H48</f>
        <v>5</v>
      </c>
      <c r="L88" s="124">
        <f>'12. Input inv. &lt;= 10 jaar'!I48</f>
        <v>2023</v>
      </c>
      <c r="M88" s="123">
        <f>'12. Input inv. &lt;= 10 jaar'!J48</f>
        <v>11</v>
      </c>
      <c r="N88" s="123">
        <f>'12. Input inv. &lt;= 10 jaar'!K48</f>
        <v>1413638.9488373101</v>
      </c>
      <c r="O88" s="113"/>
      <c r="Q88" s="33">
        <f t="shared" si="21"/>
        <v>282727.789767462</v>
      </c>
      <c r="R88" s="122">
        <f t="shared" si="22"/>
        <v>2028</v>
      </c>
      <c r="S88" s="33">
        <f t="shared" si="23"/>
        <v>47121.298294576998</v>
      </c>
      <c r="T88" s="33">
        <f t="shared" si="24"/>
        <v>235606.49147286356</v>
      </c>
      <c r="V88" s="121">
        <f t="shared" si="20"/>
        <v>0</v>
      </c>
      <c r="W88" s="121">
        <f t="shared" si="20"/>
        <v>0</v>
      </c>
      <c r="X88" s="121">
        <f t="shared" si="20"/>
        <v>47121.298294576998</v>
      </c>
      <c r="Y88" s="121">
        <f t="shared" si="20"/>
        <v>282727.789767462</v>
      </c>
      <c r="Z88" s="121">
        <f t="shared" si="20"/>
        <v>282727.789767462</v>
      </c>
      <c r="AB88" s="33">
        <f t="shared" si="25"/>
        <v>0</v>
      </c>
      <c r="AC88" s="33">
        <f t="shared" si="26"/>
        <v>0</v>
      </c>
      <c r="AD88" s="33">
        <f t="shared" si="27"/>
        <v>47121.298294576998</v>
      </c>
      <c r="AE88" s="33">
        <f t="shared" si="28"/>
        <v>285272.33987536916</v>
      </c>
      <c r="AF88" s="33">
        <f t="shared" si="28"/>
        <v>287839.79093424743</v>
      </c>
      <c r="AH88" s="121">
        <f t="shared" si="29"/>
        <v>0</v>
      </c>
      <c r="AI88" s="121">
        <f t="shared" si="30"/>
        <v>0</v>
      </c>
      <c r="AJ88" s="121">
        <f t="shared" si="31"/>
        <v>1366517.650542733</v>
      </c>
      <c r="AK88" s="121">
        <f t="shared" si="32"/>
        <v>1093543.9695222485</v>
      </c>
      <c r="AL88" s="121">
        <f t="shared" si="32"/>
        <v>815546.07431370113</v>
      </c>
      <c r="AN88" s="121" cm="1">
        <f t="array" ref="AN88">IF($N88&gt;0,((AN$49=$L88)*((13-$M88)/12)+(AN$49&gt;$L88))*$N88*INDEX($H$31:$N$35,$L88-2020,AN$49-2019)*INDEX($H$39:$N$43,$L88-2020,AN$49-2019)*$F$19,0)</f>
        <v>0</v>
      </c>
      <c r="AO88" s="121" cm="1">
        <f t="array" ref="AO88">IF($N88&gt;0,((AO$49=$L88)*((13-$M88)/12)+(AO$49&gt;$L88))*$N88*INDEX($H$31:$N$35,$L88-2020,AO$49-2019)*INDEX($H$39:$N$43,$L88-2020,AO$49-2019)*$F$19,0)</f>
        <v>2356.06491472885</v>
      </c>
      <c r="AP88" s="121" cm="1">
        <f t="array" ref="AP88">IF($N88&gt;0,((AP$49=$L88)*((13-$M88)/12)+(AP$49&gt;$L88))*$N88*INDEX($H$31:$N$35,$L88-2020,AP$49-2019)*INDEX($H$39:$N$43,$L88-2020,AP$49-2019)*$F$19,0)</f>
        <v>14487.678767159172</v>
      </c>
      <c r="AQ88" s="121" cm="1">
        <f t="array" ref="AQ88">IF($N88&gt;0,((AQ$49=$L88)*((13-$M88)/12)+(AQ$49&gt;$L88))*$N88*INDEX($H$31:$N$35,$L88-2020,AQ$49-2019)*INDEX($H$39:$N$43,$L88-2020,AQ$49-2019)*$F$19,0)</f>
        <v>14934.189026763019</v>
      </c>
      <c r="AS88" s="114">
        <f t="shared" si="33"/>
        <v>0</v>
      </c>
      <c r="AT88" s="114">
        <f t="shared" si="34"/>
        <v>119169.76338698521</v>
      </c>
      <c r="AU88" s="114">
        <f t="shared" si="35"/>
        <v>353343.67314911849</v>
      </c>
      <c r="AV88" s="114">
        <f t="shared" si="36"/>
        <v>345997.92189963663</v>
      </c>
    </row>
    <row r="89" spans="2:48" x14ac:dyDescent="0.2">
      <c r="B89" s="124">
        <f>'12. Input inv. &lt;= 10 jaar'!B49</f>
        <v>39</v>
      </c>
      <c r="C89" s="113"/>
      <c r="D89" s="113"/>
      <c r="E89" s="113"/>
      <c r="G89" s="113"/>
      <c r="H89" s="123" t="str">
        <f>'12. Input inv. &lt;= 10 jaar'!E49</f>
        <v>Transport</v>
      </c>
      <c r="I89" s="123" t="str">
        <f>'12. Input inv. &lt;= 10 jaar'!F49</f>
        <v>EHS</v>
      </c>
      <c r="J89" s="123" t="str">
        <f>'12. Input inv. &lt;= 10 jaar'!G49</f>
        <v>Computerapparatuur</v>
      </c>
      <c r="K89" s="123">
        <f>'12. Input inv. &lt;= 10 jaar'!H49</f>
        <v>5</v>
      </c>
      <c r="L89" s="124">
        <f>'12. Input inv. &lt;= 10 jaar'!I49</f>
        <v>2023</v>
      </c>
      <c r="M89" s="123">
        <f>'12. Input inv. &lt;= 10 jaar'!J49</f>
        <v>12</v>
      </c>
      <c r="N89" s="123">
        <f>'12. Input inv. &lt;= 10 jaar'!K49</f>
        <v>911244.16250352433</v>
      </c>
      <c r="O89" s="113"/>
      <c r="Q89" s="33">
        <f t="shared" si="21"/>
        <v>182248.83250070486</v>
      </c>
      <c r="R89" s="122">
        <f t="shared" si="22"/>
        <v>2028</v>
      </c>
      <c r="S89" s="33">
        <f t="shared" si="23"/>
        <v>15187.402708392072</v>
      </c>
      <c r="T89" s="33">
        <f t="shared" si="24"/>
        <v>167061.42979232658</v>
      </c>
      <c r="V89" s="121">
        <f t="shared" si="20"/>
        <v>0</v>
      </c>
      <c r="W89" s="121">
        <f t="shared" si="20"/>
        <v>0</v>
      </c>
      <c r="X89" s="121">
        <f t="shared" si="20"/>
        <v>15187.402708392072</v>
      </c>
      <c r="Y89" s="121">
        <f t="shared" si="20"/>
        <v>182248.83250070486</v>
      </c>
      <c r="Z89" s="121">
        <f t="shared" si="20"/>
        <v>182248.83250070486</v>
      </c>
      <c r="AB89" s="33">
        <f t="shared" si="25"/>
        <v>0</v>
      </c>
      <c r="AC89" s="33">
        <f t="shared" si="26"/>
        <v>0</v>
      </c>
      <c r="AD89" s="33">
        <f t="shared" si="27"/>
        <v>15187.402708392072</v>
      </c>
      <c r="AE89" s="33">
        <f t="shared" si="28"/>
        <v>183889.07199321117</v>
      </c>
      <c r="AF89" s="33">
        <f t="shared" si="28"/>
        <v>185544.07364115005</v>
      </c>
      <c r="AH89" s="121">
        <f t="shared" si="29"/>
        <v>0</v>
      </c>
      <c r="AI89" s="121">
        <f t="shared" si="30"/>
        <v>0</v>
      </c>
      <c r="AJ89" s="121">
        <f t="shared" si="31"/>
        <v>896056.75979513221</v>
      </c>
      <c r="AK89" s="121">
        <f t="shared" si="32"/>
        <v>720232.19864007714</v>
      </c>
      <c r="AL89" s="121">
        <f t="shared" si="32"/>
        <v>541170.21478668775</v>
      </c>
      <c r="AN89" s="121" cm="1">
        <f t="array" ref="AN89">IF($N89&gt;0,((AN$49=$L89)*((13-$M89)/12)+(AN$49&gt;$L89))*$N89*INDEX($H$31:$N$35,$L89-2020,AN$49-2019)*INDEX($H$39:$N$43,$L89-2020,AN$49-2019)*$F$19,0)</f>
        <v>0</v>
      </c>
      <c r="AO89" s="121" cm="1">
        <f t="array" ref="AO89">IF($N89&gt;0,((AO$49=$L89)*((13-$M89)/12)+(AO$49&gt;$L89))*$N89*INDEX($H$31:$N$35,$L89-2020,AO$49-2019)*INDEX($H$39:$N$43,$L89-2020,AO$49-2019)*$F$19,0)</f>
        <v>759.37013541960357</v>
      </c>
      <c r="AP89" s="121" cm="1">
        <f t="array" ref="AP89">IF($N89&gt;0,((AP$49=$L89)*((13-$M89)/12)+(AP$49&gt;$L89))*$N89*INDEX($H$31:$N$35,$L89-2020,AP$49-2019)*INDEX($H$39:$N$43,$L89-2020,AP$49-2019)*$F$19,0)</f>
        <v>9338.8857994173686</v>
      </c>
      <c r="AQ89" s="121" cm="1">
        <f t="array" ref="AQ89">IF($N89&gt;0,((AQ$49=$L89)*((13-$M89)/12)+(AQ$49&gt;$L89))*$N89*INDEX($H$31:$N$35,$L89-2020,AQ$49-2019)*INDEX($H$39:$N$43,$L89-2020,AQ$49-2019)*$F$19,0)</f>
        <v>9626.7102597554131</v>
      </c>
      <c r="AS89" s="114">
        <f t="shared" si="33"/>
        <v>0</v>
      </c>
      <c r="AT89" s="114">
        <f t="shared" si="34"/>
        <v>61645.667593363418</v>
      </c>
      <c r="AU89" s="114">
        <f t="shared" si="35"/>
        <v>228519.3355259923</v>
      </c>
      <c r="AV89" s="114">
        <f t="shared" si="36"/>
        <v>223852.80528459992</v>
      </c>
    </row>
    <row r="90" spans="2:48" x14ac:dyDescent="0.2">
      <c r="B90" s="124">
        <f>'12. Input inv. &lt;= 10 jaar'!B50</f>
        <v>40</v>
      </c>
      <c r="C90" s="113"/>
      <c r="D90" s="113"/>
      <c r="E90" s="113"/>
      <c r="G90" s="113"/>
      <c r="H90" s="123" t="str">
        <f>'12. Input inv. &lt;= 10 jaar'!E50</f>
        <v>Transport</v>
      </c>
      <c r="I90" s="123" t="str">
        <f>'12. Input inv. &lt;= 10 jaar'!F50</f>
        <v>EHS</v>
      </c>
      <c r="J90" s="123" t="str">
        <f>'12. Input inv. &lt;= 10 jaar'!G50</f>
        <v>Overige bedrijfsmiddelen</v>
      </c>
      <c r="K90" s="123">
        <f>'12. Input inv. &lt;= 10 jaar'!H50</f>
        <v>10</v>
      </c>
      <c r="L90" s="124">
        <f>'12. Input inv. &lt;= 10 jaar'!I50</f>
        <v>2023</v>
      </c>
      <c r="M90" s="123">
        <f>'12. Input inv. &lt;= 10 jaar'!J50</f>
        <v>12</v>
      </c>
      <c r="N90" s="123">
        <f>'12. Input inv. &lt;= 10 jaar'!K50</f>
        <v>157441.375</v>
      </c>
      <c r="O90" s="113"/>
      <c r="Q90" s="33">
        <f t="shared" si="21"/>
        <v>15744.137500000001</v>
      </c>
      <c r="R90" s="122">
        <f t="shared" si="22"/>
        <v>2033</v>
      </c>
      <c r="S90" s="33">
        <f t="shared" si="23"/>
        <v>1312.0114583333334</v>
      </c>
      <c r="T90" s="33">
        <f t="shared" si="24"/>
        <v>14432.126041667862</v>
      </c>
      <c r="V90" s="121">
        <f t="shared" si="20"/>
        <v>0</v>
      </c>
      <c r="W90" s="121">
        <f t="shared" si="20"/>
        <v>0</v>
      </c>
      <c r="X90" s="121">
        <f t="shared" si="20"/>
        <v>1312.0114583333334</v>
      </c>
      <c r="Y90" s="121">
        <f t="shared" si="20"/>
        <v>15744.137500000001</v>
      </c>
      <c r="Z90" s="121">
        <f t="shared" si="20"/>
        <v>15744.137500000001</v>
      </c>
      <c r="AB90" s="33">
        <f t="shared" si="25"/>
        <v>0</v>
      </c>
      <c r="AC90" s="33">
        <f t="shared" si="26"/>
        <v>0</v>
      </c>
      <c r="AD90" s="33">
        <f t="shared" si="27"/>
        <v>1312.0114583333334</v>
      </c>
      <c r="AE90" s="33">
        <f t="shared" si="28"/>
        <v>15885.834737499999</v>
      </c>
      <c r="AF90" s="33">
        <f t="shared" si="28"/>
        <v>16028.807250137497</v>
      </c>
      <c r="AH90" s="121">
        <f t="shared" si="29"/>
        <v>0</v>
      </c>
      <c r="AI90" s="121">
        <f t="shared" si="30"/>
        <v>0</v>
      </c>
      <c r="AJ90" s="121">
        <f t="shared" si="31"/>
        <v>156129.36354166668</v>
      </c>
      <c r="AK90" s="121">
        <f t="shared" si="32"/>
        <v>141648.69307604167</v>
      </c>
      <c r="AL90" s="121">
        <f t="shared" si="32"/>
        <v>126894.72406358854</v>
      </c>
      <c r="AN90" s="121" cm="1">
        <f t="array" ref="AN90">IF($N90&gt;0,((AN$49=$L90)*((13-$M90)/12)+(AN$49&gt;$L90))*$N90*INDEX($H$31:$N$35,$L90-2020,AN$49-2019)*INDEX($H$39:$N$43,$L90-2020,AN$49-2019)*$F$19,0)</f>
        <v>0</v>
      </c>
      <c r="AO90" s="121" cm="1">
        <f t="array" ref="AO90">IF($N90&gt;0,((AO$49=$L90)*((13-$M90)/12)+(AO$49&gt;$L90))*$N90*INDEX($H$31:$N$35,$L90-2020,AO$49-2019)*INDEX($H$39:$N$43,$L90-2020,AO$49-2019)*$F$19,0)</f>
        <v>131.20114583333333</v>
      </c>
      <c r="AP90" s="121" cm="1">
        <f t="array" ref="AP90">IF($N90&gt;0,((AP$49=$L90)*((13-$M90)/12)+(AP$49&gt;$L90))*$N90*INDEX($H$31:$N$35,$L90-2020,AP$49-2019)*INDEX($H$39:$N$43,$L90-2020,AP$49-2019)*$F$19,0)</f>
        <v>1613.5379316874998</v>
      </c>
      <c r="AQ90" s="121" cm="1">
        <f t="array" ref="AQ90">IF($N90&gt;0,((AQ$49=$L90)*((13-$M90)/12)+(AQ$49&gt;$L90))*$N90*INDEX($H$31:$N$35,$L90-2020,AQ$49-2019)*INDEX($H$39:$N$43,$L90-2020,AQ$49-2019)*$F$19,0)</f>
        <v>1663.2671707421091</v>
      </c>
      <c r="AS90" s="114">
        <f t="shared" si="33"/>
        <v>0</v>
      </c>
      <c r="AT90" s="114">
        <f t="shared" si="34"/>
        <v>9405.810144791667</v>
      </c>
      <c r="AU90" s="114">
        <f t="shared" si="35"/>
        <v>24440.158629913542</v>
      </c>
      <c r="AV90" s="114">
        <f t="shared" si="36"/>
        <v>24417.494796249801</v>
      </c>
    </row>
    <row r="91" spans="2:48" x14ac:dyDescent="0.2">
      <c r="B91" s="124">
        <f>'12. Input inv. &lt;= 10 jaar'!B51</f>
        <v>41</v>
      </c>
      <c r="C91" s="113"/>
      <c r="D91" s="113"/>
      <c r="E91" s="113"/>
      <c r="G91" s="113"/>
      <c r="H91" s="123" t="str">
        <f>'12. Input inv. &lt;= 10 jaar'!E51</f>
        <v>Transport</v>
      </c>
      <c r="I91" s="123" t="str">
        <f>'12. Input inv. &lt;= 10 jaar'!F51</f>
        <v>HS</v>
      </c>
      <c r="J91" s="123" t="str">
        <f>'12. Input inv. &lt;= 10 jaar'!G51</f>
        <v>(Proces)automatisering</v>
      </c>
      <c r="K91" s="123">
        <f>'12. Input inv. &lt;= 10 jaar'!H51</f>
        <v>5</v>
      </c>
      <c r="L91" s="124">
        <f>'12. Input inv. &lt;= 10 jaar'!I51</f>
        <v>2023</v>
      </c>
      <c r="M91" s="123">
        <f>'12. Input inv. &lt;= 10 jaar'!J51</f>
        <v>11</v>
      </c>
      <c r="N91" s="123">
        <f>'12. Input inv. &lt;= 10 jaar'!K51</f>
        <v>546969.3806899999</v>
      </c>
      <c r="O91" s="113"/>
      <c r="Q91" s="33">
        <f t="shared" si="21"/>
        <v>109393.87613799998</v>
      </c>
      <c r="R91" s="122">
        <f t="shared" si="22"/>
        <v>2028</v>
      </c>
      <c r="S91" s="33">
        <f t="shared" si="23"/>
        <v>18232.312689666662</v>
      </c>
      <c r="T91" s="33">
        <f t="shared" si="24"/>
        <v>91161.563448325018</v>
      </c>
      <c r="V91" s="121">
        <f t="shared" ref="V91:Z100" si="37">((V$49=$L91)*$S91+(V$49&gt;$L91)*(V$49&lt;$R91)*$Q91+(V$49=$R91)*$T91)</f>
        <v>0</v>
      </c>
      <c r="W91" s="121">
        <f t="shared" si="37"/>
        <v>0</v>
      </c>
      <c r="X91" s="121">
        <f t="shared" si="37"/>
        <v>18232.312689666662</v>
      </c>
      <c r="Y91" s="121">
        <f t="shared" si="37"/>
        <v>109393.87613799998</v>
      </c>
      <c r="Z91" s="121">
        <f t="shared" si="37"/>
        <v>109393.87613799998</v>
      </c>
      <c r="AB91" s="33">
        <f t="shared" si="25"/>
        <v>0</v>
      </c>
      <c r="AC91" s="33">
        <f t="shared" si="26"/>
        <v>0</v>
      </c>
      <c r="AD91" s="33">
        <f t="shared" si="27"/>
        <v>18232.312689666662</v>
      </c>
      <c r="AE91" s="33">
        <f t="shared" si="28"/>
        <v>110378.42102324197</v>
      </c>
      <c r="AF91" s="33">
        <f t="shared" si="28"/>
        <v>111371.82681245114</v>
      </c>
      <c r="AH91" s="121">
        <f t="shared" si="29"/>
        <v>0</v>
      </c>
      <c r="AI91" s="121">
        <f t="shared" si="30"/>
        <v>0</v>
      </c>
      <c r="AJ91" s="121">
        <f t="shared" si="31"/>
        <v>528737.06800033327</v>
      </c>
      <c r="AK91" s="121">
        <f t="shared" si="32"/>
        <v>423117.28058909427</v>
      </c>
      <c r="AL91" s="121">
        <f t="shared" si="32"/>
        <v>315553.50930194493</v>
      </c>
      <c r="AN91" s="121" cm="1">
        <f t="array" ref="AN91">IF($N91&gt;0,((AN$49=$L91)*((13-$M91)/12)+(AN$49&gt;$L91))*$N91*INDEX($H$31:$N$35,$L91-2020,AN$49-2019)*INDEX($H$39:$N$43,$L91-2020,AN$49-2019)*$F$19,0)</f>
        <v>0</v>
      </c>
      <c r="AO91" s="121" cm="1">
        <f t="array" ref="AO91">IF($N91&gt;0,((AO$49=$L91)*((13-$M91)/12)+(AO$49&gt;$L91))*$N91*INDEX($H$31:$N$35,$L91-2020,AO$49-2019)*INDEX($H$39:$N$43,$L91-2020,AO$49-2019)*$F$19,0)</f>
        <v>911.61563448333311</v>
      </c>
      <c r="AP91" s="121" cm="1">
        <f t="array" ref="AP91">IF($N91&gt;0,((AP$49=$L91)*((13-$M91)/12)+(AP$49&gt;$L91))*$N91*INDEX($H$31:$N$35,$L91-2020,AP$49-2019)*INDEX($H$39:$N$43,$L91-2020,AP$49-2019)*$F$19,0)</f>
        <v>5605.6156980014648</v>
      </c>
      <c r="AQ91" s="121" cm="1">
        <f t="array" ref="AQ91">IF($N91&gt;0,((AQ$49=$L91)*((13-$M91)/12)+(AQ$49&gt;$L91))*$N91*INDEX($H$31:$N$35,$L91-2020,AQ$49-2019)*INDEX($H$39:$N$43,$L91-2020,AQ$49-2019)*$F$19,0)</f>
        <v>5778.3807738138694</v>
      </c>
      <c r="AS91" s="114">
        <f t="shared" si="33"/>
        <v>0</v>
      </c>
      <c r="AT91" s="114">
        <f t="shared" si="34"/>
        <v>46109.518792166993</v>
      </c>
      <c r="AU91" s="114">
        <f t="shared" si="35"/>
        <v>136716.78347010905</v>
      </c>
      <c r="AV91" s="114">
        <f t="shared" si="36"/>
        <v>133874.54357926809</v>
      </c>
    </row>
    <row r="92" spans="2:48" x14ac:dyDescent="0.2">
      <c r="B92" s="124">
        <f>'12. Input inv. &lt;= 10 jaar'!B52</f>
        <v>42</v>
      </c>
      <c r="C92" s="113"/>
      <c r="D92" s="113"/>
      <c r="E92" s="113"/>
      <c r="G92" s="113"/>
      <c r="H92" s="123" t="str">
        <f>'12. Input inv. &lt;= 10 jaar'!E52</f>
        <v>Transport</v>
      </c>
      <c r="I92" s="123" t="str">
        <f>'12. Input inv. &lt;= 10 jaar'!F52</f>
        <v>HS</v>
      </c>
      <c r="J92" s="123" t="str">
        <f>'12. Input inv. &lt;= 10 jaar'!G52</f>
        <v>(Proces)automatisering</v>
      </c>
      <c r="K92" s="123">
        <f>'12. Input inv. &lt;= 10 jaar'!H52</f>
        <v>5</v>
      </c>
      <c r="L92" s="124">
        <f>'12. Input inv. &lt;= 10 jaar'!I52</f>
        <v>2023</v>
      </c>
      <c r="M92" s="123">
        <f>'12. Input inv. &lt;= 10 jaar'!J52</f>
        <v>12</v>
      </c>
      <c r="N92" s="123">
        <f>'12. Input inv. &lt;= 10 jaar'!K52</f>
        <v>6862458.2535313917</v>
      </c>
      <c r="O92" s="113"/>
      <c r="Q92" s="33">
        <f t="shared" si="21"/>
        <v>1372491.6507062784</v>
      </c>
      <c r="R92" s="122">
        <f t="shared" si="22"/>
        <v>2028</v>
      </c>
      <c r="S92" s="33">
        <f t="shared" si="23"/>
        <v>114374.3042255232</v>
      </c>
      <c r="T92" s="33">
        <f t="shared" si="24"/>
        <v>1258117.3464808592</v>
      </c>
      <c r="V92" s="121">
        <f t="shared" si="37"/>
        <v>0</v>
      </c>
      <c r="W92" s="121">
        <f t="shared" si="37"/>
        <v>0</v>
      </c>
      <c r="X92" s="121">
        <f t="shared" si="37"/>
        <v>114374.3042255232</v>
      </c>
      <c r="Y92" s="121">
        <f t="shared" si="37"/>
        <v>1372491.6507062784</v>
      </c>
      <c r="Z92" s="121">
        <f t="shared" si="37"/>
        <v>1372491.6507062784</v>
      </c>
      <c r="AB92" s="33">
        <f t="shared" si="25"/>
        <v>0</v>
      </c>
      <c r="AC92" s="33">
        <f t="shared" si="26"/>
        <v>0</v>
      </c>
      <c r="AD92" s="33">
        <f t="shared" si="27"/>
        <v>114374.3042255232</v>
      </c>
      <c r="AE92" s="33">
        <f t="shared" si="28"/>
        <v>1384844.0755626347</v>
      </c>
      <c r="AF92" s="33">
        <f t="shared" si="28"/>
        <v>1397307.6722426983</v>
      </c>
      <c r="AH92" s="121">
        <f t="shared" si="29"/>
        <v>0</v>
      </c>
      <c r="AI92" s="121">
        <f t="shared" si="30"/>
        <v>0</v>
      </c>
      <c r="AJ92" s="121">
        <f t="shared" si="31"/>
        <v>6748083.9493058687</v>
      </c>
      <c r="AK92" s="121">
        <f t="shared" si="32"/>
        <v>5423972.6292869868</v>
      </c>
      <c r="AL92" s="121">
        <f t="shared" si="32"/>
        <v>4075480.7107078712</v>
      </c>
      <c r="AN92" s="121" cm="1">
        <f t="array" ref="AN92">IF($N92&gt;0,((AN$49=$L92)*((13-$M92)/12)+(AN$49&gt;$L92))*$N92*INDEX($H$31:$N$35,$L92-2020,AN$49-2019)*INDEX($H$39:$N$43,$L92-2020,AN$49-2019)*$F$19,0)</f>
        <v>0</v>
      </c>
      <c r="AO92" s="121" cm="1">
        <f t="array" ref="AO92">IF($N92&gt;0,((AO$49=$L92)*((13-$M92)/12)+(AO$49&gt;$L92))*$N92*INDEX($H$31:$N$35,$L92-2020,AO$49-2019)*INDEX($H$39:$N$43,$L92-2020,AO$49-2019)*$F$19,0)</f>
        <v>5718.7152112761596</v>
      </c>
      <c r="AP92" s="121" cm="1">
        <f t="array" ref="AP92">IF($N92&gt;0,((AP$49=$L92)*((13-$M92)/12)+(AP$49&gt;$L92))*$N92*INDEX($H$31:$N$35,$L92-2020,AP$49-2019)*INDEX($H$39:$N$43,$L92-2020,AP$49-2019)*$F$19,0)</f>
        <v>70329.903411316467</v>
      </c>
      <c r="AQ92" s="121" cm="1">
        <f t="array" ref="AQ92">IF($N92&gt;0,((AQ$49=$L92)*((13-$M92)/12)+(AQ$49&gt;$L92))*$N92*INDEX($H$31:$N$35,$L92-2020,AQ$49-2019)*INDEX($H$39:$N$43,$L92-2020,AQ$49-2019)*$F$19,0)</f>
        <v>72497.471034453236</v>
      </c>
      <c r="AS92" s="114">
        <f t="shared" si="33"/>
        <v>0</v>
      </c>
      <c r="AT92" s="114">
        <f t="shared" si="34"/>
        <v>464245.30085139861</v>
      </c>
      <c r="AU92" s="114">
        <f t="shared" si="35"/>
        <v>1720948.6378090135</v>
      </c>
      <c r="AV92" s="114">
        <f t="shared" si="36"/>
        <v>1685805.6209446688</v>
      </c>
    </row>
    <row r="93" spans="2:48" x14ac:dyDescent="0.2">
      <c r="B93" s="124">
        <f>'12. Input inv. &lt;= 10 jaar'!B53</f>
        <v>43</v>
      </c>
      <c r="C93" s="113"/>
      <c r="D93" s="113"/>
      <c r="E93" s="113"/>
      <c r="G93" s="113"/>
      <c r="H93" s="123" t="str">
        <f>'12. Input inv. &lt;= 10 jaar'!E53</f>
        <v>Transport</v>
      </c>
      <c r="I93" s="123" t="str">
        <f>'12. Input inv. &lt;= 10 jaar'!F53</f>
        <v>HS</v>
      </c>
      <c r="J93" s="123" t="str">
        <f>'12. Input inv. &lt;= 10 jaar'!G53</f>
        <v>(Proces)automatisering</v>
      </c>
      <c r="K93" s="123">
        <f>'12. Input inv. &lt;= 10 jaar'!H53</f>
        <v>5</v>
      </c>
      <c r="L93" s="124">
        <f>'12. Input inv. &lt;= 10 jaar'!I53</f>
        <v>2023</v>
      </c>
      <c r="M93" s="123">
        <f>'12. Input inv. &lt;= 10 jaar'!J53</f>
        <v>13</v>
      </c>
      <c r="N93" s="123">
        <f>'12. Input inv. &lt;= 10 jaar'!K53</f>
        <v>6808403.9714160003</v>
      </c>
      <c r="O93" s="113"/>
      <c r="Q93" s="33">
        <f t="shared" si="21"/>
        <v>1361680.7942832001</v>
      </c>
      <c r="R93" s="122">
        <f t="shared" si="22"/>
        <v>2029</v>
      </c>
      <c r="S93" s="33">
        <f t="shared" si="23"/>
        <v>0</v>
      </c>
      <c r="T93" s="33">
        <f t="shared" si="24"/>
        <v>0</v>
      </c>
      <c r="V93" s="121">
        <f t="shared" si="37"/>
        <v>0</v>
      </c>
      <c r="W93" s="121">
        <f t="shared" si="37"/>
        <v>0</v>
      </c>
      <c r="X93" s="121">
        <f t="shared" si="37"/>
        <v>0</v>
      </c>
      <c r="Y93" s="121">
        <f t="shared" si="37"/>
        <v>1361680.7942832001</v>
      </c>
      <c r="Z93" s="121">
        <f t="shared" si="37"/>
        <v>1361680.7942832001</v>
      </c>
      <c r="AB93" s="33">
        <f t="shared" si="25"/>
        <v>0</v>
      </c>
      <c r="AC93" s="33">
        <f t="shared" si="26"/>
        <v>0</v>
      </c>
      <c r="AD93" s="33">
        <f t="shared" si="27"/>
        <v>0</v>
      </c>
      <c r="AE93" s="33">
        <f t="shared" si="28"/>
        <v>1373935.9214317487</v>
      </c>
      <c r="AF93" s="33">
        <f t="shared" si="28"/>
        <v>1386301.3447246342</v>
      </c>
      <c r="AH93" s="121">
        <f t="shared" si="29"/>
        <v>0</v>
      </c>
      <c r="AI93" s="121">
        <f t="shared" si="30"/>
        <v>0</v>
      </c>
      <c r="AJ93" s="121">
        <f t="shared" si="31"/>
        <v>6808403.9714160003</v>
      </c>
      <c r="AK93" s="121">
        <f t="shared" si="32"/>
        <v>5495743.6857269946</v>
      </c>
      <c r="AL93" s="121">
        <f t="shared" si="32"/>
        <v>4158904.0341739026</v>
      </c>
      <c r="AN93" s="121" cm="1">
        <f t="array" ref="AN93">IF($N93&gt;0,((AN$49=$L93)*((13-$M93)/12)+(AN$49&gt;$L93))*$N93*INDEX($H$31:$N$35,$L93-2020,AN$49-2019)*INDEX($H$39:$N$43,$L93-2020,AN$49-2019)*$F$19,0)</f>
        <v>0</v>
      </c>
      <c r="AO93" s="121" cm="1">
        <f t="array" ref="AO93">IF($N93&gt;0,((AO$49=$L93)*((13-$M93)/12)+(AO$49&gt;$L93))*$N93*INDEX($H$31:$N$35,$L93-2020,AO$49-2019)*INDEX($H$39:$N$43,$L93-2020,AO$49-2019)*$F$19,0)</f>
        <v>0</v>
      </c>
      <c r="AP93" s="121" cm="1">
        <f t="array" ref="AP93">IF($N93&gt;0,((AP$49=$L93)*((13-$M93)/12)+(AP$49&gt;$L93))*$N93*INDEX($H$31:$N$35,$L93-2020,AP$49-2019)*INDEX($H$39:$N$43,$L93-2020,AP$49-2019)*$F$19,0)</f>
        <v>69775.928101056881</v>
      </c>
      <c r="AQ93" s="121" cm="1">
        <f t="array" ref="AQ93">IF($N93&gt;0,((AQ$49=$L93)*((13-$M93)/12)+(AQ$49&gt;$L93))*$N93*INDEX($H$31:$N$35,$L93-2020,AQ$49-2019)*INDEX($H$39:$N$43,$L93-2020,AQ$49-2019)*$F$19,0)</f>
        <v>71926.422205131457</v>
      </c>
      <c r="AS93" s="114">
        <f t="shared" si="33"/>
        <v>0</v>
      </c>
      <c r="AT93" s="114">
        <f t="shared" si="34"/>
        <v>347228.60254221602</v>
      </c>
      <c r="AU93" s="114">
        <f t="shared" si="35"/>
        <v>1713003.2901334283</v>
      </c>
      <c r="AV93" s="114">
        <f t="shared" si="36"/>
        <v>1678649.6807409825</v>
      </c>
    </row>
    <row r="94" spans="2:48" x14ac:dyDescent="0.2">
      <c r="B94" s="124">
        <f>'12. Input inv. &lt;= 10 jaar'!B54</f>
        <v>44</v>
      </c>
      <c r="C94" s="113"/>
      <c r="D94" s="113"/>
      <c r="E94" s="113"/>
      <c r="G94" s="113"/>
      <c r="H94" s="123" t="str">
        <f>'12. Input inv. &lt;= 10 jaar'!E54</f>
        <v>Transport</v>
      </c>
      <c r="I94" s="123" t="str">
        <f>'12. Input inv. &lt;= 10 jaar'!F54</f>
        <v>HS</v>
      </c>
      <c r="J94" s="123" t="str">
        <f>'12. Input inv. &lt;= 10 jaar'!G54</f>
        <v>Computerapparatuur</v>
      </c>
      <c r="K94" s="123">
        <f>'12. Input inv. &lt;= 10 jaar'!H54</f>
        <v>5</v>
      </c>
      <c r="L94" s="124">
        <f>'12. Input inv. &lt;= 10 jaar'!I54</f>
        <v>2023</v>
      </c>
      <c r="M94" s="123">
        <f>'12. Input inv. &lt;= 10 jaar'!J54</f>
        <v>11</v>
      </c>
      <c r="N94" s="123">
        <f>'12. Input inv. &lt;= 10 jaar'!K54</f>
        <v>4240924.7029860001</v>
      </c>
      <c r="O94" s="113"/>
      <c r="Q94" s="33">
        <f t="shared" si="21"/>
        <v>848184.94059720007</v>
      </c>
      <c r="R94" s="122">
        <f t="shared" si="22"/>
        <v>2028</v>
      </c>
      <c r="S94" s="33">
        <f t="shared" si="23"/>
        <v>141364.1567662</v>
      </c>
      <c r="T94" s="33">
        <f t="shared" si="24"/>
        <v>706820.78383093572</v>
      </c>
      <c r="V94" s="121">
        <f t="shared" si="37"/>
        <v>0</v>
      </c>
      <c r="W94" s="121">
        <f t="shared" si="37"/>
        <v>0</v>
      </c>
      <c r="X94" s="121">
        <f t="shared" si="37"/>
        <v>141364.1567662</v>
      </c>
      <c r="Y94" s="121">
        <f t="shared" si="37"/>
        <v>848184.94059720007</v>
      </c>
      <c r="Z94" s="121">
        <f t="shared" si="37"/>
        <v>848184.94059720007</v>
      </c>
      <c r="AB94" s="33">
        <f t="shared" si="25"/>
        <v>0</v>
      </c>
      <c r="AC94" s="33">
        <f t="shared" si="26"/>
        <v>0</v>
      </c>
      <c r="AD94" s="33">
        <f t="shared" si="27"/>
        <v>141364.1567662</v>
      </c>
      <c r="AE94" s="33">
        <f t="shared" si="28"/>
        <v>855818.60506257473</v>
      </c>
      <c r="AF94" s="33">
        <f t="shared" si="28"/>
        <v>863520.97250813781</v>
      </c>
      <c r="AH94" s="121">
        <f t="shared" si="29"/>
        <v>0</v>
      </c>
      <c r="AI94" s="121">
        <f t="shared" si="30"/>
        <v>0</v>
      </c>
      <c r="AJ94" s="121">
        <f t="shared" si="31"/>
        <v>4099560.5462198001</v>
      </c>
      <c r="AK94" s="121">
        <f t="shared" si="32"/>
        <v>3280637.9860732034</v>
      </c>
      <c r="AL94" s="121">
        <f t="shared" si="32"/>
        <v>2446642.7554397238</v>
      </c>
      <c r="AN94" s="121" cm="1">
        <f t="array" ref="AN94">IF($N94&gt;0,((AN$49=$L94)*((13-$M94)/12)+(AN$49&gt;$L94))*$N94*INDEX($H$31:$N$35,$L94-2020,AN$49-2019)*INDEX($H$39:$N$43,$L94-2020,AN$49-2019)*$F$19,0)</f>
        <v>0</v>
      </c>
      <c r="AO94" s="121" cm="1">
        <f t="array" ref="AO94">IF($N94&gt;0,((AO$49=$L94)*((13-$M94)/12)+(AO$49&gt;$L94))*$N94*INDEX($H$31:$N$35,$L94-2020,AO$49-2019)*INDEX($H$39:$N$43,$L94-2020,AO$49-2019)*$F$19,0)</f>
        <v>7068.2078383099997</v>
      </c>
      <c r="AP94" s="121" cm="1">
        <f t="array" ref="AP94">IF($N94&gt;0,((AP$49=$L94)*((13-$M94)/12)+(AP$49&gt;$L94))*$N94*INDEX($H$31:$N$35,$L94-2020,AP$49-2019)*INDEX($H$39:$N$43,$L94-2020,AP$49-2019)*$F$19,0)</f>
        <v>43463.116818552029</v>
      </c>
      <c r="AQ94" s="121" cm="1">
        <f t="array" ref="AQ94">IF($N94&gt;0,((AQ$49=$L94)*((13-$M94)/12)+(AQ$49&gt;$L94))*$N94*INDEX($H$31:$N$35,$L94-2020,AQ$49-2019)*INDEX($H$39:$N$43,$L94-2020,AQ$49-2019)*$F$19,0)</f>
        <v>44802.650078899795</v>
      </c>
      <c r="AS94" s="114">
        <f t="shared" si="33"/>
        <v>0</v>
      </c>
      <c r="AT94" s="114">
        <f t="shared" si="34"/>
        <v>357509.9524617198</v>
      </c>
      <c r="AU94" s="114">
        <f t="shared" si="35"/>
        <v>1060032.9831987137</v>
      </c>
      <c r="AV94" s="114">
        <f t="shared" si="36"/>
        <v>1037995.688625343</v>
      </c>
    </row>
    <row r="95" spans="2:48" x14ac:dyDescent="0.2">
      <c r="B95" s="124">
        <f>'12. Input inv. &lt;= 10 jaar'!B55</f>
        <v>45</v>
      </c>
      <c r="C95" s="113"/>
      <c r="D95" s="113"/>
      <c r="E95" s="113"/>
      <c r="G95" s="113"/>
      <c r="H95" s="123" t="str">
        <f>'12. Input inv. &lt;= 10 jaar'!E55</f>
        <v>Transport</v>
      </c>
      <c r="I95" s="123" t="str">
        <f>'12. Input inv. &lt;= 10 jaar'!F55</f>
        <v>HS</v>
      </c>
      <c r="J95" s="123" t="str">
        <f>'12. Input inv. &lt;= 10 jaar'!G55</f>
        <v>Computerapparatuur</v>
      </c>
      <c r="K95" s="123">
        <f>'12. Input inv. &lt;= 10 jaar'!H55</f>
        <v>5</v>
      </c>
      <c r="L95" s="124">
        <f>'12. Input inv. &lt;= 10 jaar'!I55</f>
        <v>2023</v>
      </c>
      <c r="M95" s="123">
        <f>'12. Input inv. &lt;= 10 jaar'!J55</f>
        <v>12</v>
      </c>
      <c r="N95" s="123">
        <f>'12. Input inv. &lt;= 10 jaar'!K55</f>
        <v>2733737.551863207</v>
      </c>
      <c r="O95" s="113"/>
      <c r="Q95" s="33">
        <f t="shared" si="21"/>
        <v>546747.51037264138</v>
      </c>
      <c r="R95" s="122">
        <f t="shared" si="22"/>
        <v>2028</v>
      </c>
      <c r="S95" s="33">
        <f t="shared" si="23"/>
        <v>45562.292531053448</v>
      </c>
      <c r="T95" s="33">
        <f t="shared" si="24"/>
        <v>501185.21784162935</v>
      </c>
      <c r="V95" s="121">
        <f t="shared" si="37"/>
        <v>0</v>
      </c>
      <c r="W95" s="121">
        <f t="shared" si="37"/>
        <v>0</v>
      </c>
      <c r="X95" s="121">
        <f t="shared" si="37"/>
        <v>45562.292531053448</v>
      </c>
      <c r="Y95" s="121">
        <f t="shared" si="37"/>
        <v>546747.51037264138</v>
      </c>
      <c r="Z95" s="121">
        <f t="shared" si="37"/>
        <v>546747.51037264138</v>
      </c>
      <c r="AB95" s="33">
        <f t="shared" si="25"/>
        <v>0</v>
      </c>
      <c r="AC95" s="33">
        <f t="shared" si="26"/>
        <v>0</v>
      </c>
      <c r="AD95" s="33">
        <f t="shared" si="27"/>
        <v>45562.292531053448</v>
      </c>
      <c r="AE95" s="33">
        <f t="shared" si="28"/>
        <v>551668.2379659951</v>
      </c>
      <c r="AF95" s="33">
        <f t="shared" si="28"/>
        <v>556633.25210768904</v>
      </c>
      <c r="AH95" s="121">
        <f t="shared" si="29"/>
        <v>0</v>
      </c>
      <c r="AI95" s="121">
        <f t="shared" si="30"/>
        <v>0</v>
      </c>
      <c r="AJ95" s="121">
        <f t="shared" si="31"/>
        <v>2688175.2593321535</v>
      </c>
      <c r="AK95" s="121">
        <f t="shared" si="32"/>
        <v>2160700.5987001476</v>
      </c>
      <c r="AL95" s="121">
        <f t="shared" si="32"/>
        <v>1623513.6519807596</v>
      </c>
      <c r="AN95" s="121" cm="1">
        <f t="array" ref="AN95">IF($N95&gt;0,((AN$49=$L95)*((13-$M95)/12)+(AN$49&gt;$L95))*$N95*INDEX($H$31:$N$35,$L95-2020,AN$49-2019)*INDEX($H$39:$N$43,$L95-2020,AN$49-2019)*$F$19,0)</f>
        <v>0</v>
      </c>
      <c r="AO95" s="121" cm="1">
        <f t="array" ref="AO95">IF($N95&gt;0,((AO$49=$L95)*((13-$M95)/12)+(AO$49&gt;$L95))*$N95*INDEX($H$31:$N$35,$L95-2020,AO$49-2019)*INDEX($H$39:$N$43,$L95-2020,AO$49-2019)*$F$19,0)</f>
        <v>2278.1146265526727</v>
      </c>
      <c r="AP95" s="121" cm="1">
        <f t="array" ref="AP95">IF($N95&gt;0,((AP$49=$L95)*((13-$M95)/12)+(AP$49&gt;$L95))*$N95*INDEX($H$31:$N$35,$L95-2020,AP$49-2019)*INDEX($H$39:$N$43,$L95-2020,AP$49-2019)*$F$19,0)</f>
        <v>28016.709300270082</v>
      </c>
      <c r="AQ95" s="121" cm="1">
        <f t="array" ref="AQ95">IF($N95&gt;0,((AQ$49=$L95)*((13-$M95)/12)+(AQ$49&gt;$L95))*$N95*INDEX($H$31:$N$35,$L95-2020,AQ$49-2019)*INDEX($H$39:$N$43,$L95-2020,AQ$49-2019)*$F$19,0)</f>
        <v>28880.184280904403</v>
      </c>
      <c r="AS95" s="114">
        <f t="shared" si="33"/>
        <v>0</v>
      </c>
      <c r="AT95" s="114">
        <f t="shared" si="34"/>
        <v>184937.34538354594</v>
      </c>
      <c r="AU95" s="114">
        <f t="shared" si="35"/>
        <v>685559.27660257241</v>
      </c>
      <c r="AV95" s="114">
        <f t="shared" si="36"/>
        <v>671559.65994357364</v>
      </c>
    </row>
    <row r="96" spans="2:48" x14ac:dyDescent="0.2">
      <c r="B96" s="124">
        <f>'12. Input inv. &lt;= 10 jaar'!B56</f>
        <v>46</v>
      </c>
      <c r="C96" s="113"/>
      <c r="D96" s="113"/>
      <c r="E96" s="113"/>
      <c r="G96" s="113"/>
      <c r="H96" s="123" t="str">
        <f>'12. Input inv. &lt;= 10 jaar'!E56</f>
        <v>Transport</v>
      </c>
      <c r="I96" s="123" t="str">
        <f>'12. Input inv. &lt;= 10 jaar'!F56</f>
        <v>HS</v>
      </c>
      <c r="J96" s="123" t="str">
        <f>'12. Input inv. &lt;= 10 jaar'!G56</f>
        <v>Overige bedrijfsmiddelen</v>
      </c>
      <c r="K96" s="123">
        <f>'12. Input inv. &lt;= 10 jaar'!H56</f>
        <v>10</v>
      </c>
      <c r="L96" s="124">
        <f>'12. Input inv. &lt;= 10 jaar'!I56</f>
        <v>2023</v>
      </c>
      <c r="M96" s="123">
        <f>'12. Input inv. &lt;= 10 jaar'!J56</f>
        <v>12</v>
      </c>
      <c r="N96" s="123">
        <f>'12. Input inv. &lt;= 10 jaar'!K56</f>
        <v>472325</v>
      </c>
      <c r="O96" s="113"/>
      <c r="Q96" s="33">
        <f t="shared" si="21"/>
        <v>47232.5</v>
      </c>
      <c r="R96" s="122">
        <f t="shared" si="22"/>
        <v>2033</v>
      </c>
      <c r="S96" s="33">
        <f t="shared" si="23"/>
        <v>3936.0416666666665</v>
      </c>
      <c r="T96" s="33">
        <f t="shared" si="24"/>
        <v>43296.458333336916</v>
      </c>
      <c r="V96" s="121">
        <f t="shared" si="37"/>
        <v>0</v>
      </c>
      <c r="W96" s="121">
        <f t="shared" si="37"/>
        <v>0</v>
      </c>
      <c r="X96" s="121">
        <f t="shared" si="37"/>
        <v>3936.0416666666665</v>
      </c>
      <c r="Y96" s="121">
        <f t="shared" si="37"/>
        <v>47232.5</v>
      </c>
      <c r="Z96" s="121">
        <f t="shared" si="37"/>
        <v>47232.5</v>
      </c>
      <c r="AB96" s="33">
        <f t="shared" si="25"/>
        <v>0</v>
      </c>
      <c r="AC96" s="33">
        <f t="shared" si="26"/>
        <v>0</v>
      </c>
      <c r="AD96" s="33">
        <f t="shared" si="27"/>
        <v>3936.0416666666665</v>
      </c>
      <c r="AE96" s="33">
        <f t="shared" si="28"/>
        <v>47657.592499999992</v>
      </c>
      <c r="AF96" s="33">
        <f t="shared" si="28"/>
        <v>48086.510832499989</v>
      </c>
      <c r="AH96" s="121">
        <f t="shared" si="29"/>
        <v>0</v>
      </c>
      <c r="AI96" s="121">
        <f t="shared" si="30"/>
        <v>0</v>
      </c>
      <c r="AJ96" s="121">
        <f t="shared" si="31"/>
        <v>468388.95833333331</v>
      </c>
      <c r="AK96" s="121">
        <f t="shared" si="32"/>
        <v>424946.86645833327</v>
      </c>
      <c r="AL96" s="121">
        <f t="shared" si="32"/>
        <v>380684.87742395821</v>
      </c>
      <c r="AN96" s="121" cm="1">
        <f t="array" ref="AN96">IF($N96&gt;0,((AN$49=$L96)*((13-$M96)/12)+(AN$49&gt;$L96))*$N96*INDEX($H$31:$N$35,$L96-2020,AN$49-2019)*INDEX($H$39:$N$43,$L96-2020,AN$49-2019)*$F$19,0)</f>
        <v>0</v>
      </c>
      <c r="AO96" s="121" cm="1">
        <f t="array" ref="AO96">IF($N96&gt;0,((AO$49=$L96)*((13-$M96)/12)+(AO$49&gt;$L96))*$N96*INDEX($H$31:$N$35,$L96-2020,AO$49-2019)*INDEX($H$39:$N$43,$L96-2020,AO$49-2019)*$F$19,0)</f>
        <v>393.60416666666663</v>
      </c>
      <c r="AP96" s="121" cm="1">
        <f t="array" ref="AP96">IF($N96&gt;0,((AP$49=$L96)*((13-$M96)/12)+(AP$49&gt;$L96))*$N96*INDEX($H$31:$N$35,$L96-2020,AP$49-2019)*INDEX($H$39:$N$43,$L96-2020,AP$49-2019)*$F$19,0)</f>
        <v>4840.6227625000001</v>
      </c>
      <c r="AQ96" s="121" cm="1">
        <f t="array" ref="AQ96">IF($N96&gt;0,((AQ$49=$L96)*((13-$M96)/12)+(AQ$49&gt;$L96))*$N96*INDEX($H$31:$N$35,$L96-2020,AQ$49-2019)*INDEX($H$39:$N$43,$L96-2020,AQ$49-2019)*$F$19,0)</f>
        <v>4989.8107560402495</v>
      </c>
      <c r="AS96" s="114">
        <f t="shared" si="33"/>
        <v>0</v>
      </c>
      <c r="AT96" s="114">
        <f t="shared" si="34"/>
        <v>28217.482708333333</v>
      </c>
      <c r="AU96" s="114">
        <f t="shared" si="35"/>
        <v>73320.611718958316</v>
      </c>
      <c r="AV96" s="114">
        <f t="shared" si="36"/>
        <v>73252.620092010009</v>
      </c>
    </row>
    <row r="97" spans="2:48" x14ac:dyDescent="0.2">
      <c r="B97" s="124">
        <f>'12. Input inv. &lt;= 10 jaar'!B57</f>
        <v>47</v>
      </c>
      <c r="C97" s="113"/>
      <c r="D97" s="113"/>
      <c r="E97" s="113"/>
      <c r="G97" s="113"/>
      <c r="H97" s="123" t="str">
        <f>'12. Input inv. &lt;= 10 jaar'!E57</f>
        <v>Systeem</v>
      </c>
      <c r="I97" s="123" t="str">
        <f>'12. Input inv. &lt;= 10 jaar'!F57</f>
        <v>EHS</v>
      </c>
      <c r="J97" s="123" t="str">
        <f>'12. Input inv. &lt;= 10 jaar'!G57</f>
        <v>Computerapparatuur</v>
      </c>
      <c r="K97" s="123">
        <f>'12. Input inv. &lt;= 10 jaar'!H57</f>
        <v>5</v>
      </c>
      <c r="L97" s="124">
        <f>'12. Input inv. &lt;= 10 jaar'!I57</f>
        <v>2024</v>
      </c>
      <c r="M97" s="123">
        <f>'12. Input inv. &lt;= 10 jaar'!J57</f>
        <v>12</v>
      </c>
      <c r="N97" s="123">
        <f>'12. Input inv. &lt;= 10 jaar'!K57</f>
        <v>508434.94478261302</v>
      </c>
      <c r="O97" s="113"/>
      <c r="Q97" s="33">
        <f t="shared" si="21"/>
        <v>101686.9889565226</v>
      </c>
      <c r="R97" s="122">
        <f t="shared" si="22"/>
        <v>2029</v>
      </c>
      <c r="S97" s="33">
        <f t="shared" si="23"/>
        <v>8473.9157463768843</v>
      </c>
      <c r="T97" s="33">
        <f t="shared" si="24"/>
        <v>93213.073210153423</v>
      </c>
      <c r="V97" s="121">
        <f t="shared" si="37"/>
        <v>0</v>
      </c>
      <c r="W97" s="121">
        <f t="shared" si="37"/>
        <v>0</v>
      </c>
      <c r="X97" s="121">
        <f t="shared" si="37"/>
        <v>0</v>
      </c>
      <c r="Y97" s="121">
        <f t="shared" si="37"/>
        <v>8473.9157463768843</v>
      </c>
      <c r="Z97" s="121">
        <f t="shared" si="37"/>
        <v>101686.9889565226</v>
      </c>
      <c r="AB97" s="33">
        <f t="shared" si="25"/>
        <v>0</v>
      </c>
      <c r="AC97" s="33">
        <f t="shared" si="26"/>
        <v>0</v>
      </c>
      <c r="AD97" s="33">
        <f t="shared" si="27"/>
        <v>0</v>
      </c>
      <c r="AE97" s="33">
        <f t="shared" si="28"/>
        <v>8473.9157463768843</v>
      </c>
      <c r="AF97" s="33">
        <f t="shared" si="28"/>
        <v>102602.1718571313</v>
      </c>
      <c r="AH97" s="121">
        <f t="shared" si="29"/>
        <v>0</v>
      </c>
      <c r="AI97" s="121">
        <f t="shared" si="30"/>
        <v>0</v>
      </c>
      <c r="AJ97" s="121">
        <f t="shared" si="31"/>
        <v>0</v>
      </c>
      <c r="AK97" s="121">
        <f t="shared" si="32"/>
        <v>499961.02903623611</v>
      </c>
      <c r="AL97" s="121">
        <f t="shared" si="32"/>
        <v>401858.50644043088</v>
      </c>
      <c r="AN97" s="121" cm="1">
        <f t="array" ref="AN97">IF($N97&gt;0,((AN$49=$L97)*((13-$M97)/12)+(AN$49&gt;$L97))*$N97*INDEX($H$31:$N$35,$L97-2020,AN$49-2019)*INDEX($H$39:$N$43,$L97-2020,AN$49-2019)*$F$19,0)</f>
        <v>0</v>
      </c>
      <c r="AO97" s="121" cm="1">
        <f t="array" ref="AO97">IF($N97&gt;0,((AO$49=$L97)*((13-$M97)/12)+(AO$49&gt;$L97))*$N97*INDEX($H$31:$N$35,$L97-2020,AO$49-2019)*INDEX($H$39:$N$43,$L97-2020,AO$49-2019)*$F$19,0)</f>
        <v>0</v>
      </c>
      <c r="AP97" s="121" cm="1">
        <f t="array" ref="AP97">IF($N97&gt;0,((AP$49=$L97)*((13-$M97)/12)+(AP$49&gt;$L97))*$N97*INDEX($H$31:$N$35,$L97-2020,AP$49-2019)*INDEX($H$39:$N$43,$L97-2020,AP$49-2019)*$F$19,0)</f>
        <v>423.69578731884417</v>
      </c>
      <c r="AQ97" s="121" cm="1">
        <f t="array" ref="AQ97">IF($N97&gt;0,((AQ$49=$L97)*((13-$M97)/12)+(AQ$49&gt;$L97))*$N97*INDEX($H$31:$N$35,$L97-2020,AQ$49-2019)*INDEX($H$39:$N$43,$L97-2020,AQ$49-2019)*$F$19,0)</f>
        <v>5241.0490978081325</v>
      </c>
      <c r="AS97" s="114">
        <f t="shared" si="33"/>
        <v>0</v>
      </c>
      <c r="AT97" s="114">
        <f t="shared" si="34"/>
        <v>0</v>
      </c>
      <c r="AU97" s="114">
        <f t="shared" si="35"/>
        <v>33395.701956471297</v>
      </c>
      <c r="AV97" s="114">
        <f t="shared" si="36"/>
        <v>129141.72179628228</v>
      </c>
    </row>
    <row r="98" spans="2:48" x14ac:dyDescent="0.2">
      <c r="B98" s="124">
        <f>'12. Input inv. &lt;= 10 jaar'!B58</f>
        <v>48</v>
      </c>
      <c r="C98" s="113"/>
      <c r="D98" s="113"/>
      <c r="E98" s="113"/>
      <c r="G98" s="113"/>
      <c r="H98" s="123" t="str">
        <f>'12. Input inv. &lt;= 10 jaar'!E58</f>
        <v>Transport</v>
      </c>
      <c r="I98" s="123" t="str">
        <f>'12. Input inv. &lt;= 10 jaar'!F58</f>
        <v>EHS</v>
      </c>
      <c r="J98" s="123" t="str">
        <f>'12. Input inv. &lt;= 10 jaar'!G58</f>
        <v>Computerapparatuur</v>
      </c>
      <c r="K98" s="123">
        <f>'12. Input inv. &lt;= 10 jaar'!H58</f>
        <v>5</v>
      </c>
      <c r="L98" s="124">
        <f>'12. Input inv. &lt;= 10 jaar'!I58</f>
        <v>2024</v>
      </c>
      <c r="M98" s="123">
        <f>'12. Input inv. &lt;= 10 jaar'!J58</f>
        <v>12</v>
      </c>
      <c r="N98" s="123">
        <f>'12. Input inv. &lt;= 10 jaar'!K58</f>
        <v>777543.6002615199</v>
      </c>
      <c r="O98" s="113"/>
      <c r="Q98" s="33">
        <f t="shared" si="21"/>
        <v>155508.72005230398</v>
      </c>
      <c r="R98" s="122">
        <f t="shared" si="22"/>
        <v>2029</v>
      </c>
      <c r="S98" s="33">
        <f t="shared" si="23"/>
        <v>12959.060004358666</v>
      </c>
      <c r="T98" s="33">
        <f t="shared" si="24"/>
        <v>142549.66004795709</v>
      </c>
      <c r="V98" s="121">
        <f t="shared" si="37"/>
        <v>0</v>
      </c>
      <c r="W98" s="121">
        <f t="shared" si="37"/>
        <v>0</v>
      </c>
      <c r="X98" s="121">
        <f t="shared" si="37"/>
        <v>0</v>
      </c>
      <c r="Y98" s="121">
        <f t="shared" si="37"/>
        <v>12959.060004358666</v>
      </c>
      <c r="Z98" s="121">
        <f t="shared" si="37"/>
        <v>155508.72005230398</v>
      </c>
      <c r="AB98" s="33">
        <f t="shared" si="25"/>
        <v>0</v>
      </c>
      <c r="AC98" s="33">
        <f t="shared" si="26"/>
        <v>0</v>
      </c>
      <c r="AD98" s="33">
        <f t="shared" si="27"/>
        <v>0</v>
      </c>
      <c r="AE98" s="33">
        <f t="shared" si="28"/>
        <v>12959.060004358666</v>
      </c>
      <c r="AF98" s="33">
        <f t="shared" si="28"/>
        <v>156908.2985327747</v>
      </c>
      <c r="AH98" s="121">
        <f t="shared" si="29"/>
        <v>0</v>
      </c>
      <c r="AI98" s="121">
        <f t="shared" si="30"/>
        <v>0</v>
      </c>
      <c r="AJ98" s="121">
        <f t="shared" si="31"/>
        <v>0</v>
      </c>
      <c r="AK98" s="121">
        <f t="shared" si="32"/>
        <v>764584.54025716125</v>
      </c>
      <c r="AL98" s="121">
        <f t="shared" si="32"/>
        <v>614557.50258670095</v>
      </c>
      <c r="AN98" s="121" cm="1">
        <f t="array" ref="AN98">IF($N98&gt;0,((AN$49=$L98)*((13-$M98)/12)+(AN$49&gt;$L98))*$N98*INDEX($H$31:$N$35,$L98-2020,AN$49-2019)*INDEX($H$39:$N$43,$L98-2020,AN$49-2019)*$F$19,0)</f>
        <v>0</v>
      </c>
      <c r="AO98" s="121" cm="1">
        <f t="array" ref="AO98">IF($N98&gt;0,((AO$49=$L98)*((13-$M98)/12)+(AO$49&gt;$L98))*$N98*INDEX($H$31:$N$35,$L98-2020,AO$49-2019)*INDEX($H$39:$N$43,$L98-2020,AO$49-2019)*$F$19,0)</f>
        <v>0</v>
      </c>
      <c r="AP98" s="121" cm="1">
        <f t="array" ref="AP98">IF($N98&gt;0,((AP$49=$L98)*((13-$M98)/12)+(AP$49&gt;$L98))*$N98*INDEX($H$31:$N$35,$L98-2020,AP$49-2019)*INDEX($H$39:$N$43,$L98-2020,AP$49-2019)*$F$19,0)</f>
        <v>647.95300021793321</v>
      </c>
      <c r="AQ98" s="121" cm="1">
        <f t="array" ref="AQ98">IF($N98&gt;0,((AQ$49=$L98)*((13-$M98)/12)+(AQ$49&gt;$L98))*$N98*INDEX($H$31:$N$35,$L98-2020,AQ$49-2019)*INDEX($H$39:$N$43,$L98-2020,AQ$49-2019)*$F$19,0)</f>
        <v>8015.0749402157999</v>
      </c>
      <c r="AS98" s="114">
        <f t="shared" si="33"/>
        <v>0</v>
      </c>
      <c r="AT98" s="114">
        <f t="shared" si="34"/>
        <v>0</v>
      </c>
      <c r="AU98" s="114">
        <f t="shared" si="35"/>
        <v>51071.655477177505</v>
      </c>
      <c r="AV98" s="114">
        <f t="shared" si="36"/>
        <v>197494.92111008565</v>
      </c>
    </row>
    <row r="99" spans="2:48" x14ac:dyDescent="0.2">
      <c r="B99" s="124">
        <f>'12. Input inv. &lt;= 10 jaar'!B59</f>
        <v>49</v>
      </c>
      <c r="C99" s="113"/>
      <c r="D99" s="113"/>
      <c r="E99" s="113"/>
      <c r="G99" s="113"/>
      <c r="H99" s="123" t="str">
        <f>'12. Input inv. &lt;= 10 jaar'!E59</f>
        <v>Transport</v>
      </c>
      <c r="I99" s="123" t="str">
        <f>'12. Input inv. &lt;= 10 jaar'!F59</f>
        <v>HS</v>
      </c>
      <c r="J99" s="123" t="str">
        <f>'12. Input inv. &lt;= 10 jaar'!G59</f>
        <v>Computerapparatuur</v>
      </c>
      <c r="K99" s="123">
        <f>'12. Input inv. &lt;= 10 jaar'!H59</f>
        <v>5</v>
      </c>
      <c r="L99" s="124">
        <f>'12. Input inv. &lt;= 10 jaar'!I59</f>
        <v>2024</v>
      </c>
      <c r="M99" s="123">
        <f>'12. Input inv. &lt;= 10 jaar'!J59</f>
        <v>12</v>
      </c>
      <c r="N99" s="123">
        <f>'12. Input inv. &lt;= 10 jaar'!K59</f>
        <v>2332635.1220797095</v>
      </c>
      <c r="O99" s="113"/>
      <c r="Q99" s="33">
        <f t="shared" si="21"/>
        <v>466527.02441594191</v>
      </c>
      <c r="R99" s="122">
        <f t="shared" si="22"/>
        <v>2029</v>
      </c>
      <c r="S99" s="33">
        <f t="shared" si="23"/>
        <v>38877.252034661826</v>
      </c>
      <c r="T99" s="33">
        <f t="shared" si="24"/>
        <v>427649.77238131542</v>
      </c>
      <c r="V99" s="121">
        <f t="shared" si="37"/>
        <v>0</v>
      </c>
      <c r="W99" s="121">
        <f t="shared" si="37"/>
        <v>0</v>
      </c>
      <c r="X99" s="121">
        <f t="shared" si="37"/>
        <v>0</v>
      </c>
      <c r="Y99" s="121">
        <f t="shared" si="37"/>
        <v>38877.252034661826</v>
      </c>
      <c r="Z99" s="121">
        <f t="shared" si="37"/>
        <v>466527.02441594191</v>
      </c>
      <c r="AB99" s="33">
        <f t="shared" si="25"/>
        <v>0</v>
      </c>
      <c r="AC99" s="33">
        <f t="shared" si="26"/>
        <v>0</v>
      </c>
      <c r="AD99" s="33">
        <f t="shared" si="27"/>
        <v>0</v>
      </c>
      <c r="AE99" s="33">
        <f t="shared" si="28"/>
        <v>38877.252034661826</v>
      </c>
      <c r="AF99" s="33">
        <f t="shared" si="28"/>
        <v>470725.76763568533</v>
      </c>
      <c r="AH99" s="121">
        <f t="shared" si="29"/>
        <v>0</v>
      </c>
      <c r="AI99" s="121">
        <f t="shared" si="30"/>
        <v>0</v>
      </c>
      <c r="AJ99" s="121">
        <f t="shared" si="31"/>
        <v>0</v>
      </c>
      <c r="AK99" s="121">
        <f t="shared" si="32"/>
        <v>2293757.8700450477</v>
      </c>
      <c r="AL99" s="121">
        <f t="shared" si="32"/>
        <v>1843675.9232397676</v>
      </c>
      <c r="AN99" s="121" cm="1">
        <f t="array" ref="AN99">IF($N99&gt;0,((AN$49=$L99)*((13-$M99)/12)+(AN$49&gt;$L99))*$N99*INDEX($H$31:$N$35,$L99-2020,AN$49-2019)*INDEX($H$39:$N$43,$L99-2020,AN$49-2019)*$F$19,0)</f>
        <v>0</v>
      </c>
      <c r="AO99" s="121" cm="1">
        <f t="array" ref="AO99">IF($N99&gt;0,((AO$49=$L99)*((13-$M99)/12)+(AO$49&gt;$L99))*$N99*INDEX($H$31:$N$35,$L99-2020,AO$49-2019)*INDEX($H$39:$N$43,$L99-2020,AO$49-2019)*$F$19,0)</f>
        <v>0</v>
      </c>
      <c r="AP99" s="121" cm="1">
        <f t="array" ref="AP99">IF($N99&gt;0,((AP$49=$L99)*((13-$M99)/12)+(AP$49&gt;$L99))*$N99*INDEX($H$31:$N$35,$L99-2020,AP$49-2019)*INDEX($H$39:$N$43,$L99-2020,AP$49-2019)*$F$19,0)</f>
        <v>1943.8626017330914</v>
      </c>
      <c r="AQ99" s="121" cm="1">
        <f t="array" ref="AQ99">IF($N99&gt;0,((AQ$49=$L99)*((13-$M99)/12)+(AQ$49&gt;$L99))*$N99*INDEX($H$31:$N$35,$L99-2020,AQ$49-2019)*INDEX($H$39:$N$43,$L99-2020,AQ$49-2019)*$F$19,0)</f>
        <v>24045.269365422064</v>
      </c>
      <c r="AS99" s="114">
        <f t="shared" si="33"/>
        <v>0</v>
      </c>
      <c r="AT99" s="114">
        <f t="shared" si="34"/>
        <v>0</v>
      </c>
      <c r="AU99" s="114">
        <f t="shared" si="35"/>
        <v>153215.25026860225</v>
      </c>
      <c r="AV99" s="114">
        <f t="shared" si="36"/>
        <v>592485.86093281512</v>
      </c>
    </row>
    <row r="100" spans="2:48" x14ac:dyDescent="0.2">
      <c r="B100" s="124">
        <f>'12. Input inv. &lt;= 10 jaar'!B60</f>
        <v>50</v>
      </c>
      <c r="C100" s="113"/>
      <c r="D100" s="113"/>
      <c r="E100" s="113"/>
      <c r="G100" s="113"/>
      <c r="H100" s="123" t="str">
        <f>'12. Input inv. &lt;= 10 jaar'!E60</f>
        <v>Systeem</v>
      </c>
      <c r="I100" s="123" t="str">
        <f>'12. Input inv. &lt;= 10 jaar'!F60</f>
        <v>EHS</v>
      </c>
      <c r="J100" s="123" t="str">
        <f>'12. Input inv. &lt;= 10 jaar'!G60</f>
        <v>(Proces)automatisering</v>
      </c>
      <c r="K100" s="123">
        <f>'12. Input inv. &lt;= 10 jaar'!H60</f>
        <v>5</v>
      </c>
      <c r="L100" s="124">
        <f>'12. Input inv. &lt;= 10 jaar'!I60</f>
        <v>2024</v>
      </c>
      <c r="M100" s="123">
        <f>'12. Input inv. &lt;= 10 jaar'!J60</f>
        <v>6</v>
      </c>
      <c r="N100" s="123">
        <f>'12. Input inv. &lt;= 10 jaar'!K60</f>
        <v>186837.25307226001</v>
      </c>
      <c r="O100" s="113"/>
      <c r="Q100" s="33">
        <f t="shared" si="21"/>
        <v>37367.450614451998</v>
      </c>
      <c r="R100" s="122">
        <f t="shared" si="22"/>
        <v>2029</v>
      </c>
      <c r="S100" s="33">
        <f t="shared" si="23"/>
        <v>21797.679525096999</v>
      </c>
      <c r="T100" s="33">
        <f t="shared" si="24"/>
        <v>15569.771089357831</v>
      </c>
      <c r="V100" s="121">
        <f t="shared" si="37"/>
        <v>0</v>
      </c>
      <c r="W100" s="121">
        <f t="shared" si="37"/>
        <v>0</v>
      </c>
      <c r="X100" s="121">
        <f t="shared" si="37"/>
        <v>0</v>
      </c>
      <c r="Y100" s="121">
        <f t="shared" si="37"/>
        <v>21797.679525096999</v>
      </c>
      <c r="Z100" s="121">
        <f t="shared" si="37"/>
        <v>37367.450614451998</v>
      </c>
      <c r="AB100" s="33">
        <f t="shared" si="25"/>
        <v>0</v>
      </c>
      <c r="AC100" s="33">
        <f t="shared" si="26"/>
        <v>0</v>
      </c>
      <c r="AD100" s="33">
        <f t="shared" si="27"/>
        <v>0</v>
      </c>
      <c r="AE100" s="33">
        <f t="shared" si="28"/>
        <v>21797.679525096999</v>
      </c>
      <c r="AF100" s="33">
        <f t="shared" si="28"/>
        <v>37703.757669982064</v>
      </c>
      <c r="AH100" s="121">
        <f t="shared" si="29"/>
        <v>0</v>
      </c>
      <c r="AI100" s="121">
        <f t="shared" si="30"/>
        <v>0</v>
      </c>
      <c r="AJ100" s="121">
        <f t="shared" si="31"/>
        <v>0</v>
      </c>
      <c r="AK100" s="121">
        <f t="shared" si="32"/>
        <v>165039.57354716302</v>
      </c>
      <c r="AL100" s="121">
        <f t="shared" si="32"/>
        <v>128821.17203910541</v>
      </c>
      <c r="AN100" s="121" cm="1">
        <f t="array" ref="AN100">IF($N100&gt;0,((AN$49=$L100)*((13-$M100)/12)+(AN$49&gt;$L100))*$N100*INDEX($H$31:$N$35,$L100-2020,AN$49-2019)*INDEX($H$39:$N$43,$L100-2020,AN$49-2019)*$F$19,0)</f>
        <v>0</v>
      </c>
      <c r="AO100" s="121" cm="1">
        <f t="array" ref="AO100">IF($N100&gt;0,((AO$49=$L100)*((13-$M100)/12)+(AO$49&gt;$L100))*$N100*INDEX($H$31:$N$35,$L100-2020,AO$49-2019)*INDEX($H$39:$N$43,$L100-2020,AO$49-2019)*$F$19,0)</f>
        <v>0</v>
      </c>
      <c r="AP100" s="121" cm="1">
        <f t="array" ref="AP100">IF($N100&gt;0,((AP$49=$L100)*((13-$M100)/12)+(AP$49&gt;$L100))*$N100*INDEX($H$31:$N$35,$L100-2020,AP$49-2019)*INDEX($H$39:$N$43,$L100-2020,AP$49-2019)*$F$19,0)</f>
        <v>1089.88397625485</v>
      </c>
      <c r="AQ100" s="121" cm="1">
        <f t="array" ref="AQ100">IF($N100&gt;0,((AQ$49=$L100)*((13-$M100)/12)+(AQ$49&gt;$L100))*$N100*INDEX($H$31:$N$35,$L100-2020,AQ$49-2019)*INDEX($H$39:$N$43,$L100-2020,AQ$49-2019)*$F$19,0)</f>
        <v>1925.9557721194706</v>
      </c>
      <c r="AS100" s="114">
        <f t="shared" si="33"/>
        <v>0</v>
      </c>
      <c r="AT100" s="114">
        <f t="shared" si="34"/>
        <v>0</v>
      </c>
      <c r="AU100" s="114">
        <f t="shared" si="35"/>
        <v>30974.502605162834</v>
      </c>
      <c r="AV100" s="114">
        <f t="shared" si="36"/>
        <v>46457.235560174122</v>
      </c>
    </row>
    <row r="101" spans="2:48" x14ac:dyDescent="0.2">
      <c r="B101" s="124">
        <f>'12. Input inv. &lt;= 10 jaar'!B61</f>
        <v>51</v>
      </c>
      <c r="C101" s="113"/>
      <c r="D101" s="113"/>
      <c r="E101" s="113"/>
      <c r="G101" s="113"/>
      <c r="H101" s="123" t="str">
        <f>'12. Input inv. &lt;= 10 jaar'!E61</f>
        <v>Systeem</v>
      </c>
      <c r="I101" s="123" t="str">
        <f>'12. Input inv. &lt;= 10 jaar'!F61</f>
        <v>EHS</v>
      </c>
      <c r="J101" s="123" t="str">
        <f>'12. Input inv. &lt;= 10 jaar'!G61</f>
        <v>Overige bedrijfsmiddelen</v>
      </c>
      <c r="K101" s="123">
        <f>'12. Input inv. &lt;= 10 jaar'!H61</f>
        <v>10</v>
      </c>
      <c r="L101" s="124">
        <f>'12. Input inv. &lt;= 10 jaar'!I61</f>
        <v>2024</v>
      </c>
      <c r="M101" s="123">
        <f>'12. Input inv. &lt;= 10 jaar'!J61</f>
        <v>12</v>
      </c>
      <c r="N101" s="123">
        <f>'12. Input inv. &lt;= 10 jaar'!K61</f>
        <v>269272.61649519997</v>
      </c>
      <c r="O101" s="113"/>
      <c r="Q101" s="33">
        <f t="shared" si="21"/>
        <v>26927.261649519998</v>
      </c>
      <c r="R101" s="122">
        <f t="shared" si="22"/>
        <v>2034</v>
      </c>
      <c r="S101" s="33">
        <f t="shared" si="23"/>
        <v>2243.9384707933332</v>
      </c>
      <c r="T101" s="33">
        <f t="shared" si="24"/>
        <v>24683.323178728704</v>
      </c>
      <c r="V101" s="121">
        <f t="shared" ref="V101:Z110" si="38">((V$49=$L101)*$S101+(V$49&gt;$L101)*(V$49&lt;$R101)*$Q101+(V$49=$R101)*$T101)</f>
        <v>0</v>
      </c>
      <c r="W101" s="121">
        <f t="shared" si="38"/>
        <v>0</v>
      </c>
      <c r="X101" s="121">
        <f t="shared" si="38"/>
        <v>0</v>
      </c>
      <c r="Y101" s="121">
        <f t="shared" si="38"/>
        <v>2243.9384707933332</v>
      </c>
      <c r="Z101" s="121">
        <f t="shared" si="38"/>
        <v>26927.261649519998</v>
      </c>
      <c r="AB101" s="33">
        <f t="shared" si="25"/>
        <v>0</v>
      </c>
      <c r="AC101" s="33">
        <f t="shared" si="26"/>
        <v>0</v>
      </c>
      <c r="AD101" s="33">
        <f t="shared" si="27"/>
        <v>0</v>
      </c>
      <c r="AE101" s="33">
        <f t="shared" si="28"/>
        <v>2243.9384707933332</v>
      </c>
      <c r="AF101" s="33">
        <f t="shared" si="28"/>
        <v>27169.607004365676</v>
      </c>
      <c r="AH101" s="121">
        <f t="shared" si="29"/>
        <v>0</v>
      </c>
      <c r="AI101" s="121">
        <f t="shared" si="30"/>
        <v>0</v>
      </c>
      <c r="AJ101" s="121">
        <f t="shared" si="31"/>
        <v>0</v>
      </c>
      <c r="AK101" s="121">
        <f t="shared" si="32"/>
        <v>267028.67802440666</v>
      </c>
      <c r="AL101" s="121">
        <f t="shared" si="32"/>
        <v>242262.32912226059</v>
      </c>
      <c r="AN101" s="121" cm="1">
        <f t="array" ref="AN101">IF($N101&gt;0,((AN$49=$L101)*((13-$M101)/12)+(AN$49&gt;$L101))*$N101*INDEX($H$31:$N$35,$L101-2020,AN$49-2019)*INDEX($H$39:$N$43,$L101-2020,AN$49-2019)*$F$19,0)</f>
        <v>0</v>
      </c>
      <c r="AO101" s="121" cm="1">
        <f t="array" ref="AO101">IF($N101&gt;0,((AO$49=$L101)*((13-$M101)/12)+(AO$49&gt;$L101))*$N101*INDEX($H$31:$N$35,$L101-2020,AO$49-2019)*INDEX($H$39:$N$43,$L101-2020,AO$49-2019)*$F$19,0)</f>
        <v>0</v>
      </c>
      <c r="AP101" s="121" cm="1">
        <f t="array" ref="AP101">IF($N101&gt;0,((AP$49=$L101)*((13-$M101)/12)+(AP$49&gt;$L101))*$N101*INDEX($H$31:$N$35,$L101-2020,AP$49-2019)*INDEX($H$39:$N$43,$L101-2020,AP$49-2019)*$F$19,0)</f>
        <v>224.39384707933328</v>
      </c>
      <c r="AQ101" s="121" cm="1">
        <f t="array" ref="AQ101">IF($N101&gt;0,((AQ$49=$L101)*((13-$M101)/12)+(AQ$49&gt;$L101))*$N101*INDEX($H$31:$N$35,$L101-2020,AQ$49-2019)*INDEX($H$39:$N$43,$L101-2020,AQ$49-2019)*$F$19,0)</f>
        <v>2775.715985355821</v>
      </c>
      <c r="AS101" s="114">
        <f t="shared" si="33"/>
        <v>0</v>
      </c>
      <c r="AT101" s="114">
        <f t="shared" si="34"/>
        <v>0</v>
      </c>
      <c r="AU101" s="114">
        <f t="shared" si="35"/>
        <v>15552.737541068593</v>
      </c>
      <c r="AV101" s="114">
        <f t="shared" si="36"/>
        <v>42785.226433201307</v>
      </c>
    </row>
    <row r="102" spans="2:48" x14ac:dyDescent="0.2">
      <c r="B102" s="124">
        <f>'12. Input inv. &lt;= 10 jaar'!B62</f>
        <v>52</v>
      </c>
      <c r="C102" s="113"/>
      <c r="D102" s="113"/>
      <c r="E102" s="113"/>
      <c r="G102" s="113"/>
      <c r="H102" s="123" t="str">
        <f>'12. Input inv. &lt;= 10 jaar'!E62</f>
        <v>Systeem</v>
      </c>
      <c r="I102" s="123" t="str">
        <f>'12. Input inv. &lt;= 10 jaar'!F62</f>
        <v>EHS</v>
      </c>
      <c r="J102" s="123" t="str">
        <f>'12. Input inv. &lt;= 10 jaar'!G62</f>
        <v>(Proces)automatisering</v>
      </c>
      <c r="K102" s="123">
        <f>'12. Input inv. &lt;= 10 jaar'!H62</f>
        <v>5</v>
      </c>
      <c r="L102" s="124">
        <f>'12. Input inv. &lt;= 10 jaar'!I62</f>
        <v>2024</v>
      </c>
      <c r="M102" s="123">
        <f>'12. Input inv. &lt;= 10 jaar'!J62</f>
        <v>1</v>
      </c>
      <c r="N102" s="123">
        <f>'12. Input inv. &lt;= 10 jaar'!K62</f>
        <v>24985.411662499999</v>
      </c>
      <c r="O102" s="113"/>
      <c r="Q102" s="33">
        <f t="shared" si="21"/>
        <v>4997.0823325000001</v>
      </c>
      <c r="R102" s="122">
        <f t="shared" si="22"/>
        <v>2029</v>
      </c>
      <c r="S102" s="33">
        <f t="shared" si="23"/>
        <v>4997.0823325000001</v>
      </c>
      <c r="T102" s="33">
        <f t="shared" si="24"/>
        <v>0</v>
      </c>
      <c r="V102" s="121">
        <f t="shared" si="38"/>
        <v>0</v>
      </c>
      <c r="W102" s="121">
        <f t="shared" si="38"/>
        <v>0</v>
      </c>
      <c r="X102" s="121">
        <f t="shared" si="38"/>
        <v>0</v>
      </c>
      <c r="Y102" s="121">
        <f t="shared" si="38"/>
        <v>4997.0823325000001</v>
      </c>
      <c r="Z102" s="121">
        <f t="shared" si="38"/>
        <v>4997.0823325000001</v>
      </c>
      <c r="AB102" s="33">
        <f t="shared" si="25"/>
        <v>0</v>
      </c>
      <c r="AC102" s="33">
        <f t="shared" si="26"/>
        <v>0</v>
      </c>
      <c r="AD102" s="33">
        <f t="shared" si="27"/>
        <v>0</v>
      </c>
      <c r="AE102" s="33">
        <f t="shared" si="28"/>
        <v>4997.0823325000001</v>
      </c>
      <c r="AF102" s="33">
        <f t="shared" si="28"/>
        <v>5042.0560734924993</v>
      </c>
      <c r="AH102" s="121">
        <f t="shared" si="29"/>
        <v>0</v>
      </c>
      <c r="AI102" s="121">
        <f t="shared" si="30"/>
        <v>0</v>
      </c>
      <c r="AJ102" s="121">
        <f t="shared" si="31"/>
        <v>0</v>
      </c>
      <c r="AK102" s="121">
        <f t="shared" si="32"/>
        <v>19988.32933</v>
      </c>
      <c r="AL102" s="121">
        <f t="shared" si="32"/>
        <v>15126.168220477499</v>
      </c>
      <c r="AN102" s="121" cm="1">
        <f t="array" ref="AN102">IF($N102&gt;0,((AN$49=$L102)*((13-$M102)/12)+(AN$49&gt;$L102))*$N102*INDEX($H$31:$N$35,$L102-2020,AN$49-2019)*INDEX($H$39:$N$43,$L102-2020,AN$49-2019)*$F$19,0)</f>
        <v>0</v>
      </c>
      <c r="AO102" s="121" cm="1">
        <f t="array" ref="AO102">IF($N102&gt;0,((AO$49=$L102)*((13-$M102)/12)+(AO$49&gt;$L102))*$N102*INDEX($H$31:$N$35,$L102-2020,AO$49-2019)*INDEX($H$39:$N$43,$L102-2020,AO$49-2019)*$F$19,0)</f>
        <v>0</v>
      </c>
      <c r="AP102" s="121" cm="1">
        <f t="array" ref="AP102">IF($N102&gt;0,((AP$49=$L102)*((13-$M102)/12)+(AP$49&gt;$L102))*$N102*INDEX($H$31:$N$35,$L102-2020,AP$49-2019)*INDEX($H$39:$N$43,$L102-2020,AP$49-2019)*$F$19,0)</f>
        <v>249.85411662499999</v>
      </c>
      <c r="AQ102" s="121" cm="1">
        <f t="array" ref="AQ102">IF($N102&gt;0,((AQ$49=$L102)*((13-$M102)/12)+(AQ$49&gt;$L102))*$N102*INDEX($H$31:$N$35,$L102-2020,AQ$49-2019)*INDEX($H$39:$N$43,$L102-2020,AQ$49-2019)*$F$19,0)</f>
        <v>257.55462049938251</v>
      </c>
      <c r="AS102" s="114">
        <f t="shared" si="33"/>
        <v>0</v>
      </c>
      <c r="AT102" s="114">
        <f t="shared" si="34"/>
        <v>0</v>
      </c>
      <c r="AU102" s="114">
        <f t="shared" si="35"/>
        <v>6226.3645862949998</v>
      </c>
      <c r="AV102" s="114">
        <f t="shared" si="36"/>
        <v>6101.297609677189</v>
      </c>
    </row>
    <row r="103" spans="2:48" x14ac:dyDescent="0.2">
      <c r="B103" s="124">
        <f>'12. Input inv. &lt;= 10 jaar'!B63</f>
        <v>53</v>
      </c>
      <c r="C103" s="113"/>
      <c r="D103" s="113"/>
      <c r="E103" s="113"/>
      <c r="G103" s="113"/>
      <c r="H103" s="123" t="str">
        <f>'12. Input inv. &lt;= 10 jaar'!E63</f>
        <v>Systeem</v>
      </c>
      <c r="I103" s="123" t="str">
        <f>'12. Input inv. &lt;= 10 jaar'!F63</f>
        <v>EHS</v>
      </c>
      <c r="J103" s="123" t="str">
        <f>'12. Input inv. &lt;= 10 jaar'!G63</f>
        <v>(Proces)automatisering</v>
      </c>
      <c r="K103" s="123">
        <f>'12. Input inv. &lt;= 10 jaar'!H63</f>
        <v>5</v>
      </c>
      <c r="L103" s="124">
        <f>'12. Input inv. &lt;= 10 jaar'!I63</f>
        <v>2024</v>
      </c>
      <c r="M103" s="123">
        <f>'12. Input inv. &lt;= 10 jaar'!J63</f>
        <v>7</v>
      </c>
      <c r="N103" s="123">
        <f>'12. Input inv. &lt;= 10 jaar'!K63</f>
        <v>164146.98895627999</v>
      </c>
      <c r="O103" s="113"/>
      <c r="Q103" s="33">
        <f t="shared" si="21"/>
        <v>32829.397791256</v>
      </c>
      <c r="R103" s="122">
        <f t="shared" si="22"/>
        <v>2029</v>
      </c>
      <c r="S103" s="33">
        <f t="shared" si="23"/>
        <v>16414.698895628</v>
      </c>
      <c r="T103" s="33">
        <f t="shared" si="24"/>
        <v>16414.698895628</v>
      </c>
      <c r="V103" s="121">
        <f t="shared" si="38"/>
        <v>0</v>
      </c>
      <c r="W103" s="121">
        <f t="shared" si="38"/>
        <v>0</v>
      </c>
      <c r="X103" s="121">
        <f t="shared" si="38"/>
        <v>0</v>
      </c>
      <c r="Y103" s="121">
        <f t="shared" si="38"/>
        <v>16414.698895628</v>
      </c>
      <c r="Z103" s="121">
        <f t="shared" si="38"/>
        <v>32829.397791256</v>
      </c>
      <c r="AB103" s="33">
        <f t="shared" si="25"/>
        <v>0</v>
      </c>
      <c r="AC103" s="33">
        <f t="shared" si="26"/>
        <v>0</v>
      </c>
      <c r="AD103" s="33">
        <f t="shared" si="27"/>
        <v>0</v>
      </c>
      <c r="AE103" s="33">
        <f t="shared" si="28"/>
        <v>16414.698895628</v>
      </c>
      <c r="AF103" s="33">
        <f t="shared" si="28"/>
        <v>33124.862371377298</v>
      </c>
      <c r="AH103" s="121">
        <f t="shared" si="29"/>
        <v>0</v>
      </c>
      <c r="AI103" s="121">
        <f t="shared" si="30"/>
        <v>0</v>
      </c>
      <c r="AJ103" s="121">
        <f t="shared" si="31"/>
        <v>0</v>
      </c>
      <c r="AK103" s="121">
        <f t="shared" si="32"/>
        <v>147732.29006065198</v>
      </c>
      <c r="AL103" s="121">
        <f t="shared" si="32"/>
        <v>115937.01829982054</v>
      </c>
      <c r="AN103" s="121" cm="1">
        <f t="array" ref="AN103">IF($N103&gt;0,((AN$49=$L103)*((13-$M103)/12)+(AN$49&gt;$L103))*$N103*INDEX($H$31:$N$35,$L103-2020,AN$49-2019)*INDEX($H$39:$N$43,$L103-2020,AN$49-2019)*$F$19,0)</f>
        <v>0</v>
      </c>
      <c r="AO103" s="121" cm="1">
        <f t="array" ref="AO103">IF($N103&gt;0,((AO$49=$L103)*((13-$M103)/12)+(AO$49&gt;$L103))*$N103*INDEX($H$31:$N$35,$L103-2020,AO$49-2019)*INDEX($H$39:$N$43,$L103-2020,AO$49-2019)*$F$19,0)</f>
        <v>0</v>
      </c>
      <c r="AP103" s="121" cm="1">
        <f t="array" ref="AP103">IF($N103&gt;0,((AP$49=$L103)*((13-$M103)/12)+(AP$49&gt;$L103))*$N103*INDEX($H$31:$N$35,$L103-2020,AP$49-2019)*INDEX($H$39:$N$43,$L103-2020,AP$49-2019)*$F$19,0)</f>
        <v>820.73494478140003</v>
      </c>
      <c r="AQ103" s="121" cm="1">
        <f t="array" ref="AQ103">IF($N103&gt;0,((AQ$49=$L103)*((13-$M103)/12)+(AQ$49&gt;$L103))*$N103*INDEX($H$31:$N$35,$L103-2020,AQ$49-2019)*INDEX($H$39:$N$43,$L103-2020,AQ$49-2019)*$F$19,0)</f>
        <v>1692.0599915591256</v>
      </c>
      <c r="AS103" s="114">
        <f t="shared" si="33"/>
        <v>0</v>
      </c>
      <c r="AT103" s="114">
        <f t="shared" si="34"/>
        <v>0</v>
      </c>
      <c r="AU103" s="114">
        <f t="shared" si="35"/>
        <v>24474.31605338135</v>
      </c>
      <c r="AV103" s="114">
        <f t="shared" si="36"/>
        <v>40961.584332826911</v>
      </c>
    </row>
    <row r="104" spans="2:48" x14ac:dyDescent="0.2">
      <c r="B104" s="124">
        <f>'12. Input inv. &lt;= 10 jaar'!B64</f>
        <v>54</v>
      </c>
      <c r="C104" s="113"/>
      <c r="D104" s="113"/>
      <c r="E104" s="113"/>
      <c r="G104" s="113"/>
      <c r="H104" s="123" t="str">
        <f>'12. Input inv. &lt;= 10 jaar'!E64</f>
        <v>Systeem</v>
      </c>
      <c r="I104" s="123" t="str">
        <f>'12. Input inv. &lt;= 10 jaar'!F64</f>
        <v>EHS</v>
      </c>
      <c r="J104" s="123" t="str">
        <f>'12. Input inv. &lt;= 10 jaar'!G64</f>
        <v>(Proces)automatisering</v>
      </c>
      <c r="K104" s="123">
        <f>'12. Input inv. &lt;= 10 jaar'!H64</f>
        <v>5</v>
      </c>
      <c r="L104" s="124">
        <f>'12. Input inv. &lt;= 10 jaar'!I64</f>
        <v>2024</v>
      </c>
      <c r="M104" s="123">
        <f>'12. Input inv. &lt;= 10 jaar'!J64</f>
        <v>8</v>
      </c>
      <c r="N104" s="123">
        <f>'12. Input inv. &lt;= 10 jaar'!K64</f>
        <v>159918.37337866001</v>
      </c>
      <c r="O104" s="113"/>
      <c r="Q104" s="33">
        <f t="shared" si="21"/>
        <v>31983.674675732</v>
      </c>
      <c r="R104" s="122">
        <f t="shared" si="22"/>
        <v>2029</v>
      </c>
      <c r="S104" s="33">
        <f t="shared" si="23"/>
        <v>13326.531114888334</v>
      </c>
      <c r="T104" s="33">
        <f t="shared" si="24"/>
        <v>18657.143560841243</v>
      </c>
      <c r="V104" s="121">
        <f t="shared" si="38"/>
        <v>0</v>
      </c>
      <c r="W104" s="121">
        <f t="shared" si="38"/>
        <v>0</v>
      </c>
      <c r="X104" s="121">
        <f t="shared" si="38"/>
        <v>0</v>
      </c>
      <c r="Y104" s="121">
        <f t="shared" si="38"/>
        <v>13326.531114888334</v>
      </c>
      <c r="Z104" s="121">
        <f t="shared" si="38"/>
        <v>31983.674675732</v>
      </c>
      <c r="AB104" s="33">
        <f t="shared" si="25"/>
        <v>0</v>
      </c>
      <c r="AC104" s="33">
        <f t="shared" si="26"/>
        <v>0</v>
      </c>
      <c r="AD104" s="33">
        <f t="shared" si="27"/>
        <v>0</v>
      </c>
      <c r="AE104" s="33">
        <f t="shared" si="28"/>
        <v>13326.531114888334</v>
      </c>
      <c r="AF104" s="33">
        <f t="shared" si="28"/>
        <v>32271.527747813583</v>
      </c>
      <c r="AH104" s="121">
        <f t="shared" si="29"/>
        <v>0</v>
      </c>
      <c r="AI104" s="121">
        <f t="shared" si="30"/>
        <v>0</v>
      </c>
      <c r="AJ104" s="121">
        <f t="shared" si="31"/>
        <v>0</v>
      </c>
      <c r="AK104" s="121">
        <f t="shared" si="32"/>
        <v>146591.84226377169</v>
      </c>
      <c r="AL104" s="121">
        <f t="shared" si="32"/>
        <v>115639.64109633202</v>
      </c>
      <c r="AN104" s="121" cm="1">
        <f t="array" ref="AN104">IF($N104&gt;0,((AN$49=$L104)*((13-$M104)/12)+(AN$49&gt;$L104))*$N104*INDEX($H$31:$N$35,$L104-2020,AN$49-2019)*INDEX($H$39:$N$43,$L104-2020,AN$49-2019)*$F$19,0)</f>
        <v>0</v>
      </c>
      <c r="AO104" s="121" cm="1">
        <f t="array" ref="AO104">IF($N104&gt;0,((AO$49=$L104)*((13-$M104)/12)+(AO$49&gt;$L104))*$N104*INDEX($H$31:$N$35,$L104-2020,AO$49-2019)*INDEX($H$39:$N$43,$L104-2020,AO$49-2019)*$F$19,0)</f>
        <v>0</v>
      </c>
      <c r="AP104" s="121" cm="1">
        <f t="array" ref="AP104">IF($N104&gt;0,((AP$49=$L104)*((13-$M104)/12)+(AP$49&gt;$L104))*$N104*INDEX($H$31:$N$35,$L104-2020,AP$49-2019)*INDEX($H$39:$N$43,$L104-2020,AP$49-2019)*$F$19,0)</f>
        <v>666.32655574441674</v>
      </c>
      <c r="AQ104" s="121" cm="1">
        <f t="array" ref="AQ104">IF($N104&gt;0,((AQ$49=$L104)*((13-$M104)/12)+(AQ$49&gt;$L104))*$N104*INDEX($H$31:$N$35,$L104-2020,AQ$49-2019)*INDEX($H$39:$N$43,$L104-2020,AQ$49-2019)*$F$19,0)</f>
        <v>1648.4705764619032</v>
      </c>
      <c r="AS104" s="114">
        <f t="shared" si="33"/>
        <v>0</v>
      </c>
      <c r="AT104" s="114">
        <f t="shared" si="34"/>
        <v>0</v>
      </c>
      <c r="AU104" s="114">
        <f t="shared" si="35"/>
        <v>21175.857941557566</v>
      </c>
      <c r="AV104" s="114">
        <f t="shared" si="36"/>
        <v>40048.899302381084</v>
      </c>
    </row>
    <row r="105" spans="2:48" x14ac:dyDescent="0.2">
      <c r="B105" s="124">
        <f>'12. Input inv. &lt;= 10 jaar'!B65</f>
        <v>55</v>
      </c>
      <c r="C105" s="113"/>
      <c r="D105" s="113"/>
      <c r="E105" s="113"/>
      <c r="G105" s="113"/>
      <c r="H105" s="123" t="str">
        <f>'12. Input inv. &lt;= 10 jaar'!E65</f>
        <v>Systeem</v>
      </c>
      <c r="I105" s="123" t="str">
        <f>'12. Input inv. &lt;= 10 jaar'!F65</f>
        <v>EHS</v>
      </c>
      <c r="J105" s="123" t="str">
        <f>'12. Input inv. &lt;= 10 jaar'!G65</f>
        <v>(Proces)automatisering</v>
      </c>
      <c r="K105" s="123">
        <f>'12. Input inv. &lt;= 10 jaar'!H65</f>
        <v>5</v>
      </c>
      <c r="L105" s="124">
        <f>'12. Input inv. &lt;= 10 jaar'!I65</f>
        <v>2024</v>
      </c>
      <c r="M105" s="123">
        <f>'12. Input inv. &lt;= 10 jaar'!J65</f>
        <v>11</v>
      </c>
      <c r="N105" s="123">
        <f>'12. Input inv. &lt;= 10 jaar'!K65</f>
        <v>895094.7831326999</v>
      </c>
      <c r="O105" s="113"/>
      <c r="Q105" s="33">
        <f t="shared" si="21"/>
        <v>179018.95662653999</v>
      </c>
      <c r="R105" s="122">
        <f t="shared" si="22"/>
        <v>2029</v>
      </c>
      <c r="S105" s="33">
        <f t="shared" si="23"/>
        <v>29836.492771089997</v>
      </c>
      <c r="T105" s="33">
        <f t="shared" si="24"/>
        <v>149182.46385543642</v>
      </c>
      <c r="V105" s="121">
        <f t="shared" si="38"/>
        <v>0</v>
      </c>
      <c r="W105" s="121">
        <f t="shared" si="38"/>
        <v>0</v>
      </c>
      <c r="X105" s="121">
        <f t="shared" si="38"/>
        <v>0</v>
      </c>
      <c r="Y105" s="121">
        <f t="shared" si="38"/>
        <v>29836.492771089997</v>
      </c>
      <c r="Z105" s="121">
        <f t="shared" si="38"/>
        <v>179018.95662653999</v>
      </c>
      <c r="AB105" s="33">
        <f t="shared" si="25"/>
        <v>0</v>
      </c>
      <c r="AC105" s="33">
        <f t="shared" si="26"/>
        <v>0</v>
      </c>
      <c r="AD105" s="33">
        <f t="shared" si="27"/>
        <v>0</v>
      </c>
      <c r="AE105" s="33">
        <f t="shared" si="28"/>
        <v>29836.492771089997</v>
      </c>
      <c r="AF105" s="33">
        <f t="shared" si="28"/>
        <v>180630.12723617884</v>
      </c>
      <c r="AH105" s="121">
        <f t="shared" si="29"/>
        <v>0</v>
      </c>
      <c r="AI105" s="121">
        <f t="shared" si="30"/>
        <v>0</v>
      </c>
      <c r="AJ105" s="121">
        <f t="shared" si="31"/>
        <v>0</v>
      </c>
      <c r="AK105" s="121">
        <f t="shared" si="32"/>
        <v>865258.29036160989</v>
      </c>
      <c r="AL105" s="121">
        <f t="shared" si="32"/>
        <v>692415.48773868545</v>
      </c>
      <c r="AN105" s="121" cm="1">
        <f t="array" ref="AN105">IF($N105&gt;0,((AN$49=$L105)*((13-$M105)/12)+(AN$49&gt;$L105))*$N105*INDEX($H$31:$N$35,$L105-2020,AN$49-2019)*INDEX($H$39:$N$43,$L105-2020,AN$49-2019)*$F$19,0)</f>
        <v>0</v>
      </c>
      <c r="AO105" s="121" cm="1">
        <f t="array" ref="AO105">IF($N105&gt;0,((AO$49=$L105)*((13-$M105)/12)+(AO$49&gt;$L105))*$N105*INDEX($H$31:$N$35,$L105-2020,AO$49-2019)*INDEX($H$39:$N$43,$L105-2020,AO$49-2019)*$F$19,0)</f>
        <v>0</v>
      </c>
      <c r="AP105" s="121" cm="1">
        <f t="array" ref="AP105">IF($N105&gt;0,((AP$49=$L105)*((13-$M105)/12)+(AP$49&gt;$L105))*$N105*INDEX($H$31:$N$35,$L105-2020,AP$49-2019)*INDEX($H$39:$N$43,$L105-2020,AP$49-2019)*$F$19,0)</f>
        <v>1491.8246385544999</v>
      </c>
      <c r="AQ105" s="121" cm="1">
        <f t="array" ref="AQ105">IF($N105&gt;0,((AQ$49=$L105)*((13-$M105)/12)+(AQ$49&gt;$L105))*$N105*INDEX($H$31:$N$35,$L105-2020,AQ$49-2019)*INDEX($H$39:$N$43,$L105-2020,AQ$49-2019)*$F$19,0)</f>
        <v>9226.8160434884976</v>
      </c>
      <c r="AS105" s="114">
        <f t="shared" si="33"/>
        <v>0</v>
      </c>
      <c r="AT105" s="114">
        <f t="shared" si="34"/>
        <v>0</v>
      </c>
      <c r="AU105" s="114">
        <f t="shared" si="35"/>
        <v>73725.973637363393</v>
      </c>
      <c r="AV105" s="114">
        <f t="shared" si="36"/>
        <v>226554.96412981767</v>
      </c>
    </row>
    <row r="106" spans="2:48" x14ac:dyDescent="0.2">
      <c r="B106" s="124">
        <f>'12. Input inv. &lt;= 10 jaar'!B66</f>
        <v>56</v>
      </c>
      <c r="C106" s="113"/>
      <c r="D106" s="113"/>
      <c r="E106" s="113"/>
      <c r="G106" s="113"/>
      <c r="H106" s="123" t="str">
        <f>'12. Input inv. &lt;= 10 jaar'!E66</f>
        <v>Systeem</v>
      </c>
      <c r="I106" s="123" t="str">
        <f>'12. Input inv. &lt;= 10 jaar'!F66</f>
        <v>EHS</v>
      </c>
      <c r="J106" s="123" t="str">
        <f>'12. Input inv. &lt;= 10 jaar'!G66</f>
        <v>(Proces)automatisering</v>
      </c>
      <c r="K106" s="123">
        <f>'12. Input inv. &lt;= 10 jaar'!H66</f>
        <v>5</v>
      </c>
      <c r="L106" s="124">
        <f>'12. Input inv. &lt;= 10 jaar'!I66</f>
        <v>2024</v>
      </c>
      <c r="M106" s="123">
        <f>'12. Input inv. &lt;= 10 jaar'!J66</f>
        <v>12</v>
      </c>
      <c r="N106" s="123">
        <f>'12. Input inv. &lt;= 10 jaar'!K66</f>
        <v>4038887.4630330573</v>
      </c>
      <c r="O106" s="113"/>
      <c r="Q106" s="33">
        <f t="shared" si="21"/>
        <v>807777.49260661146</v>
      </c>
      <c r="R106" s="122">
        <f t="shared" si="22"/>
        <v>2029</v>
      </c>
      <c r="S106" s="33">
        <f t="shared" si="23"/>
        <v>67314.79105055095</v>
      </c>
      <c r="T106" s="33">
        <f t="shared" si="24"/>
        <v>740462.7015561217</v>
      </c>
      <c r="V106" s="121">
        <f t="shared" si="38"/>
        <v>0</v>
      </c>
      <c r="W106" s="121">
        <f t="shared" si="38"/>
        <v>0</v>
      </c>
      <c r="X106" s="121">
        <f t="shared" si="38"/>
        <v>0</v>
      </c>
      <c r="Y106" s="121">
        <f t="shared" si="38"/>
        <v>67314.79105055095</v>
      </c>
      <c r="Z106" s="121">
        <f t="shared" si="38"/>
        <v>807777.49260661146</v>
      </c>
      <c r="AB106" s="33">
        <f t="shared" si="25"/>
        <v>0</v>
      </c>
      <c r="AC106" s="33">
        <f t="shared" si="26"/>
        <v>0</v>
      </c>
      <c r="AD106" s="33">
        <f t="shared" si="27"/>
        <v>0</v>
      </c>
      <c r="AE106" s="33">
        <f t="shared" si="28"/>
        <v>67314.79105055095</v>
      </c>
      <c r="AF106" s="33">
        <f t="shared" si="28"/>
        <v>815047.49004007084</v>
      </c>
      <c r="AH106" s="121">
        <f t="shared" si="29"/>
        <v>0</v>
      </c>
      <c r="AI106" s="121">
        <f t="shared" si="30"/>
        <v>0</v>
      </c>
      <c r="AJ106" s="121">
        <f t="shared" si="31"/>
        <v>0</v>
      </c>
      <c r="AK106" s="121">
        <f t="shared" si="32"/>
        <v>3971572.6719825063</v>
      </c>
      <c r="AL106" s="121">
        <f t="shared" si="32"/>
        <v>3192269.3359902776</v>
      </c>
      <c r="AN106" s="121" cm="1">
        <f t="array" ref="AN106">IF($N106&gt;0,((AN$49=$L106)*((13-$M106)/12)+(AN$49&gt;$L106))*$N106*INDEX($H$31:$N$35,$L106-2020,AN$49-2019)*INDEX($H$39:$N$43,$L106-2020,AN$49-2019)*$F$19,0)</f>
        <v>0</v>
      </c>
      <c r="AO106" s="121" cm="1">
        <f t="array" ref="AO106">IF($N106&gt;0,((AO$49=$L106)*((13-$M106)/12)+(AO$49&gt;$L106))*$N106*INDEX($H$31:$N$35,$L106-2020,AO$49-2019)*INDEX($H$39:$N$43,$L106-2020,AO$49-2019)*$F$19,0)</f>
        <v>0</v>
      </c>
      <c r="AP106" s="121" cm="1">
        <f t="array" ref="AP106">IF($N106&gt;0,((AP$49=$L106)*((13-$M106)/12)+(AP$49&gt;$L106))*$N106*INDEX($H$31:$N$35,$L106-2020,AP$49-2019)*INDEX($H$39:$N$43,$L106-2020,AP$49-2019)*$F$19,0)</f>
        <v>3365.7395525275474</v>
      </c>
      <c r="AQ106" s="121" cm="1">
        <f t="array" ref="AQ106">IF($N106&gt;0,((AQ$49=$L106)*((13-$M106)/12)+(AQ$49&gt;$L106))*$N106*INDEX($H$31:$N$35,$L106-2020,AQ$49-2019)*INDEX($H$39:$N$43,$L106-2020,AQ$49-2019)*$F$19,0)</f>
        <v>41633.659746437363</v>
      </c>
      <c r="AS106" s="114">
        <f t="shared" si="33"/>
        <v>0</v>
      </c>
      <c r="AT106" s="114">
        <f t="shared" si="34"/>
        <v>0</v>
      </c>
      <c r="AU106" s="114">
        <f t="shared" si="35"/>
        <v>265287.59153022134</v>
      </c>
      <c r="AV106" s="114">
        <f t="shared" si="36"/>
        <v>1025871.4245939929</v>
      </c>
    </row>
    <row r="107" spans="2:48" x14ac:dyDescent="0.2">
      <c r="B107" s="124">
        <f>'12. Input inv. &lt;= 10 jaar'!B67</f>
        <v>57</v>
      </c>
      <c r="C107" s="113"/>
      <c r="D107" s="113"/>
      <c r="E107" s="113"/>
      <c r="G107" s="113"/>
      <c r="H107" s="123" t="str">
        <f>'12. Input inv. &lt;= 10 jaar'!E67</f>
        <v>Systeem</v>
      </c>
      <c r="I107" s="123" t="str">
        <f>'12. Input inv. &lt;= 10 jaar'!F67</f>
        <v>EHS</v>
      </c>
      <c r="J107" s="123" t="str">
        <f>'12. Input inv. &lt;= 10 jaar'!G67</f>
        <v>(Proces)automatisering</v>
      </c>
      <c r="K107" s="123">
        <f>'12. Input inv. &lt;= 10 jaar'!H67</f>
        <v>5</v>
      </c>
      <c r="L107" s="124">
        <f>'12. Input inv. &lt;= 10 jaar'!I67</f>
        <v>2024</v>
      </c>
      <c r="M107" s="123">
        <f>'12. Input inv. &lt;= 10 jaar'!J67</f>
        <v>6</v>
      </c>
      <c r="N107" s="123">
        <f>'12. Input inv. &lt;= 10 jaar'!K67</f>
        <v>478820.14142633998</v>
      </c>
      <c r="O107" s="113"/>
      <c r="Q107" s="33">
        <f t="shared" si="21"/>
        <v>95764.028285267996</v>
      </c>
      <c r="R107" s="122">
        <f t="shared" si="22"/>
        <v>2029</v>
      </c>
      <c r="S107" s="33">
        <f t="shared" si="23"/>
        <v>55862.349833073</v>
      </c>
      <c r="T107" s="33">
        <f t="shared" si="24"/>
        <v>39901.678452202257</v>
      </c>
      <c r="V107" s="121">
        <f t="shared" si="38"/>
        <v>0</v>
      </c>
      <c r="W107" s="121">
        <f t="shared" si="38"/>
        <v>0</v>
      </c>
      <c r="X107" s="121">
        <f t="shared" si="38"/>
        <v>0</v>
      </c>
      <c r="Y107" s="121">
        <f t="shared" si="38"/>
        <v>55862.349833073</v>
      </c>
      <c r="Z107" s="121">
        <f t="shared" si="38"/>
        <v>95764.028285267996</v>
      </c>
      <c r="AB107" s="33">
        <f t="shared" si="25"/>
        <v>0</v>
      </c>
      <c r="AC107" s="33">
        <f t="shared" si="26"/>
        <v>0</v>
      </c>
      <c r="AD107" s="33">
        <f t="shared" si="27"/>
        <v>0</v>
      </c>
      <c r="AE107" s="33">
        <f t="shared" si="28"/>
        <v>55862.349833073</v>
      </c>
      <c r="AF107" s="33">
        <f t="shared" si="28"/>
        <v>96625.904539835392</v>
      </c>
      <c r="AH107" s="121">
        <f t="shared" si="29"/>
        <v>0</v>
      </c>
      <c r="AI107" s="121">
        <f t="shared" si="30"/>
        <v>0</v>
      </c>
      <c r="AJ107" s="121">
        <f t="shared" si="31"/>
        <v>0</v>
      </c>
      <c r="AK107" s="121">
        <f t="shared" si="32"/>
        <v>422957.791593267</v>
      </c>
      <c r="AL107" s="121">
        <f t="shared" si="32"/>
        <v>330138.50717777095</v>
      </c>
      <c r="AN107" s="121" cm="1">
        <f t="array" ref="AN107">IF($N107&gt;0,((AN$49=$L107)*((13-$M107)/12)+(AN$49&gt;$L107))*$N107*INDEX($H$31:$N$35,$L107-2020,AN$49-2019)*INDEX($H$39:$N$43,$L107-2020,AN$49-2019)*$F$19,0)</f>
        <v>0</v>
      </c>
      <c r="AO107" s="121" cm="1">
        <f t="array" ref="AO107">IF($N107&gt;0,((AO$49=$L107)*((13-$M107)/12)+(AO$49&gt;$L107))*$N107*INDEX($H$31:$N$35,$L107-2020,AO$49-2019)*INDEX($H$39:$N$43,$L107-2020,AO$49-2019)*$F$19,0)</f>
        <v>0</v>
      </c>
      <c r="AP107" s="121" cm="1">
        <f t="array" ref="AP107">IF($N107&gt;0,((AP$49=$L107)*((13-$M107)/12)+(AP$49&gt;$L107))*$N107*INDEX($H$31:$N$35,$L107-2020,AP$49-2019)*INDEX($H$39:$N$43,$L107-2020,AP$49-2019)*$F$19,0)</f>
        <v>2793.1174916536502</v>
      </c>
      <c r="AQ107" s="121" cm="1">
        <f t="array" ref="AQ107">IF($N107&gt;0,((AQ$49=$L107)*((13-$M107)/12)+(AQ$49&gt;$L107))*$N107*INDEX($H$31:$N$35,$L107-2020,AQ$49-2019)*INDEX($H$39:$N$43,$L107-2020,AQ$49-2019)*$F$19,0)</f>
        <v>4935.7737818509986</v>
      </c>
      <c r="AS107" s="114">
        <f t="shared" si="33"/>
        <v>0</v>
      </c>
      <c r="AT107" s="114">
        <f t="shared" si="34"/>
        <v>0</v>
      </c>
      <c r="AU107" s="114">
        <f t="shared" si="35"/>
        <v>79380.399112796731</v>
      </c>
      <c r="AV107" s="114">
        <f t="shared" si="36"/>
        <v>119059.01920210825</v>
      </c>
    </row>
    <row r="108" spans="2:48" x14ac:dyDescent="0.2">
      <c r="B108" s="124">
        <f>'12. Input inv. &lt;= 10 jaar'!B68</f>
        <v>58</v>
      </c>
      <c r="C108" s="113"/>
      <c r="D108" s="113"/>
      <c r="E108" s="113"/>
      <c r="G108" s="113"/>
      <c r="H108" s="123" t="str">
        <f>'12. Input inv. &lt;= 10 jaar'!E68</f>
        <v>Transport</v>
      </c>
      <c r="I108" s="123" t="str">
        <f>'12. Input inv. &lt;= 10 jaar'!F68</f>
        <v>EHS</v>
      </c>
      <c r="J108" s="123" t="str">
        <f>'12. Input inv. &lt;= 10 jaar'!G68</f>
        <v>(Proces)automatisering</v>
      </c>
      <c r="K108" s="123">
        <f>'12. Input inv. &lt;= 10 jaar'!H68</f>
        <v>5</v>
      </c>
      <c r="L108" s="124">
        <f>'12. Input inv. &lt;= 10 jaar'!I68</f>
        <v>2024</v>
      </c>
      <c r="M108" s="123">
        <f>'12. Input inv. &lt;= 10 jaar'!J68</f>
        <v>6</v>
      </c>
      <c r="N108" s="123">
        <f>'12. Input inv. &lt;= 10 jaar'!K68</f>
        <v>1017982.0493661</v>
      </c>
      <c r="O108" s="113"/>
      <c r="Q108" s="33">
        <f t="shared" si="21"/>
        <v>203596.40987321999</v>
      </c>
      <c r="R108" s="122">
        <f t="shared" si="22"/>
        <v>2029</v>
      </c>
      <c r="S108" s="33">
        <f t="shared" si="23"/>
        <v>118764.57242604501</v>
      </c>
      <c r="T108" s="33">
        <f t="shared" si="24"/>
        <v>84831.837447190424</v>
      </c>
      <c r="V108" s="121">
        <f t="shared" si="38"/>
        <v>0</v>
      </c>
      <c r="W108" s="121">
        <f t="shared" si="38"/>
        <v>0</v>
      </c>
      <c r="X108" s="121">
        <f t="shared" si="38"/>
        <v>0</v>
      </c>
      <c r="Y108" s="121">
        <f t="shared" si="38"/>
        <v>118764.57242604501</v>
      </c>
      <c r="Z108" s="121">
        <f t="shared" si="38"/>
        <v>203596.40987321999</v>
      </c>
      <c r="AB108" s="33">
        <f t="shared" si="25"/>
        <v>0</v>
      </c>
      <c r="AC108" s="33">
        <f t="shared" si="26"/>
        <v>0</v>
      </c>
      <c r="AD108" s="33">
        <f t="shared" si="27"/>
        <v>0</v>
      </c>
      <c r="AE108" s="33">
        <f t="shared" si="28"/>
        <v>118764.57242604501</v>
      </c>
      <c r="AF108" s="33">
        <f t="shared" si="28"/>
        <v>205428.77756207896</v>
      </c>
      <c r="AH108" s="121">
        <f t="shared" si="29"/>
        <v>0</v>
      </c>
      <c r="AI108" s="121">
        <f t="shared" si="30"/>
        <v>0</v>
      </c>
      <c r="AJ108" s="121">
        <f t="shared" si="31"/>
        <v>0</v>
      </c>
      <c r="AK108" s="121">
        <f t="shared" si="32"/>
        <v>899217.47694005503</v>
      </c>
      <c r="AL108" s="121">
        <f t="shared" si="32"/>
        <v>701881.6566704365</v>
      </c>
      <c r="AN108" s="121" cm="1">
        <f t="array" ref="AN108">IF($N108&gt;0,((AN$49=$L108)*((13-$M108)/12)+(AN$49&gt;$L108))*$N108*INDEX($H$31:$N$35,$L108-2020,AN$49-2019)*INDEX($H$39:$N$43,$L108-2020,AN$49-2019)*$F$19,0)</f>
        <v>0</v>
      </c>
      <c r="AO108" s="121" cm="1">
        <f t="array" ref="AO108">IF($N108&gt;0,((AO$49=$L108)*((13-$M108)/12)+(AO$49&gt;$L108))*$N108*INDEX($H$31:$N$35,$L108-2020,AO$49-2019)*INDEX($H$39:$N$43,$L108-2020,AO$49-2019)*$F$19,0)</f>
        <v>0</v>
      </c>
      <c r="AP108" s="121" cm="1">
        <f t="array" ref="AP108">IF($N108&gt;0,((AP$49=$L108)*((13-$M108)/12)+(AP$49&gt;$L108))*$N108*INDEX($H$31:$N$35,$L108-2020,AP$49-2019)*INDEX($H$39:$N$43,$L108-2020,AP$49-2019)*$F$19,0)</f>
        <v>5938.2286213022508</v>
      </c>
      <c r="AQ108" s="121" cm="1">
        <f t="array" ref="AQ108">IF($N108&gt;0,((AQ$49=$L108)*((13-$M108)/12)+(AQ$49&gt;$L108))*$N108*INDEX($H$31:$N$35,$L108-2020,AQ$49-2019)*INDEX($H$39:$N$43,$L108-2020,AQ$49-2019)*$F$19,0)</f>
        <v>10493.562561275634</v>
      </c>
      <c r="AS108" s="114">
        <f t="shared" si="33"/>
        <v>0</v>
      </c>
      <c r="AT108" s="114">
        <f t="shared" si="34"/>
        <v>0</v>
      </c>
      <c r="AU108" s="114">
        <f t="shared" si="35"/>
        <v>168764.45741740995</v>
      </c>
      <c r="AV108" s="114">
        <f t="shared" si="36"/>
        <v>253122.06792688774</v>
      </c>
    </row>
    <row r="109" spans="2:48" x14ac:dyDescent="0.2">
      <c r="B109" s="124">
        <f>'12. Input inv. &lt;= 10 jaar'!B69</f>
        <v>59</v>
      </c>
      <c r="C109" s="113"/>
      <c r="D109" s="113"/>
      <c r="E109" s="113"/>
      <c r="G109" s="113"/>
      <c r="H109" s="123" t="str">
        <f>'12. Input inv. &lt;= 10 jaar'!E69</f>
        <v>Transport</v>
      </c>
      <c r="I109" s="123" t="str">
        <f>'12. Input inv. &lt;= 10 jaar'!F69</f>
        <v>EHS</v>
      </c>
      <c r="J109" s="123" t="str">
        <f>'12. Input inv. &lt;= 10 jaar'!G69</f>
        <v>Overige bedrijfsmiddelen</v>
      </c>
      <c r="K109" s="123">
        <f>'12. Input inv. &lt;= 10 jaar'!H69</f>
        <v>10</v>
      </c>
      <c r="L109" s="124">
        <f>'12. Input inv. &lt;= 10 jaar'!I69</f>
        <v>2024</v>
      </c>
      <c r="M109" s="123">
        <f>'12. Input inv. &lt;= 10 jaar'!J69</f>
        <v>12</v>
      </c>
      <c r="N109" s="123">
        <f>'12. Input inv. &lt;= 10 jaar'!K69</f>
        <v>411795.45550520002</v>
      </c>
      <c r="O109" s="113"/>
      <c r="Q109" s="33">
        <f t="shared" si="21"/>
        <v>41179.545550520001</v>
      </c>
      <c r="R109" s="122">
        <f t="shared" si="22"/>
        <v>2034</v>
      </c>
      <c r="S109" s="33">
        <f t="shared" si="23"/>
        <v>3431.6287958766666</v>
      </c>
      <c r="T109" s="33">
        <f t="shared" si="24"/>
        <v>37747.916754646452</v>
      </c>
      <c r="V109" s="121">
        <f t="shared" si="38"/>
        <v>0</v>
      </c>
      <c r="W109" s="121">
        <f t="shared" si="38"/>
        <v>0</v>
      </c>
      <c r="X109" s="121">
        <f t="shared" si="38"/>
        <v>0</v>
      </c>
      <c r="Y109" s="121">
        <f t="shared" si="38"/>
        <v>3431.6287958766666</v>
      </c>
      <c r="Z109" s="121">
        <f t="shared" si="38"/>
        <v>41179.545550520001</v>
      </c>
      <c r="AB109" s="33">
        <f t="shared" si="25"/>
        <v>0</v>
      </c>
      <c r="AC109" s="33">
        <f t="shared" si="26"/>
        <v>0</v>
      </c>
      <c r="AD109" s="33">
        <f t="shared" si="27"/>
        <v>0</v>
      </c>
      <c r="AE109" s="33">
        <f t="shared" si="28"/>
        <v>3431.6287958766666</v>
      </c>
      <c r="AF109" s="33">
        <f t="shared" si="28"/>
        <v>41550.161460474679</v>
      </c>
      <c r="AH109" s="121">
        <f t="shared" si="29"/>
        <v>0</v>
      </c>
      <c r="AI109" s="121">
        <f t="shared" si="30"/>
        <v>0</v>
      </c>
      <c r="AJ109" s="121">
        <f t="shared" si="31"/>
        <v>0</v>
      </c>
      <c r="AK109" s="121">
        <f t="shared" si="32"/>
        <v>408363.82670932333</v>
      </c>
      <c r="AL109" s="121">
        <f t="shared" si="32"/>
        <v>370488.93968923256</v>
      </c>
      <c r="AN109" s="121" cm="1">
        <f t="array" ref="AN109">IF($N109&gt;0,((AN$49=$L109)*((13-$M109)/12)+(AN$49&gt;$L109))*$N109*INDEX($H$31:$N$35,$L109-2020,AN$49-2019)*INDEX($H$39:$N$43,$L109-2020,AN$49-2019)*$F$19,0)</f>
        <v>0</v>
      </c>
      <c r="AO109" s="121" cm="1">
        <f t="array" ref="AO109">IF($N109&gt;0,((AO$49=$L109)*((13-$M109)/12)+(AO$49&gt;$L109))*$N109*INDEX($H$31:$N$35,$L109-2020,AO$49-2019)*INDEX($H$39:$N$43,$L109-2020,AO$49-2019)*$F$19,0)</f>
        <v>0</v>
      </c>
      <c r="AP109" s="121" cm="1">
        <f t="array" ref="AP109">IF($N109&gt;0,((AP$49=$L109)*((13-$M109)/12)+(AP$49&gt;$L109))*$N109*INDEX($H$31:$N$35,$L109-2020,AP$49-2019)*INDEX($H$39:$N$43,$L109-2020,AP$49-2019)*$F$19,0)</f>
        <v>343.16287958766668</v>
      </c>
      <c r="AQ109" s="121" cm="1">
        <f t="array" ref="AQ109">IF($N109&gt;0,((AQ$49=$L109)*((13-$M109)/12)+(AQ$49&gt;$L109))*$N109*INDEX($H$31:$N$35,$L109-2020,AQ$49-2019)*INDEX($H$39:$N$43,$L109-2020,AQ$49-2019)*$F$19,0)</f>
        <v>4244.8699144387028</v>
      </c>
      <c r="AS109" s="114">
        <f t="shared" si="33"/>
        <v>0</v>
      </c>
      <c r="AT109" s="114">
        <f t="shared" si="34"/>
        <v>0</v>
      </c>
      <c r="AU109" s="114">
        <f t="shared" si="35"/>
        <v>23784.619184221177</v>
      </c>
      <c r="AV109" s="114">
        <f t="shared" si="36"/>
        <v>65430.945178442707</v>
      </c>
    </row>
    <row r="110" spans="2:48" x14ac:dyDescent="0.2">
      <c r="B110" s="124">
        <f>'12. Input inv. &lt;= 10 jaar'!B70</f>
        <v>60</v>
      </c>
      <c r="C110" s="113"/>
      <c r="D110" s="113"/>
      <c r="E110" s="113"/>
      <c r="G110" s="113"/>
      <c r="H110" s="123" t="str">
        <f>'12. Input inv. &lt;= 10 jaar'!E70</f>
        <v>Transport</v>
      </c>
      <c r="I110" s="123" t="str">
        <f>'12. Input inv. &lt;= 10 jaar'!F70</f>
        <v>EHS</v>
      </c>
      <c r="J110" s="123" t="str">
        <f>'12. Input inv. &lt;= 10 jaar'!G70</f>
        <v>(Proces)automatisering</v>
      </c>
      <c r="K110" s="123">
        <f>'12. Input inv. &lt;= 10 jaar'!H70</f>
        <v>5</v>
      </c>
      <c r="L110" s="124">
        <f>'12. Input inv. &lt;= 10 jaar'!I70</f>
        <v>2024</v>
      </c>
      <c r="M110" s="123">
        <f>'12. Input inv. &lt;= 10 jaar'!J70</f>
        <v>1</v>
      </c>
      <c r="N110" s="123">
        <f>'12. Input inv. &lt;= 10 jaar'!K70</f>
        <v>38209.89713125</v>
      </c>
      <c r="O110" s="113"/>
      <c r="Q110" s="33">
        <f t="shared" si="21"/>
        <v>7641.97942625</v>
      </c>
      <c r="R110" s="122">
        <f t="shared" si="22"/>
        <v>2029</v>
      </c>
      <c r="S110" s="33">
        <f t="shared" si="23"/>
        <v>7641.97942625</v>
      </c>
      <c r="T110" s="33">
        <f t="shared" si="24"/>
        <v>0</v>
      </c>
      <c r="V110" s="121">
        <f t="shared" si="38"/>
        <v>0</v>
      </c>
      <c r="W110" s="121">
        <f t="shared" si="38"/>
        <v>0</v>
      </c>
      <c r="X110" s="121">
        <f t="shared" si="38"/>
        <v>0</v>
      </c>
      <c r="Y110" s="121">
        <f t="shared" si="38"/>
        <v>7641.97942625</v>
      </c>
      <c r="Z110" s="121">
        <f t="shared" si="38"/>
        <v>7641.97942625</v>
      </c>
      <c r="AB110" s="33">
        <f t="shared" si="25"/>
        <v>0</v>
      </c>
      <c r="AC110" s="33">
        <f t="shared" si="26"/>
        <v>0</v>
      </c>
      <c r="AD110" s="33">
        <f t="shared" si="27"/>
        <v>0</v>
      </c>
      <c r="AE110" s="33">
        <f t="shared" si="28"/>
        <v>7641.97942625</v>
      </c>
      <c r="AF110" s="33">
        <f t="shared" si="28"/>
        <v>7710.7572410862495</v>
      </c>
      <c r="AH110" s="121">
        <f t="shared" si="29"/>
        <v>0</v>
      </c>
      <c r="AI110" s="121">
        <f t="shared" si="30"/>
        <v>0</v>
      </c>
      <c r="AJ110" s="121">
        <f t="shared" si="31"/>
        <v>0</v>
      </c>
      <c r="AK110" s="121">
        <f t="shared" si="32"/>
        <v>30567.917705</v>
      </c>
      <c r="AL110" s="121">
        <f t="shared" si="32"/>
        <v>23132.271723258749</v>
      </c>
      <c r="AN110" s="121" cm="1">
        <f t="array" ref="AN110">IF($N110&gt;0,((AN$49=$L110)*((13-$M110)/12)+(AN$49&gt;$L110))*$N110*INDEX($H$31:$N$35,$L110-2020,AN$49-2019)*INDEX($H$39:$N$43,$L110-2020,AN$49-2019)*$F$19,0)</f>
        <v>0</v>
      </c>
      <c r="AO110" s="121" cm="1">
        <f t="array" ref="AO110">IF($N110&gt;0,((AO$49=$L110)*((13-$M110)/12)+(AO$49&gt;$L110))*$N110*INDEX($H$31:$N$35,$L110-2020,AO$49-2019)*INDEX($H$39:$N$43,$L110-2020,AO$49-2019)*$F$19,0)</f>
        <v>0</v>
      </c>
      <c r="AP110" s="121" cm="1">
        <f t="array" ref="AP110">IF($N110&gt;0,((AP$49=$L110)*((13-$M110)/12)+(AP$49&gt;$L110))*$N110*INDEX($H$31:$N$35,$L110-2020,AP$49-2019)*INDEX($H$39:$N$43,$L110-2020,AP$49-2019)*$F$19,0)</f>
        <v>382.0989713125</v>
      </c>
      <c r="AQ110" s="121" cm="1">
        <f t="array" ref="AQ110">IF($N110&gt;0,((AQ$49=$L110)*((13-$M110)/12)+(AQ$49&gt;$L110))*$N110*INDEX($H$31:$N$35,$L110-2020,AQ$49-2019)*INDEX($H$39:$N$43,$L110-2020,AQ$49-2019)*$F$19,0)</f>
        <v>393.87526160835131</v>
      </c>
      <c r="AS110" s="114">
        <f t="shared" si="33"/>
        <v>0</v>
      </c>
      <c r="AT110" s="114">
        <f t="shared" si="34"/>
        <v>0</v>
      </c>
      <c r="AU110" s="114">
        <f t="shared" si="35"/>
        <v>9521.9063651074994</v>
      </c>
      <c r="AV110" s="114">
        <f t="shared" si="36"/>
        <v>9330.6429040273142</v>
      </c>
    </row>
    <row r="111" spans="2:48" x14ac:dyDescent="0.2">
      <c r="B111" s="124">
        <f>'12. Input inv. &lt;= 10 jaar'!B71</f>
        <v>61</v>
      </c>
      <c r="C111" s="113"/>
      <c r="D111" s="113"/>
      <c r="E111" s="113"/>
      <c r="G111" s="113"/>
      <c r="H111" s="123" t="str">
        <f>'12. Input inv. &lt;= 10 jaar'!E71</f>
        <v>Transport</v>
      </c>
      <c r="I111" s="123" t="str">
        <f>'12. Input inv. &lt;= 10 jaar'!F71</f>
        <v>EHS</v>
      </c>
      <c r="J111" s="123" t="str">
        <f>'12. Input inv. &lt;= 10 jaar'!G71</f>
        <v>(Proces)automatisering</v>
      </c>
      <c r="K111" s="123">
        <f>'12. Input inv. &lt;= 10 jaar'!H71</f>
        <v>5</v>
      </c>
      <c r="L111" s="124">
        <f>'12. Input inv. &lt;= 10 jaar'!I71</f>
        <v>2024</v>
      </c>
      <c r="M111" s="123">
        <f>'12. Input inv. &lt;= 10 jaar'!J71</f>
        <v>7</v>
      </c>
      <c r="N111" s="123">
        <f>'12. Input inv. &lt;= 10 jaar'!K71</f>
        <v>251028.06578278</v>
      </c>
      <c r="O111" s="113"/>
      <c r="Q111" s="33">
        <f t="shared" si="21"/>
        <v>50205.613156555999</v>
      </c>
      <c r="R111" s="122">
        <f t="shared" si="22"/>
        <v>2029</v>
      </c>
      <c r="S111" s="33">
        <f t="shared" si="23"/>
        <v>25102.806578278</v>
      </c>
      <c r="T111" s="33">
        <f t="shared" si="24"/>
        <v>25102.806578278</v>
      </c>
      <c r="V111" s="121">
        <f t="shared" ref="V111:Z120" si="39">((V$49=$L111)*$S111+(V$49&gt;$L111)*(V$49&lt;$R111)*$Q111+(V$49=$R111)*$T111)</f>
        <v>0</v>
      </c>
      <c r="W111" s="121">
        <f t="shared" si="39"/>
        <v>0</v>
      </c>
      <c r="X111" s="121">
        <f t="shared" si="39"/>
        <v>0</v>
      </c>
      <c r="Y111" s="121">
        <f t="shared" si="39"/>
        <v>25102.806578278</v>
      </c>
      <c r="Z111" s="121">
        <f t="shared" si="39"/>
        <v>50205.613156555999</v>
      </c>
      <c r="AB111" s="33">
        <f t="shared" si="25"/>
        <v>0</v>
      </c>
      <c r="AC111" s="33">
        <f t="shared" si="26"/>
        <v>0</v>
      </c>
      <c r="AD111" s="33">
        <f t="shared" si="27"/>
        <v>0</v>
      </c>
      <c r="AE111" s="33">
        <f t="shared" si="28"/>
        <v>25102.806578278</v>
      </c>
      <c r="AF111" s="33">
        <f t="shared" si="28"/>
        <v>50657.463674964994</v>
      </c>
      <c r="AH111" s="121">
        <f t="shared" si="29"/>
        <v>0</v>
      </c>
      <c r="AI111" s="121">
        <f t="shared" si="30"/>
        <v>0</v>
      </c>
      <c r="AJ111" s="121">
        <f t="shared" si="31"/>
        <v>0</v>
      </c>
      <c r="AK111" s="121">
        <f t="shared" si="32"/>
        <v>225925.25920450201</v>
      </c>
      <c r="AL111" s="121">
        <f t="shared" si="32"/>
        <v>177301.12286237752</v>
      </c>
      <c r="AN111" s="121" cm="1">
        <f t="array" ref="AN111">IF($N111&gt;0,((AN$49=$L111)*((13-$M111)/12)+(AN$49&gt;$L111))*$N111*INDEX($H$31:$N$35,$L111-2020,AN$49-2019)*INDEX($H$39:$N$43,$L111-2020,AN$49-2019)*$F$19,0)</f>
        <v>0</v>
      </c>
      <c r="AO111" s="121" cm="1">
        <f t="array" ref="AO111">IF($N111&gt;0,((AO$49=$L111)*((13-$M111)/12)+(AO$49&gt;$L111))*$N111*INDEX($H$31:$N$35,$L111-2020,AO$49-2019)*INDEX($H$39:$N$43,$L111-2020,AO$49-2019)*$F$19,0)</f>
        <v>0</v>
      </c>
      <c r="AP111" s="121" cm="1">
        <f t="array" ref="AP111">IF($N111&gt;0,((AP$49=$L111)*((13-$M111)/12)+(AP$49&gt;$L111))*$N111*INDEX($H$31:$N$35,$L111-2020,AP$49-2019)*INDEX($H$39:$N$43,$L111-2020,AP$49-2019)*$F$19,0)</f>
        <v>1255.1403289139</v>
      </c>
      <c r="AQ111" s="121" cm="1">
        <f t="array" ref="AQ111">IF($N111&gt;0,((AQ$49=$L111)*((13-$M111)/12)+(AQ$49&gt;$L111))*$N111*INDEX($H$31:$N$35,$L111-2020,AQ$49-2019)*INDEX($H$39:$N$43,$L111-2020,AQ$49-2019)*$F$19,0)</f>
        <v>2587.6475077020527</v>
      </c>
      <c r="AS111" s="114">
        <f t="shared" si="33"/>
        <v>0</v>
      </c>
      <c r="AT111" s="114">
        <f t="shared" si="34"/>
        <v>0</v>
      </c>
      <c r="AU111" s="114">
        <f t="shared" si="35"/>
        <v>37428.284608212496</v>
      </c>
      <c r="AV111" s="114">
        <f t="shared" si="36"/>
        <v>62642.070694373055</v>
      </c>
    </row>
    <row r="112" spans="2:48" x14ac:dyDescent="0.2">
      <c r="B112" s="124">
        <f>'12. Input inv. &lt;= 10 jaar'!B72</f>
        <v>62</v>
      </c>
      <c r="C112" s="113"/>
      <c r="D112" s="113"/>
      <c r="E112" s="113"/>
      <c r="G112" s="113"/>
      <c r="H112" s="123" t="str">
        <f>'12. Input inv. &lt;= 10 jaar'!E72</f>
        <v>Transport</v>
      </c>
      <c r="I112" s="123" t="str">
        <f>'12. Input inv. &lt;= 10 jaar'!F72</f>
        <v>EHS</v>
      </c>
      <c r="J112" s="123" t="str">
        <f>'12. Input inv. &lt;= 10 jaar'!G72</f>
        <v>(Proces)automatisering</v>
      </c>
      <c r="K112" s="123">
        <f>'12. Input inv. &lt;= 10 jaar'!H72</f>
        <v>5</v>
      </c>
      <c r="L112" s="124">
        <f>'12. Input inv. &lt;= 10 jaar'!I72</f>
        <v>2024</v>
      </c>
      <c r="M112" s="123">
        <f>'12. Input inv. &lt;= 10 jaar'!J72</f>
        <v>8</v>
      </c>
      <c r="N112" s="123">
        <f>'12. Input inv. &lt;= 10 jaar'!K72</f>
        <v>244561.29355541003</v>
      </c>
      <c r="O112" s="113"/>
      <c r="Q112" s="33">
        <f t="shared" si="21"/>
        <v>48912.258711082002</v>
      </c>
      <c r="R112" s="122">
        <f t="shared" si="22"/>
        <v>2029</v>
      </c>
      <c r="S112" s="33">
        <f t="shared" si="23"/>
        <v>20380.107796284166</v>
      </c>
      <c r="T112" s="33">
        <f t="shared" si="24"/>
        <v>28532.150914794129</v>
      </c>
      <c r="V112" s="121">
        <f t="shared" si="39"/>
        <v>0</v>
      </c>
      <c r="W112" s="121">
        <f t="shared" si="39"/>
        <v>0</v>
      </c>
      <c r="X112" s="121">
        <f t="shared" si="39"/>
        <v>0</v>
      </c>
      <c r="Y112" s="121">
        <f t="shared" si="39"/>
        <v>20380.107796284166</v>
      </c>
      <c r="Z112" s="121">
        <f t="shared" si="39"/>
        <v>48912.258711082002</v>
      </c>
      <c r="AB112" s="33">
        <f t="shared" si="25"/>
        <v>0</v>
      </c>
      <c r="AC112" s="33">
        <f t="shared" si="26"/>
        <v>0</v>
      </c>
      <c r="AD112" s="33">
        <f t="shared" si="27"/>
        <v>0</v>
      </c>
      <c r="AE112" s="33">
        <f t="shared" si="28"/>
        <v>20380.107796284166</v>
      </c>
      <c r="AF112" s="33">
        <f t="shared" si="28"/>
        <v>49352.469039481737</v>
      </c>
      <c r="AH112" s="121">
        <f t="shared" si="29"/>
        <v>0</v>
      </c>
      <c r="AI112" s="121">
        <f t="shared" si="30"/>
        <v>0</v>
      </c>
      <c r="AJ112" s="121">
        <f t="shared" si="31"/>
        <v>0</v>
      </c>
      <c r="AK112" s="121">
        <f t="shared" si="32"/>
        <v>224181.18575912586</v>
      </c>
      <c r="AL112" s="121">
        <f t="shared" si="32"/>
        <v>176846.34739147621</v>
      </c>
      <c r="AN112" s="121" cm="1">
        <f t="array" ref="AN112">IF($N112&gt;0,((AN$49=$L112)*((13-$M112)/12)+(AN$49&gt;$L112))*$N112*INDEX($H$31:$N$35,$L112-2020,AN$49-2019)*INDEX($H$39:$N$43,$L112-2020,AN$49-2019)*$F$19,0)</f>
        <v>0</v>
      </c>
      <c r="AO112" s="121" cm="1">
        <f t="array" ref="AO112">IF($N112&gt;0,((AO$49=$L112)*((13-$M112)/12)+(AO$49&gt;$L112))*$N112*INDEX($H$31:$N$35,$L112-2020,AO$49-2019)*INDEX($H$39:$N$43,$L112-2020,AO$49-2019)*$F$19,0)</f>
        <v>0</v>
      </c>
      <c r="AP112" s="121" cm="1">
        <f t="array" ref="AP112">IF($N112&gt;0,((AP$49=$L112)*((13-$M112)/12)+(AP$49&gt;$L112))*$N112*INDEX($H$31:$N$35,$L112-2020,AP$49-2019)*INDEX($H$39:$N$43,$L112-2020,AP$49-2019)*$F$19,0)</f>
        <v>1019.0053898142085</v>
      </c>
      <c r="AQ112" s="121" cm="1">
        <f t="array" ref="AQ112">IF($N112&gt;0,((AQ$49=$L112)*((13-$M112)/12)+(AQ$49&gt;$L112))*$N112*INDEX($H$31:$N$35,$L112-2020,AQ$49-2019)*INDEX($H$39:$N$43,$L112-2020,AQ$49-2019)*$F$19,0)</f>
        <v>2520.9867262278776</v>
      </c>
      <c r="AS112" s="114">
        <f t="shared" si="33"/>
        <v>0</v>
      </c>
      <c r="AT112" s="114">
        <f t="shared" si="34"/>
        <v>0</v>
      </c>
      <c r="AU112" s="114">
        <f t="shared" si="35"/>
        <v>32383.99128829554</v>
      </c>
      <c r="AV112" s="114">
        <f t="shared" si="36"/>
        <v>61246.312177457854</v>
      </c>
    </row>
    <row r="113" spans="2:48" x14ac:dyDescent="0.2">
      <c r="B113" s="124">
        <f>'12. Input inv. &lt;= 10 jaar'!B73</f>
        <v>63</v>
      </c>
      <c r="C113" s="113"/>
      <c r="D113" s="113"/>
      <c r="E113" s="113"/>
      <c r="G113" s="113"/>
      <c r="H113" s="123" t="str">
        <f>'12. Input inv. &lt;= 10 jaar'!E73</f>
        <v>Transport</v>
      </c>
      <c r="I113" s="123" t="str">
        <f>'12. Input inv. &lt;= 10 jaar'!F73</f>
        <v>EHS</v>
      </c>
      <c r="J113" s="123" t="str">
        <f>'12. Input inv. &lt;= 10 jaar'!G73</f>
        <v>(Proces)automatisering</v>
      </c>
      <c r="K113" s="123">
        <f>'12. Input inv. &lt;= 10 jaar'!H73</f>
        <v>5</v>
      </c>
      <c r="L113" s="124">
        <f>'12. Input inv. &lt;= 10 jaar'!I73</f>
        <v>2024</v>
      </c>
      <c r="M113" s="123">
        <f>'12. Input inv. &lt;= 10 jaar'!J73</f>
        <v>11</v>
      </c>
      <c r="N113" s="123">
        <f>'12. Input inv. &lt;= 10 jaar'!K73</f>
        <v>1368857.9579239499</v>
      </c>
      <c r="O113" s="113"/>
      <c r="Q113" s="33">
        <f t="shared" si="21"/>
        <v>273771.59158478997</v>
      </c>
      <c r="R113" s="122">
        <f t="shared" si="22"/>
        <v>2029</v>
      </c>
      <c r="S113" s="33">
        <f t="shared" si="23"/>
        <v>45628.598597464996</v>
      </c>
      <c r="T113" s="33">
        <f t="shared" si="24"/>
        <v>228142.99298730423</v>
      </c>
      <c r="V113" s="121">
        <f t="shared" si="39"/>
        <v>0</v>
      </c>
      <c r="W113" s="121">
        <f t="shared" si="39"/>
        <v>0</v>
      </c>
      <c r="X113" s="121">
        <f t="shared" si="39"/>
        <v>0</v>
      </c>
      <c r="Y113" s="121">
        <f t="shared" si="39"/>
        <v>45628.598597464996</v>
      </c>
      <c r="Z113" s="121">
        <f t="shared" si="39"/>
        <v>273771.59158478997</v>
      </c>
      <c r="AB113" s="33">
        <f t="shared" si="25"/>
        <v>0</v>
      </c>
      <c r="AC113" s="33">
        <f t="shared" si="26"/>
        <v>0</v>
      </c>
      <c r="AD113" s="33">
        <f t="shared" si="27"/>
        <v>0</v>
      </c>
      <c r="AE113" s="33">
        <f t="shared" si="28"/>
        <v>45628.598597464996</v>
      </c>
      <c r="AF113" s="33">
        <f t="shared" si="28"/>
        <v>276235.53590905305</v>
      </c>
      <c r="AH113" s="121">
        <f t="shared" si="29"/>
        <v>0</v>
      </c>
      <c r="AI113" s="121">
        <f t="shared" si="30"/>
        <v>0</v>
      </c>
      <c r="AJ113" s="121">
        <f t="shared" si="31"/>
        <v>0</v>
      </c>
      <c r="AK113" s="121">
        <f t="shared" si="32"/>
        <v>1323229.3593264848</v>
      </c>
      <c r="AL113" s="121">
        <f t="shared" si="32"/>
        <v>1058902.8876513699</v>
      </c>
      <c r="AN113" s="121" cm="1">
        <f t="array" ref="AN113">IF($N113&gt;0,((AN$49=$L113)*((13-$M113)/12)+(AN$49&gt;$L113))*$N113*INDEX($H$31:$N$35,$L113-2020,AN$49-2019)*INDEX($H$39:$N$43,$L113-2020,AN$49-2019)*$F$19,0)</f>
        <v>0</v>
      </c>
      <c r="AO113" s="121" cm="1">
        <f t="array" ref="AO113">IF($N113&gt;0,((AO$49=$L113)*((13-$M113)/12)+(AO$49&gt;$L113))*$N113*INDEX($H$31:$N$35,$L113-2020,AO$49-2019)*INDEX($H$39:$N$43,$L113-2020,AO$49-2019)*$F$19,0)</f>
        <v>0</v>
      </c>
      <c r="AP113" s="121" cm="1">
        <f t="array" ref="AP113">IF($N113&gt;0,((AP$49=$L113)*((13-$M113)/12)+(AP$49&gt;$L113))*$N113*INDEX($H$31:$N$35,$L113-2020,AP$49-2019)*INDEX($H$39:$N$43,$L113-2020,AP$49-2019)*$F$19,0)</f>
        <v>2281.4299298732499</v>
      </c>
      <c r="AQ113" s="121" cm="1">
        <f t="array" ref="AQ113">IF($N113&gt;0,((AQ$49=$L113)*((13-$M113)/12)+(AQ$49&gt;$L113))*$N113*INDEX($H$31:$N$35,$L113-2020,AQ$49-2019)*INDEX($H$39:$N$43,$L113-2020,AQ$49-2019)*$F$19,0)</f>
        <v>14110.461601871662</v>
      </c>
      <c r="AS113" s="114">
        <f t="shared" si="33"/>
        <v>0</v>
      </c>
      <c r="AT113" s="114">
        <f t="shared" si="34"/>
        <v>0</v>
      </c>
      <c r="AU113" s="114">
        <f t="shared" si="35"/>
        <v>112748.26713433601</v>
      </c>
      <c r="AV113" s="114">
        <f t="shared" si="36"/>
        <v>346467.85055644729</v>
      </c>
    </row>
    <row r="114" spans="2:48" x14ac:dyDescent="0.2">
      <c r="B114" s="124">
        <f>'12. Input inv. &lt;= 10 jaar'!B74</f>
        <v>64</v>
      </c>
      <c r="C114" s="113"/>
      <c r="D114" s="113"/>
      <c r="E114" s="113"/>
      <c r="G114" s="113"/>
      <c r="H114" s="123" t="str">
        <f>'12. Input inv. &lt;= 10 jaar'!E74</f>
        <v>Transport</v>
      </c>
      <c r="I114" s="123" t="str">
        <f>'12. Input inv. &lt;= 10 jaar'!F74</f>
        <v>EHS</v>
      </c>
      <c r="J114" s="123" t="str">
        <f>'12. Input inv. &lt;= 10 jaar'!G74</f>
        <v>(Proces)automatisering</v>
      </c>
      <c r="K114" s="123">
        <f>'12. Input inv. &lt;= 10 jaar'!H74</f>
        <v>5</v>
      </c>
      <c r="L114" s="124">
        <f>'12. Input inv. &lt;= 10 jaar'!I74</f>
        <v>2024</v>
      </c>
      <c r="M114" s="123">
        <f>'12. Input inv. &lt;= 10 jaar'!J74</f>
        <v>12</v>
      </c>
      <c r="N114" s="123">
        <f>'12. Input inv. &lt;= 10 jaar'!K74</f>
        <v>6153811.9168610303</v>
      </c>
      <c r="O114" s="113"/>
      <c r="Q114" s="33">
        <f t="shared" si="21"/>
        <v>1230762.383372206</v>
      </c>
      <c r="R114" s="122">
        <f t="shared" si="22"/>
        <v>2029</v>
      </c>
      <c r="S114" s="33">
        <f t="shared" si="23"/>
        <v>102563.53194768383</v>
      </c>
      <c r="T114" s="33">
        <f t="shared" si="24"/>
        <v>1128198.8514246154</v>
      </c>
      <c r="V114" s="121">
        <f t="shared" si="39"/>
        <v>0</v>
      </c>
      <c r="W114" s="121">
        <f t="shared" si="39"/>
        <v>0</v>
      </c>
      <c r="X114" s="121">
        <f t="shared" si="39"/>
        <v>0</v>
      </c>
      <c r="Y114" s="121">
        <f t="shared" si="39"/>
        <v>102563.53194768383</v>
      </c>
      <c r="Z114" s="121">
        <f t="shared" si="39"/>
        <v>1230762.383372206</v>
      </c>
      <c r="AB114" s="33">
        <f t="shared" si="25"/>
        <v>0</v>
      </c>
      <c r="AC114" s="33">
        <f t="shared" si="26"/>
        <v>0</v>
      </c>
      <c r="AD114" s="33">
        <f t="shared" si="27"/>
        <v>0</v>
      </c>
      <c r="AE114" s="33">
        <f t="shared" si="28"/>
        <v>102563.53194768383</v>
      </c>
      <c r="AF114" s="33">
        <f t="shared" si="28"/>
        <v>1241839.2448225557</v>
      </c>
      <c r="AH114" s="121">
        <f t="shared" si="29"/>
        <v>0</v>
      </c>
      <c r="AI114" s="121">
        <f t="shared" si="30"/>
        <v>0</v>
      </c>
      <c r="AJ114" s="121">
        <f t="shared" si="31"/>
        <v>0</v>
      </c>
      <c r="AK114" s="121">
        <f t="shared" si="32"/>
        <v>6051248.3849133467</v>
      </c>
      <c r="AL114" s="121">
        <f t="shared" si="32"/>
        <v>4863870.3755550105</v>
      </c>
      <c r="AN114" s="121" cm="1">
        <f t="array" ref="AN114">IF($N114&gt;0,((AN$49=$L114)*((13-$M114)/12)+(AN$49&gt;$L114))*$N114*INDEX($H$31:$N$35,$L114-2020,AN$49-2019)*INDEX($H$39:$N$43,$L114-2020,AN$49-2019)*$F$19,0)</f>
        <v>0</v>
      </c>
      <c r="AO114" s="121" cm="1">
        <f t="array" ref="AO114">IF($N114&gt;0,((AO$49=$L114)*((13-$M114)/12)+(AO$49&gt;$L114))*$N114*INDEX($H$31:$N$35,$L114-2020,AO$49-2019)*INDEX($H$39:$N$43,$L114-2020,AO$49-2019)*$F$19,0)</f>
        <v>0</v>
      </c>
      <c r="AP114" s="121" cm="1">
        <f t="array" ref="AP114">IF($N114&gt;0,((AP$49=$L114)*((13-$M114)/12)+(AP$49&gt;$L114))*$N114*INDEX($H$31:$N$35,$L114-2020,AP$49-2019)*INDEX($H$39:$N$43,$L114-2020,AP$49-2019)*$F$19,0)</f>
        <v>5128.1765973841921</v>
      </c>
      <c r="AQ114" s="121" cm="1">
        <f t="array" ref="AQ114">IF($N114&gt;0,((AQ$49=$L114)*((13-$M114)/12)+(AQ$49&gt;$L114))*$N114*INDEX($H$31:$N$35,$L114-2020,AQ$49-2019)*INDEX($H$39:$N$43,$L114-2020,AQ$49-2019)*$F$19,0)</f>
        <v>63434.724001386872</v>
      </c>
      <c r="AS114" s="114">
        <f t="shared" si="33"/>
        <v>0</v>
      </c>
      <c r="AT114" s="114">
        <f t="shared" si="34"/>
        <v>0</v>
      </c>
      <c r="AU114" s="114">
        <f t="shared" si="35"/>
        <v>404202.87940582202</v>
      </c>
      <c r="AV114" s="114">
        <f t="shared" si="36"/>
        <v>1563059.098728358</v>
      </c>
    </row>
    <row r="115" spans="2:48" x14ac:dyDescent="0.2">
      <c r="B115" s="124">
        <f>'12. Input inv. &lt;= 10 jaar'!B75</f>
        <v>65</v>
      </c>
      <c r="C115" s="113"/>
      <c r="D115" s="113"/>
      <c r="E115" s="113"/>
      <c r="G115" s="113"/>
      <c r="H115" s="123" t="str">
        <f>'12. Input inv. &lt;= 10 jaar'!E75</f>
        <v>Systeem</v>
      </c>
      <c r="I115" s="123" t="str">
        <f>'12. Input inv. &lt;= 10 jaar'!F75</f>
        <v>EHS</v>
      </c>
      <c r="J115" s="123" t="str">
        <f>'12. Input inv. &lt;= 10 jaar'!G75</f>
        <v>(Proces)automatisering</v>
      </c>
      <c r="K115" s="123">
        <f>'12. Input inv. &lt;= 10 jaar'!H75</f>
        <v>5</v>
      </c>
      <c r="L115" s="124">
        <f>'12. Input inv. &lt;= 10 jaar'!I75</f>
        <v>2024</v>
      </c>
      <c r="M115" s="123">
        <f>'12. Input inv. &lt;= 10 jaar'!J75</f>
        <v>4</v>
      </c>
      <c r="N115" s="123">
        <f>'12. Input inv. &lt;= 10 jaar'!K75</f>
        <v>528274.14022053999</v>
      </c>
      <c r="O115" s="113"/>
      <c r="Q115" s="33">
        <f t="shared" ref="Q115:Q141" si="40">IF(K115&gt;0,N115/K115,0)</f>
        <v>105654.828044108</v>
      </c>
      <c r="R115" s="122">
        <f t="shared" ref="R115:R141" si="41">ROUNDDOWN(L115+K115+(M115-1)/12,0)</f>
        <v>2029</v>
      </c>
      <c r="S115" s="33">
        <f t="shared" ref="S115:S141" si="42">Q115*(13-M115)/12</f>
        <v>79241.121033080999</v>
      </c>
      <c r="T115" s="33">
        <f t="shared" ref="T115:T141" si="43">Q115*(L115+K115+(M115-1)/12-R115)</f>
        <v>26413.707011027</v>
      </c>
      <c r="V115" s="121">
        <f t="shared" si="39"/>
        <v>0</v>
      </c>
      <c r="W115" s="121">
        <f t="shared" si="39"/>
        <v>0</v>
      </c>
      <c r="X115" s="121">
        <f t="shared" si="39"/>
        <v>0</v>
      </c>
      <c r="Y115" s="121">
        <f t="shared" si="39"/>
        <v>79241.121033080999</v>
      </c>
      <c r="Z115" s="121">
        <f t="shared" si="39"/>
        <v>105654.828044108</v>
      </c>
      <c r="AB115" s="33">
        <f t="shared" ref="AB115:AB141" si="44">POWER((1+$F$25),(AB$49-$L115))*V115</f>
        <v>0</v>
      </c>
      <c r="AC115" s="33">
        <f t="shared" ref="AC115:AC141" si="45">POWER((1+$F$25),(AC$49-$L115))*W115</f>
        <v>0</v>
      </c>
      <c r="AD115" s="33">
        <f t="shared" ref="AD115:AD141" si="46">POWER((1+$F$25),(AD$49-$L115))*X115</f>
        <v>0</v>
      </c>
      <c r="AE115" s="33">
        <f t="shared" ref="AE115:AE141" si="47">POWER((1+$F$25),(AE$49-$L115))*Y115</f>
        <v>79241.121033080999</v>
      </c>
      <c r="AF115" s="33">
        <f t="shared" ref="AF115:AF141" si="48">POWER((1+$F$25),(AF$49-$L115))*Z115</f>
        <v>106605.72149650496</v>
      </c>
      <c r="AH115" s="121">
        <f t="shared" ref="AH115:AH141" si="49">(AH$49=$L115)*($N115-AB115)+(AH$49&gt;$L115)*(AG115*(1+$F$25)-AB115)</f>
        <v>0</v>
      </c>
      <c r="AI115" s="121">
        <f t="shared" ref="AI115:AI141" si="50">(AI$49=$L115)*($N115-AC115)+(AI$49&gt;$L115)*(AH115*(1+$F$25)-AC115)</f>
        <v>0</v>
      </c>
      <c r="AJ115" s="121">
        <f t="shared" ref="AJ115:AJ141" si="51">(AJ$49=$L115)*($N115-AD115)+(AJ$49&gt;$L115)*(AI115*(1+$F$25)-AD115)</f>
        <v>0</v>
      </c>
      <c r="AK115" s="121">
        <f t="shared" ref="AK115:AK141" si="52">(AK$49=$L115)*($N115-AE115)+(AK$49&gt;$L115)*(AJ115*(1+$F$25)-AE115)</f>
        <v>449033.01918745902</v>
      </c>
      <c r="AL115" s="121">
        <f t="shared" ref="AL115:AL141" si="53">(AL$49=$L115)*($N115-AF115)+(AL$49&gt;$L115)*(AK115*(1+$F$25)-AF115)</f>
        <v>346468.59486364113</v>
      </c>
      <c r="AN115" s="121" cm="1">
        <f t="array" ref="AN115">IF($N115&gt;0,((AN$49=$L115)*((13-$M115)/12)+(AN$49&gt;$L115))*$N115*INDEX($H$31:$N$35,$L115-2020,AN$49-2019)*INDEX($H$39:$N$43,$L115-2020,AN$49-2019)*$F$19,0)</f>
        <v>0</v>
      </c>
      <c r="AO115" s="121" cm="1">
        <f t="array" ref="AO115">IF($N115&gt;0,((AO$49=$L115)*((13-$M115)/12)+(AO$49&gt;$L115))*$N115*INDEX($H$31:$N$35,$L115-2020,AO$49-2019)*INDEX($H$39:$N$43,$L115-2020,AO$49-2019)*$F$19,0)</f>
        <v>0</v>
      </c>
      <c r="AP115" s="121" cm="1">
        <f t="array" ref="AP115">IF($N115&gt;0,((AP$49=$L115)*((13-$M115)/12)+(AP$49&gt;$L115))*$N115*INDEX($H$31:$N$35,$L115-2020,AP$49-2019)*INDEX($H$39:$N$43,$L115-2020,AP$49-2019)*$F$19,0)</f>
        <v>3962.05605165405</v>
      </c>
      <c r="AQ115" s="121" cm="1">
        <f t="array" ref="AQ115">IF($N115&gt;0,((AQ$49=$L115)*((13-$M115)/12)+(AQ$49&gt;$L115))*$N115*INDEX($H$31:$N$35,$L115-2020,AQ$49-2019)*INDEX($H$39:$N$43,$L115-2020,AQ$49-2019)*$F$19,0)</f>
        <v>5445.5554922213696</v>
      </c>
      <c r="AS115" s="114">
        <f t="shared" ref="AS115:AS141" si="54">AC115+AI115*J$16+AN115</f>
        <v>0</v>
      </c>
      <c r="AT115" s="114">
        <f t="shared" ref="AT115:AT141" si="55">AD115+AJ115*K$16+AO115</f>
        <v>0</v>
      </c>
      <c r="AU115" s="114">
        <f t="shared" ref="AU115:AU141" si="56">AE115+AK115*L$16+AP115</f>
        <v>105205.79502492055</v>
      </c>
      <c r="AV115" s="114">
        <f t="shared" ref="AV115:AV141" si="57">AF115+AL115*M$16+AQ115</f>
        <v>130414.11251649931</v>
      </c>
    </row>
    <row r="116" spans="2:48" x14ac:dyDescent="0.2">
      <c r="B116" s="124">
        <f>'12. Input inv. &lt;= 10 jaar'!B76</f>
        <v>66</v>
      </c>
      <c r="C116" s="113"/>
      <c r="D116" s="113"/>
      <c r="E116" s="113"/>
      <c r="G116" s="113"/>
      <c r="H116" s="123" t="str">
        <f>'12. Input inv. &lt;= 10 jaar'!E76</f>
        <v>Transport</v>
      </c>
      <c r="I116" s="123" t="str">
        <f>'12. Input inv. &lt;= 10 jaar'!F76</f>
        <v>EHS</v>
      </c>
      <c r="J116" s="123" t="str">
        <f>'12. Input inv. &lt;= 10 jaar'!G76</f>
        <v>(Proces)automatisering</v>
      </c>
      <c r="K116" s="123">
        <f>'12. Input inv. &lt;= 10 jaar'!H76</f>
        <v>5</v>
      </c>
      <c r="L116" s="124">
        <f>'12. Input inv. &lt;= 10 jaar'!I76</f>
        <v>2024</v>
      </c>
      <c r="M116" s="123">
        <f>'12. Input inv. &lt;= 10 jaar'!J76</f>
        <v>4</v>
      </c>
      <c r="N116" s="123">
        <f>'12. Input inv. &lt;= 10 jaar'!K76</f>
        <v>807883.44925379008</v>
      </c>
      <c r="O116" s="113"/>
      <c r="Q116" s="33">
        <f t="shared" si="40"/>
        <v>161576.689850758</v>
      </c>
      <c r="R116" s="122">
        <f t="shared" si="41"/>
        <v>2029</v>
      </c>
      <c r="S116" s="33">
        <f t="shared" si="42"/>
        <v>121182.5173880685</v>
      </c>
      <c r="T116" s="33">
        <f t="shared" si="43"/>
        <v>40394.172462689501</v>
      </c>
      <c r="V116" s="121">
        <f t="shared" si="39"/>
        <v>0</v>
      </c>
      <c r="W116" s="121">
        <f t="shared" si="39"/>
        <v>0</v>
      </c>
      <c r="X116" s="121">
        <f t="shared" si="39"/>
        <v>0</v>
      </c>
      <c r="Y116" s="121">
        <f t="shared" si="39"/>
        <v>121182.5173880685</v>
      </c>
      <c r="Z116" s="121">
        <f t="shared" si="39"/>
        <v>161576.689850758</v>
      </c>
      <c r="AB116" s="33">
        <f t="shared" si="44"/>
        <v>0</v>
      </c>
      <c r="AC116" s="33">
        <f t="shared" si="45"/>
        <v>0</v>
      </c>
      <c r="AD116" s="33">
        <f t="shared" si="46"/>
        <v>0</v>
      </c>
      <c r="AE116" s="33">
        <f t="shared" si="47"/>
        <v>121182.5173880685</v>
      </c>
      <c r="AF116" s="33">
        <f t="shared" si="48"/>
        <v>163030.88005941481</v>
      </c>
      <c r="AH116" s="121">
        <f t="shared" si="49"/>
        <v>0</v>
      </c>
      <c r="AI116" s="121">
        <f t="shared" si="50"/>
        <v>0</v>
      </c>
      <c r="AJ116" s="121">
        <f t="shared" si="51"/>
        <v>0</v>
      </c>
      <c r="AK116" s="121">
        <f t="shared" si="52"/>
        <v>686700.93186572159</v>
      </c>
      <c r="AL116" s="121">
        <f t="shared" si="53"/>
        <v>529850.3601930982</v>
      </c>
      <c r="AN116" s="121" cm="1">
        <f t="array" ref="AN116">IF($N116&gt;0,((AN$49=$L116)*((13-$M116)/12)+(AN$49&gt;$L116))*$N116*INDEX($H$31:$N$35,$L116-2020,AN$49-2019)*INDEX($H$39:$N$43,$L116-2020,AN$49-2019)*$F$19,0)</f>
        <v>0</v>
      </c>
      <c r="AO116" s="121" cm="1">
        <f t="array" ref="AO116">IF($N116&gt;0,((AO$49=$L116)*((13-$M116)/12)+(AO$49&gt;$L116))*$N116*INDEX($H$31:$N$35,$L116-2020,AO$49-2019)*INDEX($H$39:$N$43,$L116-2020,AO$49-2019)*$F$19,0)</f>
        <v>0</v>
      </c>
      <c r="AP116" s="121" cm="1">
        <f t="array" ref="AP116">IF($N116&gt;0,((AP$49=$L116)*((13-$M116)/12)+(AP$49&gt;$L116))*$N116*INDEX($H$31:$N$35,$L116-2020,AP$49-2019)*INDEX($H$39:$N$43,$L116-2020,AP$49-2019)*$F$19,0)</f>
        <v>6059.1258694034259</v>
      </c>
      <c r="AQ116" s="121" cm="1">
        <f t="array" ref="AQ116">IF($N116&gt;0,((AQ$49=$L116)*((13-$M116)/12)+(AQ$49&gt;$L116))*$N116*INDEX($H$31:$N$35,$L116-2020,AQ$49-2019)*INDEX($H$39:$N$43,$L116-2020,AQ$49-2019)*$F$19,0)</f>
        <v>8327.8241715979202</v>
      </c>
      <c r="AS116" s="114">
        <f t="shared" si="54"/>
        <v>0</v>
      </c>
      <c r="AT116" s="114">
        <f t="shared" si="55"/>
        <v>0</v>
      </c>
      <c r="AU116" s="114">
        <f t="shared" si="56"/>
        <v>160889.98891889228</v>
      </c>
      <c r="AV116" s="114">
        <f t="shared" si="57"/>
        <v>199440.77332124693</v>
      </c>
    </row>
    <row r="117" spans="2:48" x14ac:dyDescent="0.2">
      <c r="B117" s="124">
        <f>'12. Input inv. &lt;= 10 jaar'!B77</f>
        <v>67</v>
      </c>
      <c r="C117" s="113"/>
      <c r="D117" s="113"/>
      <c r="E117" s="113"/>
      <c r="G117" s="113"/>
      <c r="H117" s="123" t="str">
        <f>'12. Input inv. &lt;= 10 jaar'!E77</f>
        <v>Transport</v>
      </c>
      <c r="I117" s="123" t="str">
        <f>'12. Input inv. &lt;= 10 jaar'!F77</f>
        <v>HS</v>
      </c>
      <c r="J117" s="123" t="str">
        <f>'12. Input inv. &lt;= 10 jaar'!G77</f>
        <v>(Proces)automatisering</v>
      </c>
      <c r="K117" s="123">
        <f>'12. Input inv. &lt;= 10 jaar'!H77</f>
        <v>5</v>
      </c>
      <c r="L117" s="124">
        <f>'12. Input inv. &lt;= 10 jaar'!I77</f>
        <v>2024</v>
      </c>
      <c r="M117" s="123">
        <f>'12. Input inv. &lt;= 10 jaar'!J77</f>
        <v>4</v>
      </c>
      <c r="N117" s="123">
        <f>'12. Input inv. &lt;= 10 jaar'!K77</f>
        <v>2423654.8376739998</v>
      </c>
      <c r="O117" s="113"/>
      <c r="Q117" s="33">
        <f t="shared" si="40"/>
        <v>484730.96753479994</v>
      </c>
      <c r="R117" s="122">
        <f t="shared" si="41"/>
        <v>2029</v>
      </c>
      <c r="S117" s="33">
        <f t="shared" si="42"/>
        <v>363548.22565109999</v>
      </c>
      <c r="T117" s="33">
        <f t="shared" si="43"/>
        <v>121182.74188369999</v>
      </c>
      <c r="V117" s="121">
        <f t="shared" si="39"/>
        <v>0</v>
      </c>
      <c r="W117" s="121">
        <f t="shared" si="39"/>
        <v>0</v>
      </c>
      <c r="X117" s="121">
        <f t="shared" si="39"/>
        <v>0</v>
      </c>
      <c r="Y117" s="121">
        <f t="shared" si="39"/>
        <v>363548.22565109999</v>
      </c>
      <c r="Z117" s="121">
        <f t="shared" si="39"/>
        <v>484730.96753479994</v>
      </c>
      <c r="AB117" s="33">
        <f t="shared" si="44"/>
        <v>0</v>
      </c>
      <c r="AC117" s="33">
        <f t="shared" si="45"/>
        <v>0</v>
      </c>
      <c r="AD117" s="33">
        <f t="shared" si="46"/>
        <v>0</v>
      </c>
      <c r="AE117" s="33">
        <f t="shared" si="47"/>
        <v>363548.22565109999</v>
      </c>
      <c r="AF117" s="33">
        <f t="shared" si="48"/>
        <v>489093.54624261311</v>
      </c>
      <c r="AH117" s="121">
        <f t="shared" si="49"/>
        <v>0</v>
      </c>
      <c r="AI117" s="121">
        <f t="shared" si="50"/>
        <v>0</v>
      </c>
      <c r="AJ117" s="121">
        <f t="shared" si="51"/>
        <v>0</v>
      </c>
      <c r="AK117" s="121">
        <f t="shared" si="52"/>
        <v>2060106.6120228998</v>
      </c>
      <c r="AL117" s="121">
        <f t="shared" si="53"/>
        <v>1589554.0252884927</v>
      </c>
      <c r="AN117" s="121" cm="1">
        <f t="array" ref="AN117">IF($N117&gt;0,((AN$49=$L117)*((13-$M117)/12)+(AN$49&gt;$L117))*$N117*INDEX($H$31:$N$35,$L117-2020,AN$49-2019)*INDEX($H$39:$N$43,$L117-2020,AN$49-2019)*$F$19,0)</f>
        <v>0</v>
      </c>
      <c r="AO117" s="121" cm="1">
        <f t="array" ref="AO117">IF($N117&gt;0,((AO$49=$L117)*((13-$M117)/12)+(AO$49&gt;$L117))*$N117*INDEX($H$31:$N$35,$L117-2020,AO$49-2019)*INDEX($H$39:$N$43,$L117-2020,AO$49-2019)*$F$19,0)</f>
        <v>0</v>
      </c>
      <c r="AP117" s="121" cm="1">
        <f t="array" ref="AP117">IF($N117&gt;0,((AP$49=$L117)*((13-$M117)/12)+(AP$49&gt;$L117))*$N117*INDEX($H$31:$N$35,$L117-2020,AP$49-2019)*INDEX($H$39:$N$43,$L117-2020,AP$49-2019)*$F$19,0)</f>
        <v>18177.411282555</v>
      </c>
      <c r="AQ117" s="121" cm="1">
        <f t="array" ref="AQ117">IF($N117&gt;0,((AQ$49=$L117)*((13-$M117)/12)+(AQ$49&gt;$L117))*$N117*INDEX($H$31:$N$35,$L117-2020,AQ$49-2019)*INDEX($H$39:$N$43,$L117-2020,AQ$49-2019)*$F$19,0)</f>
        <v>24983.518797711124</v>
      </c>
      <c r="AS117" s="114">
        <f t="shared" si="54"/>
        <v>0</v>
      </c>
      <c r="AT117" s="114">
        <f t="shared" si="55"/>
        <v>0</v>
      </c>
      <c r="AU117" s="114">
        <f t="shared" si="56"/>
        <v>482670.86092277709</v>
      </c>
      <c r="AV117" s="114">
        <f t="shared" si="57"/>
        <v>598323.42838061438</v>
      </c>
    </row>
    <row r="118" spans="2:48" x14ac:dyDescent="0.2">
      <c r="B118" s="124">
        <f>'12. Input inv. &lt;= 10 jaar'!B78</f>
        <v>68</v>
      </c>
      <c r="C118" s="113"/>
      <c r="D118" s="113"/>
      <c r="E118" s="113"/>
      <c r="G118" s="113"/>
      <c r="H118" s="123" t="str">
        <f>'12. Input inv. &lt;= 10 jaar'!E78</f>
        <v>Transport</v>
      </c>
      <c r="I118" s="123" t="str">
        <f>'12. Input inv. &lt;= 10 jaar'!F78</f>
        <v>HS</v>
      </c>
      <c r="J118" s="123" t="str">
        <f>'12. Input inv. &lt;= 10 jaar'!G78</f>
        <v>(Proces)automatisering</v>
      </c>
      <c r="K118" s="123">
        <f>'12. Input inv. &lt;= 10 jaar'!H78</f>
        <v>5</v>
      </c>
      <c r="L118" s="124">
        <f>'12. Input inv. &lt;= 10 jaar'!I78</f>
        <v>2024</v>
      </c>
      <c r="M118" s="123">
        <f>'12. Input inv. &lt;= 10 jaar'!J78</f>
        <v>6</v>
      </c>
      <c r="N118" s="123">
        <f>'12. Input inv. &lt;= 10 jaar'!K78</f>
        <v>3053951.8056599996</v>
      </c>
      <c r="O118" s="113"/>
      <c r="Q118" s="33">
        <f t="shared" si="40"/>
        <v>610790.36113199987</v>
      </c>
      <c r="R118" s="122">
        <f t="shared" si="41"/>
        <v>2029</v>
      </c>
      <c r="S118" s="33">
        <f t="shared" si="42"/>
        <v>356294.37732699997</v>
      </c>
      <c r="T118" s="33">
        <f t="shared" si="43"/>
        <v>254495.98380504624</v>
      </c>
      <c r="V118" s="121">
        <f t="shared" si="39"/>
        <v>0</v>
      </c>
      <c r="W118" s="121">
        <f t="shared" si="39"/>
        <v>0</v>
      </c>
      <c r="X118" s="121">
        <f t="shared" si="39"/>
        <v>0</v>
      </c>
      <c r="Y118" s="121">
        <f t="shared" si="39"/>
        <v>356294.37732699997</v>
      </c>
      <c r="Z118" s="121">
        <f t="shared" si="39"/>
        <v>610790.36113199987</v>
      </c>
      <c r="AB118" s="33">
        <f t="shared" si="44"/>
        <v>0</v>
      </c>
      <c r="AC118" s="33">
        <f t="shared" si="45"/>
        <v>0</v>
      </c>
      <c r="AD118" s="33">
        <f t="shared" si="46"/>
        <v>0</v>
      </c>
      <c r="AE118" s="33">
        <f t="shared" si="47"/>
        <v>356294.37732699997</v>
      </c>
      <c r="AF118" s="33">
        <f t="shared" si="48"/>
        <v>616287.47438218782</v>
      </c>
      <c r="AH118" s="121">
        <f t="shared" si="49"/>
        <v>0</v>
      </c>
      <c r="AI118" s="121">
        <f t="shared" si="50"/>
        <v>0</v>
      </c>
      <c r="AJ118" s="121">
        <f t="shared" si="51"/>
        <v>0</v>
      </c>
      <c r="AK118" s="121">
        <f t="shared" si="52"/>
        <v>2697657.4283329998</v>
      </c>
      <c r="AL118" s="121">
        <f t="shared" si="53"/>
        <v>2105648.8708058088</v>
      </c>
      <c r="AN118" s="121" cm="1">
        <f t="array" ref="AN118">IF($N118&gt;0,((AN$49=$L118)*((13-$M118)/12)+(AN$49&gt;$L118))*$N118*INDEX($H$31:$N$35,$L118-2020,AN$49-2019)*INDEX($H$39:$N$43,$L118-2020,AN$49-2019)*$F$19,0)</f>
        <v>0</v>
      </c>
      <c r="AO118" s="121" cm="1">
        <f t="array" ref="AO118">IF($N118&gt;0,((AO$49=$L118)*((13-$M118)/12)+(AO$49&gt;$L118))*$N118*INDEX($H$31:$N$35,$L118-2020,AO$49-2019)*INDEX($H$39:$N$43,$L118-2020,AO$49-2019)*$F$19,0)</f>
        <v>0</v>
      </c>
      <c r="AP118" s="121" cm="1">
        <f t="array" ref="AP118">IF($N118&gt;0,((AP$49=$L118)*((13-$M118)/12)+(AP$49&gt;$L118))*$N118*INDEX($H$31:$N$35,$L118-2020,AP$49-2019)*INDEX($H$39:$N$43,$L118-2020,AP$49-2019)*$F$19,0)</f>
        <v>17814.718866349998</v>
      </c>
      <c r="AQ118" s="121" cm="1">
        <f t="array" ref="AQ118">IF($N118&gt;0,((AQ$49=$L118)*((13-$M118)/12)+(AQ$49&gt;$L118))*$N118*INDEX($H$31:$N$35,$L118-2020,AQ$49-2019)*INDEX($H$39:$N$43,$L118-2020,AQ$49-2019)*$F$19,0)</f>
        <v>31480.746003104407</v>
      </c>
      <c r="AS118" s="114">
        <f t="shared" si="54"/>
        <v>0</v>
      </c>
      <c r="AT118" s="114">
        <f t="shared" si="55"/>
        <v>0</v>
      </c>
      <c r="AU118" s="114">
        <f t="shared" si="56"/>
        <v>506294.31018166698</v>
      </c>
      <c r="AV118" s="114">
        <f t="shared" si="57"/>
        <v>759367.61053800001</v>
      </c>
    </row>
    <row r="119" spans="2:48" x14ac:dyDescent="0.2">
      <c r="B119" s="124">
        <f>'12. Input inv. &lt;= 10 jaar'!B79</f>
        <v>69</v>
      </c>
      <c r="C119" s="113"/>
      <c r="D119" s="113"/>
      <c r="E119" s="113"/>
      <c r="G119" s="113"/>
      <c r="H119" s="123" t="str">
        <f>'12. Input inv. &lt;= 10 jaar'!E79</f>
        <v>Transport</v>
      </c>
      <c r="I119" s="123" t="str">
        <f>'12. Input inv. &lt;= 10 jaar'!F79</f>
        <v>HS</v>
      </c>
      <c r="J119" s="123" t="str">
        <f>'12. Input inv. &lt;= 10 jaar'!G79</f>
        <v>Overige bedrijfsmiddelen</v>
      </c>
      <c r="K119" s="123">
        <f>'12. Input inv. &lt;= 10 jaar'!H79</f>
        <v>10</v>
      </c>
      <c r="L119" s="124">
        <f>'12. Input inv. &lt;= 10 jaar'!I79</f>
        <v>2024</v>
      </c>
      <c r="M119" s="123">
        <f>'12. Input inv. &lt;= 10 jaar'!J79</f>
        <v>12</v>
      </c>
      <c r="N119" s="123">
        <f>'12. Input inv. &lt;= 10 jaar'!K79</f>
        <v>1235388.6551199998</v>
      </c>
      <c r="O119" s="113"/>
      <c r="Q119" s="33">
        <f t="shared" si="40"/>
        <v>123538.86551199997</v>
      </c>
      <c r="R119" s="122">
        <f t="shared" si="41"/>
        <v>2034</v>
      </c>
      <c r="S119" s="33">
        <f t="shared" si="42"/>
        <v>10294.905459333331</v>
      </c>
      <c r="T119" s="33">
        <f t="shared" si="43"/>
        <v>113243.960052676</v>
      </c>
      <c r="V119" s="121">
        <f t="shared" si="39"/>
        <v>0</v>
      </c>
      <c r="W119" s="121">
        <f t="shared" si="39"/>
        <v>0</v>
      </c>
      <c r="X119" s="121">
        <f t="shared" si="39"/>
        <v>0</v>
      </c>
      <c r="Y119" s="121">
        <f t="shared" si="39"/>
        <v>10294.905459333331</v>
      </c>
      <c r="Z119" s="121">
        <f t="shared" si="39"/>
        <v>123538.86551199997</v>
      </c>
      <c r="AB119" s="33">
        <f t="shared" si="44"/>
        <v>0</v>
      </c>
      <c r="AC119" s="33">
        <f t="shared" si="45"/>
        <v>0</v>
      </c>
      <c r="AD119" s="33">
        <f t="shared" si="46"/>
        <v>0</v>
      </c>
      <c r="AE119" s="33">
        <f t="shared" si="47"/>
        <v>10294.905459333331</v>
      </c>
      <c r="AF119" s="33">
        <f t="shared" si="48"/>
        <v>124650.71530160797</v>
      </c>
      <c r="AH119" s="121">
        <f t="shared" si="49"/>
        <v>0</v>
      </c>
      <c r="AI119" s="121">
        <f t="shared" si="50"/>
        <v>0</v>
      </c>
      <c r="AJ119" s="121">
        <f t="shared" si="51"/>
        <v>0</v>
      </c>
      <c r="AK119" s="121">
        <f t="shared" si="52"/>
        <v>1225093.7496606663</v>
      </c>
      <c r="AL119" s="121">
        <f t="shared" si="53"/>
        <v>1111468.8781060043</v>
      </c>
      <c r="AN119" s="121" cm="1">
        <f t="array" ref="AN119">IF($N119&gt;0,((AN$49=$L119)*((13-$M119)/12)+(AN$49&gt;$L119))*$N119*INDEX($H$31:$N$35,$L119-2020,AN$49-2019)*INDEX($H$39:$N$43,$L119-2020,AN$49-2019)*$F$19,0)</f>
        <v>0</v>
      </c>
      <c r="AO119" s="121" cm="1">
        <f t="array" ref="AO119">IF($N119&gt;0,((AO$49=$L119)*((13-$M119)/12)+(AO$49&gt;$L119))*$N119*INDEX($H$31:$N$35,$L119-2020,AO$49-2019)*INDEX($H$39:$N$43,$L119-2020,AO$49-2019)*$F$19,0)</f>
        <v>0</v>
      </c>
      <c r="AP119" s="121" cm="1">
        <f t="array" ref="AP119">IF($N119&gt;0,((AP$49=$L119)*((13-$M119)/12)+(AP$49&gt;$L119))*$N119*INDEX($H$31:$N$35,$L119-2020,AP$49-2019)*INDEX($H$39:$N$43,$L119-2020,AP$49-2019)*$F$19,0)</f>
        <v>1029.4905459333331</v>
      </c>
      <c r="AQ119" s="121" cm="1">
        <f t="array" ref="AQ119">IF($N119&gt;0,((AQ$49=$L119)*((13-$M119)/12)+(AQ$49&gt;$L119))*$N119*INDEX($H$31:$N$35,$L119-2020,AQ$49-2019)*INDEX($H$39:$N$43,$L119-2020,AQ$49-2019)*$F$19,0)</f>
        <v>12734.633334707984</v>
      </c>
      <c r="AS119" s="114">
        <f t="shared" si="54"/>
        <v>0</v>
      </c>
      <c r="AT119" s="114">
        <f t="shared" si="55"/>
        <v>0</v>
      </c>
      <c r="AU119" s="114">
        <f t="shared" si="56"/>
        <v>71353.989738639328</v>
      </c>
      <c r="AV119" s="114">
        <f t="shared" si="57"/>
        <v>196293.19917593419</v>
      </c>
    </row>
    <row r="120" spans="2:48" x14ac:dyDescent="0.2">
      <c r="B120" s="124">
        <f>'12. Input inv. &lt;= 10 jaar'!B80</f>
        <v>70</v>
      </c>
      <c r="C120" s="113"/>
      <c r="D120" s="113"/>
      <c r="E120" s="113"/>
      <c r="G120" s="113"/>
      <c r="H120" s="123" t="str">
        <f>'12. Input inv. &lt;= 10 jaar'!E80</f>
        <v>Transport</v>
      </c>
      <c r="I120" s="123" t="str">
        <f>'12. Input inv. &lt;= 10 jaar'!F80</f>
        <v>HS</v>
      </c>
      <c r="J120" s="123" t="str">
        <f>'12. Input inv. &lt;= 10 jaar'!G80</f>
        <v>(Proces)automatisering</v>
      </c>
      <c r="K120" s="123">
        <f>'12. Input inv. &lt;= 10 jaar'!H80</f>
        <v>5</v>
      </c>
      <c r="L120" s="124">
        <f>'12. Input inv. &lt;= 10 jaar'!I80</f>
        <v>2024</v>
      </c>
      <c r="M120" s="123">
        <f>'12. Input inv. &lt;= 10 jaar'!J80</f>
        <v>1</v>
      </c>
      <c r="N120" s="123">
        <f>'12. Input inv. &lt;= 10 jaar'!K80</f>
        <v>114629.90374999998</v>
      </c>
      <c r="O120" s="113"/>
      <c r="Q120" s="33">
        <f t="shared" si="40"/>
        <v>22925.980749999995</v>
      </c>
      <c r="R120" s="122">
        <f t="shared" si="41"/>
        <v>2029</v>
      </c>
      <c r="S120" s="33">
        <f t="shared" si="42"/>
        <v>22925.980749999999</v>
      </c>
      <c r="T120" s="33">
        <f t="shared" si="43"/>
        <v>0</v>
      </c>
      <c r="V120" s="121">
        <f t="shared" si="39"/>
        <v>0</v>
      </c>
      <c r="W120" s="121">
        <f t="shared" si="39"/>
        <v>0</v>
      </c>
      <c r="X120" s="121">
        <f t="shared" si="39"/>
        <v>0</v>
      </c>
      <c r="Y120" s="121">
        <f t="shared" si="39"/>
        <v>22925.980749999999</v>
      </c>
      <c r="Z120" s="121">
        <f t="shared" si="39"/>
        <v>22925.980749999995</v>
      </c>
      <c r="AB120" s="33">
        <f t="shared" si="44"/>
        <v>0</v>
      </c>
      <c r="AC120" s="33">
        <f t="shared" si="45"/>
        <v>0</v>
      </c>
      <c r="AD120" s="33">
        <f t="shared" si="46"/>
        <v>0</v>
      </c>
      <c r="AE120" s="33">
        <f t="shared" si="47"/>
        <v>22925.980749999999</v>
      </c>
      <c r="AF120" s="33">
        <f t="shared" si="48"/>
        <v>23132.314576749992</v>
      </c>
      <c r="AH120" s="121">
        <f t="shared" si="49"/>
        <v>0</v>
      </c>
      <c r="AI120" s="121">
        <f t="shared" si="50"/>
        <v>0</v>
      </c>
      <c r="AJ120" s="121">
        <f t="shared" si="51"/>
        <v>0</v>
      </c>
      <c r="AK120" s="121">
        <f t="shared" si="52"/>
        <v>91703.922999999981</v>
      </c>
      <c r="AL120" s="121">
        <f t="shared" si="53"/>
        <v>69396.943730249972</v>
      </c>
      <c r="AN120" s="121" cm="1">
        <f t="array" ref="AN120">IF($N120&gt;0,((AN$49=$L120)*((13-$M120)/12)+(AN$49&gt;$L120))*$N120*INDEX($H$31:$N$35,$L120-2020,AN$49-2019)*INDEX($H$39:$N$43,$L120-2020,AN$49-2019)*$F$19,0)</f>
        <v>0</v>
      </c>
      <c r="AO120" s="121" cm="1">
        <f t="array" ref="AO120">IF($N120&gt;0,((AO$49=$L120)*((13-$M120)/12)+(AO$49&gt;$L120))*$N120*INDEX($H$31:$N$35,$L120-2020,AO$49-2019)*INDEX($H$39:$N$43,$L120-2020,AO$49-2019)*$F$19,0)</f>
        <v>0</v>
      </c>
      <c r="AP120" s="121" cm="1">
        <f t="array" ref="AP120">IF($N120&gt;0,((AP$49=$L120)*((13-$M120)/12)+(AP$49&gt;$L120))*$N120*INDEX($H$31:$N$35,$L120-2020,AP$49-2019)*INDEX($H$39:$N$43,$L120-2020,AP$49-2019)*$F$19,0)</f>
        <v>1146.2990374999999</v>
      </c>
      <c r="AQ120" s="121" cm="1">
        <f t="array" ref="AQ120">IF($N120&gt;0,((AQ$49=$L120)*((13-$M120)/12)+(AQ$49&gt;$L120))*$N120*INDEX($H$31:$N$35,$L120-2020,AQ$49-2019)*INDEX($H$39:$N$43,$L120-2020,AQ$49-2019)*$F$19,0)</f>
        <v>1181.6279738357498</v>
      </c>
      <c r="AS120" s="114">
        <f t="shared" si="54"/>
        <v>0</v>
      </c>
      <c r="AT120" s="114">
        <f t="shared" si="55"/>
        <v>0</v>
      </c>
      <c r="AU120" s="114">
        <f t="shared" si="56"/>
        <v>28565.772014499998</v>
      </c>
      <c r="AV120" s="114">
        <f t="shared" si="57"/>
        <v>27991.980568288993</v>
      </c>
    </row>
    <row r="121" spans="2:48" x14ac:dyDescent="0.2">
      <c r="B121" s="124">
        <f>'12. Input inv. &lt;= 10 jaar'!B81</f>
        <v>71</v>
      </c>
      <c r="C121" s="113"/>
      <c r="D121" s="113"/>
      <c r="E121" s="113"/>
      <c r="G121" s="113"/>
      <c r="H121" s="123" t="str">
        <f>'12. Input inv. &lt;= 10 jaar'!E81</f>
        <v>Transport</v>
      </c>
      <c r="I121" s="123" t="str">
        <f>'12. Input inv. &lt;= 10 jaar'!F81</f>
        <v>HS</v>
      </c>
      <c r="J121" s="123" t="str">
        <f>'12. Input inv. &lt;= 10 jaar'!G81</f>
        <v>(Proces)automatisering</v>
      </c>
      <c r="K121" s="123">
        <f>'12. Input inv. &lt;= 10 jaar'!H81</f>
        <v>5</v>
      </c>
      <c r="L121" s="124">
        <f>'12. Input inv. &lt;= 10 jaar'!I81</f>
        <v>2024</v>
      </c>
      <c r="M121" s="123">
        <f>'12. Input inv. &lt;= 10 jaar'!J81</f>
        <v>7</v>
      </c>
      <c r="N121" s="123">
        <f>'12. Input inv. &lt;= 10 jaar'!K81</f>
        <v>753085.59246800002</v>
      </c>
      <c r="O121" s="113"/>
      <c r="Q121" s="33">
        <f t="shared" si="40"/>
        <v>150617.11849359999</v>
      </c>
      <c r="R121" s="122">
        <f t="shared" si="41"/>
        <v>2029</v>
      </c>
      <c r="S121" s="33">
        <f t="shared" si="42"/>
        <v>75308.559246799996</v>
      </c>
      <c r="T121" s="33">
        <f t="shared" si="43"/>
        <v>75308.559246799996</v>
      </c>
      <c r="V121" s="121">
        <f t="shared" ref="V121:Z130" si="58">((V$49=$L121)*$S121+(V$49&gt;$L121)*(V$49&lt;$R121)*$Q121+(V$49=$R121)*$T121)</f>
        <v>0</v>
      </c>
      <c r="W121" s="121">
        <f t="shared" si="58"/>
        <v>0</v>
      </c>
      <c r="X121" s="121">
        <f t="shared" si="58"/>
        <v>0</v>
      </c>
      <c r="Y121" s="121">
        <f t="shared" si="58"/>
        <v>75308.559246799996</v>
      </c>
      <c r="Z121" s="121">
        <f t="shared" si="58"/>
        <v>150617.11849359999</v>
      </c>
      <c r="AB121" s="33">
        <f t="shared" si="44"/>
        <v>0</v>
      </c>
      <c r="AC121" s="33">
        <f t="shared" si="45"/>
        <v>0</v>
      </c>
      <c r="AD121" s="33">
        <f t="shared" si="46"/>
        <v>0</v>
      </c>
      <c r="AE121" s="33">
        <f t="shared" si="47"/>
        <v>75308.559246799996</v>
      </c>
      <c r="AF121" s="33">
        <f t="shared" si="48"/>
        <v>151972.67256004238</v>
      </c>
      <c r="AH121" s="121">
        <f t="shared" si="49"/>
        <v>0</v>
      </c>
      <c r="AI121" s="121">
        <f t="shared" si="50"/>
        <v>0</v>
      </c>
      <c r="AJ121" s="121">
        <f t="shared" si="51"/>
        <v>0</v>
      </c>
      <c r="AK121" s="121">
        <f t="shared" si="52"/>
        <v>677777.03322119999</v>
      </c>
      <c r="AL121" s="121">
        <f t="shared" si="53"/>
        <v>531904.35396014841</v>
      </c>
      <c r="AN121" s="121" cm="1">
        <f t="array" ref="AN121">IF($N121&gt;0,((AN$49=$L121)*((13-$M121)/12)+(AN$49&gt;$L121))*$N121*INDEX($H$31:$N$35,$L121-2020,AN$49-2019)*INDEX($H$39:$N$43,$L121-2020,AN$49-2019)*$F$19,0)</f>
        <v>0</v>
      </c>
      <c r="AO121" s="121" cm="1">
        <f t="array" ref="AO121">IF($N121&gt;0,((AO$49=$L121)*((13-$M121)/12)+(AO$49&gt;$L121))*$N121*INDEX($H$31:$N$35,$L121-2020,AO$49-2019)*INDEX($H$39:$N$43,$L121-2020,AO$49-2019)*$F$19,0)</f>
        <v>0</v>
      </c>
      <c r="AP121" s="121" cm="1">
        <f t="array" ref="AP121">IF($N121&gt;0,((AP$49=$L121)*((13-$M121)/12)+(AP$49&gt;$L121))*$N121*INDEX($H$31:$N$35,$L121-2020,AP$49-2019)*INDEX($H$39:$N$43,$L121-2020,AP$49-2019)*$F$19,0)</f>
        <v>3765.4279623400002</v>
      </c>
      <c r="AQ121" s="121" cm="1">
        <f t="array" ref="AQ121">IF($N121&gt;0,((AQ$49=$L121)*((13-$M121)/12)+(AQ$49&gt;$L121))*$N121*INDEX($H$31:$N$35,$L121-2020,AQ$49-2019)*INDEX($H$39:$N$43,$L121-2020,AQ$49-2019)*$F$19,0)</f>
        <v>7762.9569042786388</v>
      </c>
      <c r="AS121" s="114">
        <f t="shared" si="54"/>
        <v>0</v>
      </c>
      <c r="AT121" s="114">
        <f t="shared" si="55"/>
        <v>0</v>
      </c>
      <c r="AU121" s="114">
        <f t="shared" si="56"/>
        <v>112285.0618369788</v>
      </c>
      <c r="AV121" s="114">
        <f t="shared" si="57"/>
        <v>187926.56022420889</v>
      </c>
    </row>
    <row r="122" spans="2:48" x14ac:dyDescent="0.2">
      <c r="B122" s="124">
        <f>'12. Input inv. &lt;= 10 jaar'!B82</f>
        <v>72</v>
      </c>
      <c r="C122" s="113"/>
      <c r="D122" s="113"/>
      <c r="E122" s="113"/>
      <c r="G122" s="113"/>
      <c r="H122" s="123" t="str">
        <f>'12. Input inv. &lt;= 10 jaar'!E82</f>
        <v>Transport</v>
      </c>
      <c r="I122" s="123" t="str">
        <f>'12. Input inv. &lt;= 10 jaar'!F82</f>
        <v>HS</v>
      </c>
      <c r="J122" s="123" t="str">
        <f>'12. Input inv. &lt;= 10 jaar'!G82</f>
        <v>(Proces)automatisering</v>
      </c>
      <c r="K122" s="123">
        <f>'12. Input inv. &lt;= 10 jaar'!H82</f>
        <v>5</v>
      </c>
      <c r="L122" s="124">
        <f>'12. Input inv. &lt;= 10 jaar'!I82</f>
        <v>2024</v>
      </c>
      <c r="M122" s="123">
        <f>'12. Input inv. &lt;= 10 jaar'!J82</f>
        <v>8</v>
      </c>
      <c r="N122" s="123">
        <f>'12. Input inv. &lt;= 10 jaar'!K82</f>
        <v>733685.23984599998</v>
      </c>
      <c r="O122" s="113"/>
      <c r="Q122" s="33">
        <f t="shared" si="40"/>
        <v>146737.04796920001</v>
      </c>
      <c r="R122" s="122">
        <f t="shared" si="41"/>
        <v>2029</v>
      </c>
      <c r="S122" s="33">
        <f t="shared" si="42"/>
        <v>61140.436653833334</v>
      </c>
      <c r="T122" s="33">
        <f t="shared" si="43"/>
        <v>85596.611315355549</v>
      </c>
      <c r="V122" s="121">
        <f t="shared" si="58"/>
        <v>0</v>
      </c>
      <c r="W122" s="121">
        <f t="shared" si="58"/>
        <v>0</v>
      </c>
      <c r="X122" s="121">
        <f t="shared" si="58"/>
        <v>0</v>
      </c>
      <c r="Y122" s="121">
        <f t="shared" si="58"/>
        <v>61140.436653833334</v>
      </c>
      <c r="Z122" s="121">
        <f t="shared" si="58"/>
        <v>146737.04796920001</v>
      </c>
      <c r="AB122" s="33">
        <f t="shared" si="44"/>
        <v>0</v>
      </c>
      <c r="AC122" s="33">
        <f t="shared" si="45"/>
        <v>0</v>
      </c>
      <c r="AD122" s="33">
        <f t="shared" si="46"/>
        <v>0</v>
      </c>
      <c r="AE122" s="33">
        <f t="shared" si="47"/>
        <v>61140.436653833334</v>
      </c>
      <c r="AF122" s="33">
        <f t="shared" si="48"/>
        <v>148057.6814009228</v>
      </c>
      <c r="AH122" s="121">
        <f t="shared" si="49"/>
        <v>0</v>
      </c>
      <c r="AI122" s="121">
        <f t="shared" si="50"/>
        <v>0</v>
      </c>
      <c r="AJ122" s="121">
        <f t="shared" si="51"/>
        <v>0</v>
      </c>
      <c r="AK122" s="121">
        <f t="shared" si="52"/>
        <v>672544.80319216661</v>
      </c>
      <c r="AL122" s="121">
        <f t="shared" si="53"/>
        <v>530540.02501997317</v>
      </c>
      <c r="AN122" s="121" cm="1">
        <f t="array" ref="AN122">IF($N122&gt;0,((AN$49=$L122)*((13-$M122)/12)+(AN$49&gt;$L122))*$N122*INDEX($H$31:$N$35,$L122-2020,AN$49-2019)*INDEX($H$39:$N$43,$L122-2020,AN$49-2019)*$F$19,0)</f>
        <v>0</v>
      </c>
      <c r="AO122" s="121" cm="1">
        <f t="array" ref="AO122">IF($N122&gt;0,((AO$49=$L122)*((13-$M122)/12)+(AO$49&gt;$L122))*$N122*INDEX($H$31:$N$35,$L122-2020,AO$49-2019)*INDEX($H$39:$N$43,$L122-2020,AO$49-2019)*$F$19,0)</f>
        <v>0</v>
      </c>
      <c r="AP122" s="121" cm="1">
        <f t="array" ref="AP122">IF($N122&gt;0,((AP$49=$L122)*((13-$M122)/12)+(AP$49&gt;$L122))*$N122*INDEX($H$31:$N$35,$L122-2020,AP$49-2019)*INDEX($H$39:$N$43,$L122-2020,AP$49-2019)*$F$19,0)</f>
        <v>3057.021832691667</v>
      </c>
      <c r="AQ122" s="121" cm="1">
        <f t="array" ref="AQ122">IF($N122&gt;0,((AQ$49=$L122)*((13-$M122)/12)+(AQ$49&gt;$L122))*$N122*INDEX($H$31:$N$35,$L122-2020,AQ$49-2019)*INDEX($H$39:$N$43,$L122-2020,AQ$49-2019)*$F$19,0)</f>
        <v>7562.9741893805367</v>
      </c>
      <c r="AS122" s="114">
        <f t="shared" si="54"/>
        <v>0</v>
      </c>
      <c r="AT122" s="114">
        <f t="shared" si="55"/>
        <v>0</v>
      </c>
      <c r="AU122" s="114">
        <f t="shared" si="56"/>
        <v>97152.153842941174</v>
      </c>
      <c r="AV122" s="114">
        <f t="shared" si="57"/>
        <v>183739.27691636191</v>
      </c>
    </row>
    <row r="123" spans="2:48" x14ac:dyDescent="0.2">
      <c r="B123" s="124">
        <f>'12. Input inv. &lt;= 10 jaar'!B83</f>
        <v>73</v>
      </c>
      <c r="C123" s="113"/>
      <c r="D123" s="113"/>
      <c r="E123" s="113"/>
      <c r="G123" s="113"/>
      <c r="H123" s="123" t="str">
        <f>'12. Input inv. &lt;= 10 jaar'!E83</f>
        <v>Transport</v>
      </c>
      <c r="I123" s="123" t="str">
        <f>'12. Input inv. &lt;= 10 jaar'!F83</f>
        <v>HS</v>
      </c>
      <c r="J123" s="123" t="str">
        <f>'12. Input inv. &lt;= 10 jaar'!G83</f>
        <v>(Proces)automatisering</v>
      </c>
      <c r="K123" s="123">
        <f>'12. Input inv. &lt;= 10 jaar'!H83</f>
        <v>5</v>
      </c>
      <c r="L123" s="124">
        <f>'12. Input inv. &lt;= 10 jaar'!I83</f>
        <v>2024</v>
      </c>
      <c r="M123" s="123">
        <f>'12. Input inv. &lt;= 10 jaar'!J83</f>
        <v>11</v>
      </c>
      <c r="N123" s="123">
        <f>'12. Input inv. &lt;= 10 jaar'!K83</f>
        <v>4106581.4813699992</v>
      </c>
      <c r="O123" s="113"/>
      <c r="Q123" s="33">
        <f t="shared" si="40"/>
        <v>821316.29627399985</v>
      </c>
      <c r="R123" s="122">
        <f t="shared" si="41"/>
        <v>2029</v>
      </c>
      <c r="S123" s="33">
        <f t="shared" si="42"/>
        <v>136886.04937899997</v>
      </c>
      <c r="T123" s="33">
        <f t="shared" si="43"/>
        <v>684430.24689493759</v>
      </c>
      <c r="V123" s="121">
        <f t="shared" si="58"/>
        <v>0</v>
      </c>
      <c r="W123" s="121">
        <f t="shared" si="58"/>
        <v>0</v>
      </c>
      <c r="X123" s="121">
        <f t="shared" si="58"/>
        <v>0</v>
      </c>
      <c r="Y123" s="121">
        <f t="shared" si="58"/>
        <v>136886.04937899997</v>
      </c>
      <c r="Z123" s="121">
        <f t="shared" si="58"/>
        <v>821316.29627399985</v>
      </c>
      <c r="AB123" s="33">
        <f t="shared" si="44"/>
        <v>0</v>
      </c>
      <c r="AC123" s="33">
        <f t="shared" si="45"/>
        <v>0</v>
      </c>
      <c r="AD123" s="33">
        <f t="shared" si="46"/>
        <v>0</v>
      </c>
      <c r="AE123" s="33">
        <f t="shared" si="47"/>
        <v>136886.04937899997</v>
      </c>
      <c r="AF123" s="33">
        <f t="shared" si="48"/>
        <v>828708.14294046571</v>
      </c>
      <c r="AH123" s="121">
        <f t="shared" si="49"/>
        <v>0</v>
      </c>
      <c r="AI123" s="121">
        <f t="shared" si="50"/>
        <v>0</v>
      </c>
      <c r="AJ123" s="121">
        <f t="shared" si="51"/>
        <v>0</v>
      </c>
      <c r="AK123" s="121">
        <f t="shared" si="52"/>
        <v>3969695.4319909993</v>
      </c>
      <c r="AL123" s="121">
        <f t="shared" si="53"/>
        <v>3176714.5479384521</v>
      </c>
      <c r="AN123" s="121" cm="1">
        <f t="array" ref="AN123">IF($N123&gt;0,((AN$49=$L123)*((13-$M123)/12)+(AN$49&gt;$L123))*$N123*INDEX($H$31:$N$35,$L123-2020,AN$49-2019)*INDEX($H$39:$N$43,$L123-2020,AN$49-2019)*$F$19,0)</f>
        <v>0</v>
      </c>
      <c r="AO123" s="121" cm="1">
        <f t="array" ref="AO123">IF($N123&gt;0,((AO$49=$L123)*((13-$M123)/12)+(AO$49&gt;$L123))*$N123*INDEX($H$31:$N$35,$L123-2020,AO$49-2019)*INDEX($H$39:$N$43,$L123-2020,AO$49-2019)*$F$19,0)</f>
        <v>0</v>
      </c>
      <c r="AP123" s="121" cm="1">
        <f t="array" ref="AP123">IF($N123&gt;0,((AP$49=$L123)*((13-$M123)/12)+(AP$49&gt;$L123))*$N123*INDEX($H$31:$N$35,$L123-2020,AP$49-2019)*INDEX($H$39:$N$43,$L123-2020,AP$49-2019)*$F$19,0)</f>
        <v>6844.3024689499989</v>
      </c>
      <c r="AQ123" s="121" cm="1">
        <f t="array" ref="AQ123">IF($N123&gt;0,((AQ$49=$L123)*((13-$M123)/12)+(AQ$49&gt;$L123))*$N123*INDEX($H$31:$N$35,$L123-2020,AQ$49-2019)*INDEX($H$39:$N$43,$L123-2020,AQ$49-2019)*$F$19,0)</f>
        <v>42331.463226258231</v>
      </c>
      <c r="AS123" s="114">
        <f t="shared" si="54"/>
        <v>0</v>
      </c>
      <c r="AT123" s="114">
        <f t="shared" si="55"/>
        <v>0</v>
      </c>
      <c r="AU123" s="114">
        <f t="shared" si="56"/>
        <v>338245.42801550892</v>
      </c>
      <c r="AV123" s="114">
        <f t="shared" si="57"/>
        <v>1039405.4772074618</v>
      </c>
    </row>
    <row r="124" spans="2:48" x14ac:dyDescent="0.2">
      <c r="B124" s="124">
        <f>'12. Input inv. &lt;= 10 jaar'!B84</f>
        <v>74</v>
      </c>
      <c r="C124" s="113"/>
      <c r="D124" s="113"/>
      <c r="E124" s="113"/>
      <c r="G124" s="113"/>
      <c r="H124" s="123" t="str">
        <f>'12. Input inv. &lt;= 10 jaar'!E84</f>
        <v>Transport</v>
      </c>
      <c r="I124" s="123" t="str">
        <f>'12. Input inv. &lt;= 10 jaar'!F84</f>
        <v>HS</v>
      </c>
      <c r="J124" s="123" t="str">
        <f>'12. Input inv. &lt;= 10 jaar'!G84</f>
        <v>(Proces)automatisering</v>
      </c>
      <c r="K124" s="123">
        <f>'12. Input inv. &lt;= 10 jaar'!H84</f>
        <v>5</v>
      </c>
      <c r="L124" s="124">
        <f>'12. Input inv. &lt;= 10 jaar'!I84</f>
        <v>2024</v>
      </c>
      <c r="M124" s="123">
        <f>'12. Input inv. &lt;= 10 jaar'!J84</f>
        <v>12</v>
      </c>
      <c r="N124" s="123">
        <f>'12. Input inv. &lt;= 10 jaar'!K84</f>
        <v>18461466.297710437</v>
      </c>
      <c r="O124" s="113"/>
      <c r="Q124" s="33">
        <f t="shared" si="40"/>
        <v>3692293.2595420876</v>
      </c>
      <c r="R124" s="122">
        <f t="shared" si="41"/>
        <v>2029</v>
      </c>
      <c r="S124" s="33">
        <f t="shared" si="42"/>
        <v>307691.10496184061</v>
      </c>
      <c r="T124" s="33">
        <f t="shared" si="43"/>
        <v>3384602.154580527</v>
      </c>
      <c r="V124" s="121">
        <f t="shared" si="58"/>
        <v>0</v>
      </c>
      <c r="W124" s="121">
        <f t="shared" si="58"/>
        <v>0</v>
      </c>
      <c r="X124" s="121">
        <f t="shared" si="58"/>
        <v>0</v>
      </c>
      <c r="Y124" s="121">
        <f t="shared" si="58"/>
        <v>307691.10496184061</v>
      </c>
      <c r="Z124" s="121">
        <f t="shared" si="58"/>
        <v>3692293.2595420876</v>
      </c>
      <c r="AB124" s="33">
        <f t="shared" si="44"/>
        <v>0</v>
      </c>
      <c r="AC124" s="33">
        <f t="shared" si="45"/>
        <v>0</v>
      </c>
      <c r="AD124" s="33">
        <f t="shared" si="46"/>
        <v>0</v>
      </c>
      <c r="AE124" s="33">
        <f t="shared" si="47"/>
        <v>307691.10496184061</v>
      </c>
      <c r="AF124" s="33">
        <f t="shared" si="48"/>
        <v>3725523.8988779658</v>
      </c>
      <c r="AH124" s="121">
        <f t="shared" si="49"/>
        <v>0</v>
      </c>
      <c r="AI124" s="121">
        <f t="shared" si="50"/>
        <v>0</v>
      </c>
      <c r="AJ124" s="121">
        <f t="shared" si="51"/>
        <v>0</v>
      </c>
      <c r="AK124" s="121">
        <f t="shared" si="52"/>
        <v>18153775.192748595</v>
      </c>
      <c r="AL124" s="121">
        <f t="shared" si="53"/>
        <v>14591635.270605365</v>
      </c>
      <c r="AN124" s="121" cm="1">
        <f t="array" ref="AN124">IF($N124&gt;0,((AN$49=$L124)*((13-$M124)/12)+(AN$49&gt;$L124))*$N124*INDEX($H$31:$N$35,$L124-2020,AN$49-2019)*INDEX($H$39:$N$43,$L124-2020,AN$49-2019)*$F$19,0)</f>
        <v>0</v>
      </c>
      <c r="AO124" s="121" cm="1">
        <f t="array" ref="AO124">IF($N124&gt;0,((AO$49=$L124)*((13-$M124)/12)+(AO$49&gt;$L124))*$N124*INDEX($H$31:$N$35,$L124-2020,AO$49-2019)*INDEX($H$39:$N$43,$L124-2020,AO$49-2019)*$F$19,0)</f>
        <v>0</v>
      </c>
      <c r="AP124" s="121" cm="1">
        <f t="array" ref="AP124">IF($N124&gt;0,((AP$49=$L124)*((13-$M124)/12)+(AP$49&gt;$L124))*$N124*INDEX($H$31:$N$35,$L124-2020,AP$49-2019)*INDEX($H$39:$N$43,$L124-2020,AP$49-2019)*$F$19,0)</f>
        <v>15384.555248092031</v>
      </c>
      <c r="AQ124" s="121" cm="1">
        <f t="array" ref="AQ124">IF($N124&gt;0,((AQ$49=$L124)*((13-$M124)/12)+(AQ$49&gt;$L124))*$N124*INDEX($H$31:$N$35,$L124-2020,AQ$49-2019)*INDEX($H$39:$N$43,$L124-2020,AQ$49-2019)*$F$19,0)</f>
        <v>190304.4868900587</v>
      </c>
      <c r="AS124" s="114">
        <f t="shared" si="54"/>
        <v>0</v>
      </c>
      <c r="AT124" s="114">
        <f t="shared" si="55"/>
        <v>0</v>
      </c>
      <c r="AU124" s="114">
        <f t="shared" si="56"/>
        <v>1212610.6446546137</v>
      </c>
      <c r="AV124" s="114">
        <f t="shared" si="57"/>
        <v>4689185.055110109</v>
      </c>
    </row>
    <row r="125" spans="2:48" x14ac:dyDescent="0.2">
      <c r="B125" s="124">
        <f>'12. Input inv. &lt;= 10 jaar'!B85</f>
        <v>85</v>
      </c>
      <c r="C125" s="113"/>
      <c r="D125" s="113"/>
      <c r="E125" s="113"/>
      <c r="G125" s="113"/>
      <c r="H125" s="123" t="str">
        <f>'12. Input inv. &lt;= 10 jaar'!E85</f>
        <v>Systeem</v>
      </c>
      <c r="I125" s="123" t="str">
        <f>'12. Input inv. &lt;= 10 jaar'!F85</f>
        <v>EHS</v>
      </c>
      <c r="J125" s="123" t="str">
        <f>'12. Input inv. &lt;= 10 jaar'!G85</f>
        <v>(Proces)automatisering</v>
      </c>
      <c r="K125" s="123">
        <f>'12. Input inv. &lt;= 10 jaar'!H85</f>
        <v>5</v>
      </c>
      <c r="L125" s="124">
        <f>'12. Input inv. &lt;= 10 jaar'!I85</f>
        <v>2025</v>
      </c>
      <c r="M125" s="123">
        <f>'12. Input inv. &lt;= 10 jaar'!J85</f>
        <v>7</v>
      </c>
      <c r="N125" s="123">
        <f>'12. Input inv. &lt;= 10 jaar'!K85</f>
        <v>4892614</v>
      </c>
      <c r="O125" s="113"/>
      <c r="Q125" s="33">
        <f t="shared" si="40"/>
        <v>978522.8</v>
      </c>
      <c r="R125" s="122">
        <f t="shared" si="41"/>
        <v>2030</v>
      </c>
      <c r="S125" s="33">
        <f t="shared" si="42"/>
        <v>489261.40000000008</v>
      </c>
      <c r="T125" s="33">
        <f t="shared" si="43"/>
        <v>489261.4</v>
      </c>
      <c r="V125" s="121">
        <f t="shared" si="58"/>
        <v>0</v>
      </c>
      <c r="W125" s="121">
        <f t="shared" si="58"/>
        <v>0</v>
      </c>
      <c r="X125" s="121">
        <f t="shared" si="58"/>
        <v>0</v>
      </c>
      <c r="Y125" s="121">
        <f t="shared" si="58"/>
        <v>0</v>
      </c>
      <c r="Z125" s="121">
        <f t="shared" si="58"/>
        <v>489261.40000000008</v>
      </c>
      <c r="AB125" s="33">
        <f t="shared" si="44"/>
        <v>0</v>
      </c>
      <c r="AC125" s="33">
        <f t="shared" si="45"/>
        <v>0</v>
      </c>
      <c r="AD125" s="33">
        <f t="shared" si="46"/>
        <v>0</v>
      </c>
      <c r="AE125" s="33">
        <f t="shared" si="47"/>
        <v>0</v>
      </c>
      <c r="AF125" s="33">
        <f t="shared" si="48"/>
        <v>489261.40000000008</v>
      </c>
      <c r="AH125" s="121">
        <f t="shared" si="49"/>
        <v>0</v>
      </c>
      <c r="AI125" s="121">
        <f t="shared" si="50"/>
        <v>0</v>
      </c>
      <c r="AJ125" s="121">
        <f t="shared" si="51"/>
        <v>0</v>
      </c>
      <c r="AK125" s="121">
        <f t="shared" si="52"/>
        <v>0</v>
      </c>
      <c r="AL125" s="121">
        <f t="shared" si="53"/>
        <v>4403352.5999999996</v>
      </c>
      <c r="AN125" s="121" cm="1">
        <f t="array" ref="AN125">IF($N125&gt;0,((AN$49=$L125)*((13-$M125)/12)+(AN$49&gt;$L125))*$N125*INDEX($H$31:$N$35,$L125-2020,AN$49-2019)*INDEX($H$39:$N$43,$L125-2020,AN$49-2019)*$F$19,0)</f>
        <v>0</v>
      </c>
      <c r="AO125" s="121" cm="1">
        <f t="array" ref="AO125">IF($N125&gt;0,((AO$49=$L125)*((13-$M125)/12)+(AO$49&gt;$L125))*$N125*INDEX($H$31:$N$35,$L125-2020,AO$49-2019)*INDEX($H$39:$N$43,$L125-2020,AO$49-2019)*$F$19,0)</f>
        <v>0</v>
      </c>
      <c r="AP125" s="121" cm="1">
        <f t="array" ref="AP125">IF($N125&gt;0,((AP$49=$L125)*((13-$M125)/12)+(AP$49&gt;$L125))*$N125*INDEX($H$31:$N$35,$L125-2020,AP$49-2019)*INDEX($H$39:$N$43,$L125-2020,AP$49-2019)*$F$19,0)</f>
        <v>0</v>
      </c>
      <c r="AQ125" s="121" cm="1">
        <f t="array" ref="AQ125">IF($N125&gt;0,((AQ$49=$L125)*((13-$M125)/12)+(AQ$49&gt;$L125))*$N125*INDEX($H$31:$N$35,$L125-2020,AQ$49-2019)*INDEX($H$39:$N$43,$L125-2020,AQ$49-2019)*$F$19,0)</f>
        <v>24463.07</v>
      </c>
      <c r="AS125" s="114">
        <f t="shared" si="54"/>
        <v>0</v>
      </c>
      <c r="AT125" s="114">
        <f t="shared" si="55"/>
        <v>0</v>
      </c>
      <c r="AU125" s="114">
        <f t="shared" si="56"/>
        <v>0</v>
      </c>
      <c r="AV125" s="114">
        <f t="shared" si="57"/>
        <v>747102.15780000004</v>
      </c>
    </row>
    <row r="126" spans="2:48" x14ac:dyDescent="0.2">
      <c r="B126" s="124">
        <f>'12. Input inv. &lt;= 10 jaar'!B86</f>
        <v>86</v>
      </c>
      <c r="C126" s="113"/>
      <c r="D126" s="113"/>
      <c r="E126" s="113"/>
      <c r="G126" s="113"/>
      <c r="H126" s="123" t="str">
        <f>'12. Input inv. &lt;= 10 jaar'!E86</f>
        <v>Systeem</v>
      </c>
      <c r="I126" s="123" t="str">
        <f>'12. Input inv. &lt;= 10 jaar'!F86</f>
        <v>EHS</v>
      </c>
      <c r="J126" s="123" t="str">
        <f>'12. Input inv. &lt;= 10 jaar'!G86</f>
        <v>(Proces)automatisering</v>
      </c>
      <c r="K126" s="123">
        <f>'12. Input inv. &lt;= 10 jaar'!H86</f>
        <v>5</v>
      </c>
      <c r="L126" s="124">
        <f>'12. Input inv. &lt;= 10 jaar'!I86</f>
        <v>2025</v>
      </c>
      <c r="M126" s="123">
        <f>'12. Input inv. &lt;= 10 jaar'!J86</f>
        <v>10</v>
      </c>
      <c r="N126" s="123">
        <f>'12. Input inv. &lt;= 10 jaar'!K86</f>
        <v>177291</v>
      </c>
      <c r="O126" s="113"/>
      <c r="Q126" s="33">
        <f t="shared" si="40"/>
        <v>35458.199999999997</v>
      </c>
      <c r="R126" s="122">
        <f t="shared" si="41"/>
        <v>2030</v>
      </c>
      <c r="S126" s="33">
        <f t="shared" si="42"/>
        <v>8864.5499999999993</v>
      </c>
      <c r="T126" s="33">
        <f t="shared" si="43"/>
        <v>26593.649999999998</v>
      </c>
      <c r="V126" s="121">
        <f t="shared" si="58"/>
        <v>0</v>
      </c>
      <c r="W126" s="121">
        <f t="shared" si="58"/>
        <v>0</v>
      </c>
      <c r="X126" s="121">
        <f t="shared" si="58"/>
        <v>0</v>
      </c>
      <c r="Y126" s="121">
        <f t="shared" si="58"/>
        <v>0</v>
      </c>
      <c r="Z126" s="121">
        <f t="shared" si="58"/>
        <v>8864.5499999999993</v>
      </c>
      <c r="AB126" s="33">
        <f t="shared" si="44"/>
        <v>0</v>
      </c>
      <c r="AC126" s="33">
        <f t="shared" si="45"/>
        <v>0</v>
      </c>
      <c r="AD126" s="33">
        <f t="shared" si="46"/>
        <v>0</v>
      </c>
      <c r="AE126" s="33">
        <f t="shared" si="47"/>
        <v>0</v>
      </c>
      <c r="AF126" s="33">
        <f t="shared" si="48"/>
        <v>8864.5499999999993</v>
      </c>
      <c r="AH126" s="121">
        <f t="shared" si="49"/>
        <v>0</v>
      </c>
      <c r="AI126" s="121">
        <f t="shared" si="50"/>
        <v>0</v>
      </c>
      <c r="AJ126" s="121">
        <f t="shared" si="51"/>
        <v>0</v>
      </c>
      <c r="AK126" s="121">
        <f t="shared" si="52"/>
        <v>0</v>
      </c>
      <c r="AL126" s="121">
        <f t="shared" si="53"/>
        <v>168426.45</v>
      </c>
      <c r="AN126" s="121" cm="1">
        <f t="array" ref="AN126">IF($N126&gt;0,((AN$49=$L126)*((13-$M126)/12)+(AN$49&gt;$L126))*$N126*INDEX($H$31:$N$35,$L126-2020,AN$49-2019)*INDEX($H$39:$N$43,$L126-2020,AN$49-2019)*$F$19,0)</f>
        <v>0</v>
      </c>
      <c r="AO126" s="121" cm="1">
        <f t="array" ref="AO126">IF($N126&gt;0,((AO$49=$L126)*((13-$M126)/12)+(AO$49&gt;$L126))*$N126*INDEX($H$31:$N$35,$L126-2020,AO$49-2019)*INDEX($H$39:$N$43,$L126-2020,AO$49-2019)*$F$19,0)</f>
        <v>0</v>
      </c>
      <c r="AP126" s="121" cm="1">
        <f t="array" ref="AP126">IF($N126&gt;0,((AP$49=$L126)*((13-$M126)/12)+(AP$49&gt;$L126))*$N126*INDEX($H$31:$N$35,$L126-2020,AP$49-2019)*INDEX($H$39:$N$43,$L126-2020,AP$49-2019)*$F$19,0)</f>
        <v>0</v>
      </c>
      <c r="AQ126" s="121" cm="1">
        <f t="array" ref="AQ126">IF($N126&gt;0,((AQ$49=$L126)*((13-$M126)/12)+(AQ$49&gt;$L126))*$N126*INDEX($H$31:$N$35,$L126-2020,AQ$49-2019)*INDEX($H$39:$N$43,$L126-2020,AQ$49-2019)*$F$19,0)</f>
        <v>443.22750000000002</v>
      </c>
      <c r="AS126" s="114">
        <f t="shared" si="54"/>
        <v>0</v>
      </c>
      <c r="AT126" s="114">
        <f t="shared" si="55"/>
        <v>0</v>
      </c>
      <c r="AU126" s="114">
        <f t="shared" si="56"/>
        <v>0</v>
      </c>
      <c r="AV126" s="114">
        <f t="shared" si="57"/>
        <v>18234.379350000003</v>
      </c>
    </row>
    <row r="127" spans="2:48" x14ac:dyDescent="0.2">
      <c r="B127" s="124">
        <f>'12. Input inv. &lt;= 10 jaar'!B87</f>
        <v>87</v>
      </c>
      <c r="C127" s="113"/>
      <c r="D127" s="113"/>
      <c r="E127" s="113"/>
      <c r="G127" s="113"/>
      <c r="H127" s="123" t="str">
        <f>'12. Input inv. &lt;= 10 jaar'!E87</f>
        <v>Systeem</v>
      </c>
      <c r="I127" s="123" t="str">
        <f>'12. Input inv. &lt;= 10 jaar'!F87</f>
        <v>EHS</v>
      </c>
      <c r="J127" s="123" t="str">
        <f>'12. Input inv. &lt;= 10 jaar'!G87</f>
        <v>(Proces)automatisering</v>
      </c>
      <c r="K127" s="123">
        <f>'12. Input inv. &lt;= 10 jaar'!H87</f>
        <v>5</v>
      </c>
      <c r="L127" s="124">
        <f>'12. Input inv. &lt;= 10 jaar'!I87</f>
        <v>2025</v>
      </c>
      <c r="M127" s="123">
        <f>'12. Input inv. &lt;= 10 jaar'!J87</f>
        <v>11</v>
      </c>
      <c r="N127" s="123">
        <f>'12. Input inv. &lt;= 10 jaar'!K87</f>
        <v>2911162</v>
      </c>
      <c r="O127" s="113"/>
      <c r="Q127" s="33">
        <f t="shared" si="40"/>
        <v>582232.4</v>
      </c>
      <c r="R127" s="122">
        <f t="shared" si="41"/>
        <v>2030</v>
      </c>
      <c r="S127" s="33">
        <f t="shared" si="42"/>
        <v>97038.733333333337</v>
      </c>
      <c r="T127" s="33">
        <f t="shared" si="43"/>
        <v>485193.66666662256</v>
      </c>
      <c r="V127" s="121">
        <f t="shared" si="58"/>
        <v>0</v>
      </c>
      <c r="W127" s="121">
        <f t="shared" si="58"/>
        <v>0</v>
      </c>
      <c r="X127" s="121">
        <f t="shared" si="58"/>
        <v>0</v>
      </c>
      <c r="Y127" s="121">
        <f t="shared" si="58"/>
        <v>0</v>
      </c>
      <c r="Z127" s="121">
        <f t="shared" si="58"/>
        <v>97038.733333333337</v>
      </c>
      <c r="AB127" s="33">
        <f t="shared" si="44"/>
        <v>0</v>
      </c>
      <c r="AC127" s="33">
        <f t="shared" si="45"/>
        <v>0</v>
      </c>
      <c r="AD127" s="33">
        <f t="shared" si="46"/>
        <v>0</v>
      </c>
      <c r="AE127" s="33">
        <f t="shared" si="47"/>
        <v>0</v>
      </c>
      <c r="AF127" s="33">
        <f t="shared" si="48"/>
        <v>97038.733333333337</v>
      </c>
      <c r="AH127" s="121">
        <f t="shared" si="49"/>
        <v>0</v>
      </c>
      <c r="AI127" s="121">
        <f t="shared" si="50"/>
        <v>0</v>
      </c>
      <c r="AJ127" s="121">
        <f t="shared" si="51"/>
        <v>0</v>
      </c>
      <c r="AK127" s="121">
        <f t="shared" si="52"/>
        <v>0</v>
      </c>
      <c r="AL127" s="121">
        <f t="shared" si="53"/>
        <v>2814123.2666666666</v>
      </c>
      <c r="AN127" s="121" cm="1">
        <f t="array" ref="AN127">IF($N127&gt;0,((AN$49=$L127)*((13-$M127)/12)+(AN$49&gt;$L127))*$N127*INDEX($H$31:$N$35,$L127-2020,AN$49-2019)*INDEX($H$39:$N$43,$L127-2020,AN$49-2019)*$F$19,0)</f>
        <v>0</v>
      </c>
      <c r="AO127" s="121" cm="1">
        <f t="array" ref="AO127">IF($N127&gt;0,((AO$49=$L127)*((13-$M127)/12)+(AO$49&gt;$L127))*$N127*INDEX($H$31:$N$35,$L127-2020,AO$49-2019)*INDEX($H$39:$N$43,$L127-2020,AO$49-2019)*$F$19,0)</f>
        <v>0</v>
      </c>
      <c r="AP127" s="121" cm="1">
        <f t="array" ref="AP127">IF($N127&gt;0,((AP$49=$L127)*((13-$M127)/12)+(AP$49&gt;$L127))*$N127*INDEX($H$31:$N$35,$L127-2020,AP$49-2019)*INDEX($H$39:$N$43,$L127-2020,AP$49-2019)*$F$19,0)</f>
        <v>0</v>
      </c>
      <c r="AQ127" s="121" cm="1">
        <f t="array" ref="AQ127">IF($N127&gt;0,((AQ$49=$L127)*((13-$M127)/12)+(AQ$49&gt;$L127))*$N127*INDEX($H$31:$N$35,$L127-2020,AQ$49-2019)*INDEX($H$39:$N$43,$L127-2020,AQ$49-2019)*$F$19,0)</f>
        <v>4851.9366666666665</v>
      </c>
      <c r="AS127" s="114">
        <f t="shared" si="54"/>
        <v>0</v>
      </c>
      <c r="AT127" s="114">
        <f t="shared" si="55"/>
        <v>0</v>
      </c>
      <c r="AU127" s="114">
        <f t="shared" si="56"/>
        <v>0</v>
      </c>
      <c r="AV127" s="114">
        <f t="shared" si="57"/>
        <v>251039.20313333333</v>
      </c>
    </row>
    <row r="128" spans="2:48" x14ac:dyDescent="0.2">
      <c r="B128" s="124">
        <f>'12. Input inv. &lt;= 10 jaar'!B88</f>
        <v>88</v>
      </c>
      <c r="C128" s="113"/>
      <c r="D128" s="113"/>
      <c r="E128" s="113"/>
      <c r="G128" s="113"/>
      <c r="H128" s="123" t="str">
        <f>'12. Input inv. &lt;= 10 jaar'!E88</f>
        <v>Systeem</v>
      </c>
      <c r="I128" s="123" t="str">
        <f>'12. Input inv. &lt;= 10 jaar'!F88</f>
        <v>EHS</v>
      </c>
      <c r="J128" s="123" t="str">
        <f>'12. Input inv. &lt;= 10 jaar'!G88</f>
        <v>(Proces)automatisering</v>
      </c>
      <c r="K128" s="123">
        <f>'12. Input inv. &lt;= 10 jaar'!H88</f>
        <v>5</v>
      </c>
      <c r="L128" s="124">
        <f>'12. Input inv. &lt;= 10 jaar'!I88</f>
        <v>2025</v>
      </c>
      <c r="M128" s="123">
        <f>'12. Input inv. &lt;= 10 jaar'!J88</f>
        <v>12</v>
      </c>
      <c r="N128" s="123">
        <f>'12. Input inv. &lt;= 10 jaar'!K88</f>
        <v>16780624</v>
      </c>
      <c r="O128" s="113"/>
      <c r="Q128" s="33">
        <f t="shared" si="40"/>
        <v>3356124.8</v>
      </c>
      <c r="R128" s="122">
        <f t="shared" si="41"/>
        <v>2030</v>
      </c>
      <c r="S128" s="33">
        <f t="shared" si="42"/>
        <v>279677.06666666665</v>
      </c>
      <c r="T128" s="33">
        <f t="shared" si="43"/>
        <v>3076447.7333335876</v>
      </c>
      <c r="V128" s="121">
        <f t="shared" si="58"/>
        <v>0</v>
      </c>
      <c r="W128" s="121">
        <f t="shared" si="58"/>
        <v>0</v>
      </c>
      <c r="X128" s="121">
        <f t="shared" si="58"/>
        <v>0</v>
      </c>
      <c r="Y128" s="121">
        <f t="shared" si="58"/>
        <v>0</v>
      </c>
      <c r="Z128" s="121">
        <f t="shared" si="58"/>
        <v>279677.06666666665</v>
      </c>
      <c r="AB128" s="33">
        <f t="shared" si="44"/>
        <v>0</v>
      </c>
      <c r="AC128" s="33">
        <f t="shared" si="45"/>
        <v>0</v>
      </c>
      <c r="AD128" s="33">
        <f t="shared" si="46"/>
        <v>0</v>
      </c>
      <c r="AE128" s="33">
        <f t="shared" si="47"/>
        <v>0</v>
      </c>
      <c r="AF128" s="33">
        <f t="shared" si="48"/>
        <v>279677.06666666665</v>
      </c>
      <c r="AH128" s="121">
        <f t="shared" si="49"/>
        <v>0</v>
      </c>
      <c r="AI128" s="121">
        <f t="shared" si="50"/>
        <v>0</v>
      </c>
      <c r="AJ128" s="121">
        <f t="shared" si="51"/>
        <v>0</v>
      </c>
      <c r="AK128" s="121">
        <f t="shared" si="52"/>
        <v>0</v>
      </c>
      <c r="AL128" s="121">
        <f t="shared" si="53"/>
        <v>16500946.933333334</v>
      </c>
      <c r="AN128" s="121" cm="1">
        <f t="array" ref="AN128">IF($N128&gt;0,((AN$49=$L128)*((13-$M128)/12)+(AN$49&gt;$L128))*$N128*INDEX($H$31:$N$35,$L128-2020,AN$49-2019)*INDEX($H$39:$N$43,$L128-2020,AN$49-2019)*$F$19,0)</f>
        <v>0</v>
      </c>
      <c r="AO128" s="121" cm="1">
        <f t="array" ref="AO128">IF($N128&gt;0,((AO$49=$L128)*((13-$M128)/12)+(AO$49&gt;$L128))*$N128*INDEX($H$31:$N$35,$L128-2020,AO$49-2019)*INDEX($H$39:$N$43,$L128-2020,AO$49-2019)*$F$19,0)</f>
        <v>0</v>
      </c>
      <c r="AP128" s="121" cm="1">
        <f t="array" ref="AP128">IF($N128&gt;0,((AP$49=$L128)*((13-$M128)/12)+(AP$49&gt;$L128))*$N128*INDEX($H$31:$N$35,$L128-2020,AP$49-2019)*INDEX($H$39:$N$43,$L128-2020,AP$49-2019)*$F$19,0)</f>
        <v>0</v>
      </c>
      <c r="AQ128" s="121" cm="1">
        <f t="array" ref="AQ128">IF($N128&gt;0,((AQ$49=$L128)*((13-$M128)/12)+(AQ$49&gt;$L128))*$N128*INDEX($H$31:$N$35,$L128-2020,AQ$49-2019)*INDEX($H$39:$N$43,$L128-2020,AQ$49-2019)*$F$19,0)</f>
        <v>13983.853333333333</v>
      </c>
      <c r="AS128" s="114">
        <f t="shared" si="54"/>
        <v>0</v>
      </c>
      <c r="AT128" s="114">
        <f t="shared" si="55"/>
        <v>0</v>
      </c>
      <c r="AU128" s="114">
        <f t="shared" si="56"/>
        <v>0</v>
      </c>
      <c r="AV128" s="114">
        <f t="shared" si="57"/>
        <v>1168211.1074666667</v>
      </c>
    </row>
    <row r="129" spans="1:48" x14ac:dyDescent="0.2">
      <c r="B129" s="124">
        <f>'12. Input inv. &lt;= 10 jaar'!B89</f>
        <v>89</v>
      </c>
      <c r="C129" s="113"/>
      <c r="D129" s="113"/>
      <c r="E129" s="113"/>
      <c r="G129" s="113"/>
      <c r="H129" s="123" t="str">
        <f>'12. Input inv. &lt;= 10 jaar'!E89</f>
        <v>Systeem</v>
      </c>
      <c r="I129" s="123" t="str">
        <f>'12. Input inv. &lt;= 10 jaar'!F89</f>
        <v>EHS</v>
      </c>
      <c r="J129" s="123" t="str">
        <f>'12. Input inv. &lt;= 10 jaar'!G89</f>
        <v>(Proces)automatisering</v>
      </c>
      <c r="K129" s="123">
        <f>'12. Input inv. &lt;= 10 jaar'!H89</f>
        <v>5</v>
      </c>
      <c r="L129" s="124">
        <f>'12. Input inv. &lt;= 10 jaar'!I89</f>
        <v>2025</v>
      </c>
      <c r="M129" s="123">
        <f>'12. Input inv. &lt;= 10 jaar'!J89</f>
        <v>13</v>
      </c>
      <c r="N129" s="123">
        <f>'12. Input inv. &lt;= 10 jaar'!K89</f>
        <v>830553</v>
      </c>
      <c r="O129" s="113"/>
      <c r="Q129" s="33">
        <f t="shared" si="40"/>
        <v>166110.6</v>
      </c>
      <c r="R129" s="122">
        <f t="shared" si="41"/>
        <v>2031</v>
      </c>
      <c r="S129" s="33">
        <f t="shared" si="42"/>
        <v>0</v>
      </c>
      <c r="T129" s="33">
        <f t="shared" si="43"/>
        <v>0</v>
      </c>
      <c r="V129" s="121">
        <f t="shared" si="58"/>
        <v>0</v>
      </c>
      <c r="W129" s="121">
        <f t="shared" si="58"/>
        <v>0</v>
      </c>
      <c r="X129" s="121">
        <f t="shared" si="58"/>
        <v>0</v>
      </c>
      <c r="Y129" s="121">
        <f t="shared" si="58"/>
        <v>0</v>
      </c>
      <c r="Z129" s="121">
        <f t="shared" si="58"/>
        <v>0</v>
      </c>
      <c r="AB129" s="33">
        <f t="shared" si="44"/>
        <v>0</v>
      </c>
      <c r="AC129" s="33">
        <f t="shared" si="45"/>
        <v>0</v>
      </c>
      <c r="AD129" s="33">
        <f t="shared" si="46"/>
        <v>0</v>
      </c>
      <c r="AE129" s="33">
        <f t="shared" si="47"/>
        <v>0</v>
      </c>
      <c r="AF129" s="33">
        <f t="shared" si="48"/>
        <v>0</v>
      </c>
      <c r="AH129" s="121">
        <f t="shared" si="49"/>
        <v>0</v>
      </c>
      <c r="AI129" s="121">
        <f t="shared" si="50"/>
        <v>0</v>
      </c>
      <c r="AJ129" s="121">
        <f t="shared" si="51"/>
        <v>0</v>
      </c>
      <c r="AK129" s="121">
        <f t="shared" si="52"/>
        <v>0</v>
      </c>
      <c r="AL129" s="121">
        <f t="shared" si="53"/>
        <v>830553</v>
      </c>
      <c r="AN129" s="121" cm="1">
        <f t="array" ref="AN129">IF($N129&gt;0,((AN$49=$L129)*((13-$M129)/12)+(AN$49&gt;$L129))*$N129*INDEX($H$31:$N$35,$L129-2020,AN$49-2019)*INDEX($H$39:$N$43,$L129-2020,AN$49-2019)*$F$19,0)</f>
        <v>0</v>
      </c>
      <c r="AO129" s="121" cm="1">
        <f t="array" ref="AO129">IF($N129&gt;0,((AO$49=$L129)*((13-$M129)/12)+(AO$49&gt;$L129))*$N129*INDEX($H$31:$N$35,$L129-2020,AO$49-2019)*INDEX($H$39:$N$43,$L129-2020,AO$49-2019)*$F$19,0)</f>
        <v>0</v>
      </c>
      <c r="AP129" s="121" cm="1">
        <f t="array" ref="AP129">IF($N129&gt;0,((AP$49=$L129)*((13-$M129)/12)+(AP$49&gt;$L129))*$N129*INDEX($H$31:$N$35,$L129-2020,AP$49-2019)*INDEX($H$39:$N$43,$L129-2020,AP$49-2019)*$F$19,0)</f>
        <v>0</v>
      </c>
      <c r="AQ129" s="121" cm="1">
        <f t="array" ref="AQ129">IF($N129&gt;0,((AQ$49=$L129)*((13-$M129)/12)+(AQ$49&gt;$L129))*$N129*INDEX($H$31:$N$35,$L129-2020,AQ$49-2019)*INDEX($H$39:$N$43,$L129-2020,AQ$49-2019)*$F$19,0)</f>
        <v>0</v>
      </c>
      <c r="AS129" s="114">
        <f t="shared" si="54"/>
        <v>0</v>
      </c>
      <c r="AT129" s="114">
        <f t="shared" si="55"/>
        <v>0</v>
      </c>
      <c r="AU129" s="114">
        <f t="shared" si="56"/>
        <v>0</v>
      </c>
      <c r="AV129" s="114">
        <f t="shared" si="57"/>
        <v>44019.309000000001</v>
      </c>
    </row>
    <row r="130" spans="1:48" x14ac:dyDescent="0.2">
      <c r="B130" s="124">
        <f>'12. Input inv. &lt;= 10 jaar'!B90</f>
        <v>90</v>
      </c>
      <c r="C130" s="113"/>
      <c r="D130" s="113"/>
      <c r="E130" s="113"/>
      <c r="G130" s="113"/>
      <c r="H130" s="123" t="str">
        <f>'12. Input inv. &lt;= 10 jaar'!E90</f>
        <v>Systeem</v>
      </c>
      <c r="I130" s="123" t="str">
        <f>'12. Input inv. &lt;= 10 jaar'!F90</f>
        <v>EHS</v>
      </c>
      <c r="J130" s="123" t="str">
        <f>'12. Input inv. &lt;= 10 jaar'!G90</f>
        <v>(Proces)automatisering</v>
      </c>
      <c r="K130" s="123">
        <f>'12. Input inv. &lt;= 10 jaar'!H90</f>
        <v>5</v>
      </c>
      <c r="L130" s="124">
        <f>'12. Input inv. &lt;= 10 jaar'!I90</f>
        <v>2025</v>
      </c>
      <c r="M130" s="123">
        <f>'12. Input inv. &lt;= 10 jaar'!J90</f>
        <v>13</v>
      </c>
      <c r="N130" s="123">
        <f>'12. Input inv. &lt;= 10 jaar'!K90</f>
        <v>988125</v>
      </c>
      <c r="O130" s="113"/>
      <c r="Q130" s="33">
        <f t="shared" si="40"/>
        <v>197625</v>
      </c>
      <c r="R130" s="122">
        <f t="shared" si="41"/>
        <v>2031</v>
      </c>
      <c r="S130" s="33">
        <f t="shared" si="42"/>
        <v>0</v>
      </c>
      <c r="T130" s="33">
        <f t="shared" si="43"/>
        <v>0</v>
      </c>
      <c r="V130" s="121">
        <f t="shared" si="58"/>
        <v>0</v>
      </c>
      <c r="W130" s="121">
        <f t="shared" si="58"/>
        <v>0</v>
      </c>
      <c r="X130" s="121">
        <f t="shared" si="58"/>
        <v>0</v>
      </c>
      <c r="Y130" s="121">
        <f t="shared" si="58"/>
        <v>0</v>
      </c>
      <c r="Z130" s="121">
        <f t="shared" si="58"/>
        <v>0</v>
      </c>
      <c r="AB130" s="33">
        <f t="shared" si="44"/>
        <v>0</v>
      </c>
      <c r="AC130" s="33">
        <f t="shared" si="45"/>
        <v>0</v>
      </c>
      <c r="AD130" s="33">
        <f t="shared" si="46"/>
        <v>0</v>
      </c>
      <c r="AE130" s="33">
        <f t="shared" si="47"/>
        <v>0</v>
      </c>
      <c r="AF130" s="33">
        <f t="shared" si="48"/>
        <v>0</v>
      </c>
      <c r="AH130" s="121">
        <f t="shared" si="49"/>
        <v>0</v>
      </c>
      <c r="AI130" s="121">
        <f t="shared" si="50"/>
        <v>0</v>
      </c>
      <c r="AJ130" s="121">
        <f t="shared" si="51"/>
        <v>0</v>
      </c>
      <c r="AK130" s="121">
        <f t="shared" si="52"/>
        <v>0</v>
      </c>
      <c r="AL130" s="121">
        <f t="shared" si="53"/>
        <v>988125</v>
      </c>
      <c r="AN130" s="121" cm="1">
        <f t="array" ref="AN130">IF($N130&gt;0,((AN$49=$L130)*((13-$M130)/12)+(AN$49&gt;$L130))*$N130*INDEX($H$31:$N$35,$L130-2020,AN$49-2019)*INDEX($H$39:$N$43,$L130-2020,AN$49-2019)*$F$19,0)</f>
        <v>0</v>
      </c>
      <c r="AO130" s="121" cm="1">
        <f t="array" ref="AO130">IF($N130&gt;0,((AO$49=$L130)*((13-$M130)/12)+(AO$49&gt;$L130))*$N130*INDEX($H$31:$N$35,$L130-2020,AO$49-2019)*INDEX($H$39:$N$43,$L130-2020,AO$49-2019)*$F$19,0)</f>
        <v>0</v>
      </c>
      <c r="AP130" s="121" cm="1">
        <f t="array" ref="AP130">IF($N130&gt;0,((AP$49=$L130)*((13-$M130)/12)+(AP$49&gt;$L130))*$N130*INDEX($H$31:$N$35,$L130-2020,AP$49-2019)*INDEX($H$39:$N$43,$L130-2020,AP$49-2019)*$F$19,0)</f>
        <v>0</v>
      </c>
      <c r="AQ130" s="121" cm="1">
        <f t="array" ref="AQ130">IF($N130&gt;0,((AQ$49=$L130)*((13-$M130)/12)+(AQ$49&gt;$L130))*$N130*INDEX($H$31:$N$35,$L130-2020,AQ$49-2019)*INDEX($H$39:$N$43,$L130-2020,AQ$49-2019)*$F$19,0)</f>
        <v>0</v>
      </c>
      <c r="AS130" s="114">
        <f t="shared" si="54"/>
        <v>0</v>
      </c>
      <c r="AT130" s="114">
        <f t="shared" si="55"/>
        <v>0</v>
      </c>
      <c r="AU130" s="114">
        <f t="shared" si="56"/>
        <v>0</v>
      </c>
      <c r="AV130" s="114">
        <f t="shared" si="57"/>
        <v>52370.625</v>
      </c>
    </row>
    <row r="131" spans="1:48" x14ac:dyDescent="0.2">
      <c r="B131" s="124">
        <f>'12. Input inv. &lt;= 10 jaar'!B91</f>
        <v>91</v>
      </c>
      <c r="C131" s="113"/>
      <c r="D131" s="113"/>
      <c r="E131" s="113"/>
      <c r="G131" s="113"/>
      <c r="H131" s="123" t="str">
        <f>'12. Input inv. &lt;= 10 jaar'!E91</f>
        <v>Systeem</v>
      </c>
      <c r="I131" s="123" t="str">
        <f>'12. Input inv. &lt;= 10 jaar'!F91</f>
        <v>EHS</v>
      </c>
      <c r="J131" s="123" t="str">
        <f>'12. Input inv. &lt;= 10 jaar'!G91</f>
        <v>Computerapparatuur</v>
      </c>
      <c r="K131" s="123">
        <f>'12. Input inv. &lt;= 10 jaar'!H91</f>
        <v>5</v>
      </c>
      <c r="L131" s="124">
        <f>'12. Input inv. &lt;= 10 jaar'!I91</f>
        <v>2025</v>
      </c>
      <c r="M131" s="123">
        <f>'12. Input inv. &lt;= 10 jaar'!J91</f>
        <v>9</v>
      </c>
      <c r="N131" s="123">
        <f>'12. Input inv. &lt;= 10 jaar'!K91</f>
        <v>89133</v>
      </c>
      <c r="O131" s="113"/>
      <c r="Q131" s="33">
        <f t="shared" si="40"/>
        <v>17826.599999999999</v>
      </c>
      <c r="R131" s="122">
        <f t="shared" si="41"/>
        <v>2030</v>
      </c>
      <c r="S131" s="33">
        <f t="shared" si="42"/>
        <v>5942.2</v>
      </c>
      <c r="T131" s="33">
        <f t="shared" si="43"/>
        <v>11884.400000001349</v>
      </c>
      <c r="V131" s="121">
        <f t="shared" ref="V131:Z140" si="59">((V$49=$L131)*$S131+(V$49&gt;$L131)*(V$49&lt;$R131)*$Q131+(V$49=$R131)*$T131)</f>
        <v>0</v>
      </c>
      <c r="W131" s="121">
        <f t="shared" si="59"/>
        <v>0</v>
      </c>
      <c r="X131" s="121">
        <f t="shared" si="59"/>
        <v>0</v>
      </c>
      <c r="Y131" s="121">
        <f t="shared" si="59"/>
        <v>0</v>
      </c>
      <c r="Z131" s="121">
        <f t="shared" si="59"/>
        <v>5942.2</v>
      </c>
      <c r="AB131" s="33">
        <f t="shared" si="44"/>
        <v>0</v>
      </c>
      <c r="AC131" s="33">
        <f t="shared" si="45"/>
        <v>0</v>
      </c>
      <c r="AD131" s="33">
        <f t="shared" si="46"/>
        <v>0</v>
      </c>
      <c r="AE131" s="33">
        <f t="shared" si="47"/>
        <v>0</v>
      </c>
      <c r="AF131" s="33">
        <f t="shared" si="48"/>
        <v>5942.2</v>
      </c>
      <c r="AH131" s="121">
        <f t="shared" si="49"/>
        <v>0</v>
      </c>
      <c r="AI131" s="121">
        <f t="shared" si="50"/>
        <v>0</v>
      </c>
      <c r="AJ131" s="121">
        <f t="shared" si="51"/>
        <v>0</v>
      </c>
      <c r="AK131" s="121">
        <f t="shared" si="52"/>
        <v>0</v>
      </c>
      <c r="AL131" s="121">
        <f t="shared" si="53"/>
        <v>83190.8</v>
      </c>
      <c r="AN131" s="121" cm="1">
        <f t="array" ref="AN131">IF($N131&gt;0,((AN$49=$L131)*((13-$M131)/12)+(AN$49&gt;$L131))*$N131*INDEX($H$31:$N$35,$L131-2020,AN$49-2019)*INDEX($H$39:$N$43,$L131-2020,AN$49-2019)*$F$19,0)</f>
        <v>0</v>
      </c>
      <c r="AO131" s="121" cm="1">
        <f t="array" ref="AO131">IF($N131&gt;0,((AO$49=$L131)*((13-$M131)/12)+(AO$49&gt;$L131))*$N131*INDEX($H$31:$N$35,$L131-2020,AO$49-2019)*INDEX($H$39:$N$43,$L131-2020,AO$49-2019)*$F$19,0)</f>
        <v>0</v>
      </c>
      <c r="AP131" s="121" cm="1">
        <f t="array" ref="AP131">IF($N131&gt;0,((AP$49=$L131)*((13-$M131)/12)+(AP$49&gt;$L131))*$N131*INDEX($H$31:$N$35,$L131-2020,AP$49-2019)*INDEX($H$39:$N$43,$L131-2020,AP$49-2019)*$F$19,0)</f>
        <v>0</v>
      </c>
      <c r="AQ131" s="121" cm="1">
        <f t="array" ref="AQ131">IF($N131&gt;0,((AQ$49=$L131)*((13-$M131)/12)+(AQ$49&gt;$L131))*$N131*INDEX($H$31:$N$35,$L131-2020,AQ$49-2019)*INDEX($H$39:$N$43,$L131-2020,AQ$49-2019)*$F$19,0)</f>
        <v>297.11</v>
      </c>
      <c r="AS131" s="114">
        <f t="shared" si="54"/>
        <v>0</v>
      </c>
      <c r="AT131" s="114">
        <f t="shared" si="55"/>
        <v>0</v>
      </c>
      <c r="AU131" s="114">
        <f t="shared" si="56"/>
        <v>0</v>
      </c>
      <c r="AV131" s="114">
        <f t="shared" si="57"/>
        <v>10648.422399999999</v>
      </c>
    </row>
    <row r="132" spans="1:48" x14ac:dyDescent="0.2">
      <c r="B132" s="124">
        <f>'12. Input inv. &lt;= 10 jaar'!B92</f>
        <v>92</v>
      </c>
      <c r="C132" s="113"/>
      <c r="D132" s="113"/>
      <c r="E132" s="113"/>
      <c r="G132" s="113"/>
      <c r="H132" s="123" t="str">
        <f>'12. Input inv. &lt;= 10 jaar'!E92</f>
        <v>Systeem</v>
      </c>
      <c r="I132" s="123" t="str">
        <f>'12. Input inv. &lt;= 10 jaar'!F92</f>
        <v>EHS</v>
      </c>
      <c r="J132" s="123" t="str">
        <f>'12. Input inv. &lt;= 10 jaar'!G92</f>
        <v>Computerapparatuur</v>
      </c>
      <c r="K132" s="123">
        <f>'12. Input inv. &lt;= 10 jaar'!H92</f>
        <v>5</v>
      </c>
      <c r="L132" s="124">
        <f>'12. Input inv. &lt;= 10 jaar'!I92</f>
        <v>2025</v>
      </c>
      <c r="M132" s="123">
        <f>'12. Input inv. &lt;= 10 jaar'!J92</f>
        <v>12</v>
      </c>
      <c r="N132" s="123">
        <f>'12. Input inv. &lt;= 10 jaar'!K92</f>
        <v>533153</v>
      </c>
      <c r="O132" s="113"/>
      <c r="Q132" s="33">
        <f t="shared" si="40"/>
        <v>106630.6</v>
      </c>
      <c r="R132" s="122">
        <f t="shared" si="41"/>
        <v>2030</v>
      </c>
      <c r="S132" s="33">
        <f t="shared" si="42"/>
        <v>8885.8833333333332</v>
      </c>
      <c r="T132" s="33">
        <f t="shared" si="43"/>
        <v>97744.716666674751</v>
      </c>
      <c r="V132" s="121">
        <f t="shared" si="59"/>
        <v>0</v>
      </c>
      <c r="W132" s="121">
        <f t="shared" si="59"/>
        <v>0</v>
      </c>
      <c r="X132" s="121">
        <f t="shared" si="59"/>
        <v>0</v>
      </c>
      <c r="Y132" s="121">
        <f t="shared" si="59"/>
        <v>0</v>
      </c>
      <c r="Z132" s="121">
        <f t="shared" si="59"/>
        <v>8885.8833333333332</v>
      </c>
      <c r="AB132" s="33">
        <f t="shared" si="44"/>
        <v>0</v>
      </c>
      <c r="AC132" s="33">
        <f t="shared" si="45"/>
        <v>0</v>
      </c>
      <c r="AD132" s="33">
        <f t="shared" si="46"/>
        <v>0</v>
      </c>
      <c r="AE132" s="33">
        <f t="shared" si="47"/>
        <v>0</v>
      </c>
      <c r="AF132" s="33">
        <f t="shared" si="48"/>
        <v>8885.8833333333332</v>
      </c>
      <c r="AH132" s="121">
        <f t="shared" si="49"/>
        <v>0</v>
      </c>
      <c r="AI132" s="121">
        <f t="shared" si="50"/>
        <v>0</v>
      </c>
      <c r="AJ132" s="121">
        <f t="shared" si="51"/>
        <v>0</v>
      </c>
      <c r="AK132" s="121">
        <f t="shared" si="52"/>
        <v>0</v>
      </c>
      <c r="AL132" s="121">
        <f t="shared" si="53"/>
        <v>524267.11666666664</v>
      </c>
      <c r="AN132" s="121" cm="1">
        <f t="array" ref="AN132">IF($N132&gt;0,((AN$49=$L132)*((13-$M132)/12)+(AN$49&gt;$L132))*$N132*INDEX($H$31:$N$35,$L132-2020,AN$49-2019)*INDEX($H$39:$N$43,$L132-2020,AN$49-2019)*$F$19,0)</f>
        <v>0</v>
      </c>
      <c r="AO132" s="121" cm="1">
        <f t="array" ref="AO132">IF($N132&gt;0,((AO$49=$L132)*((13-$M132)/12)+(AO$49&gt;$L132))*$N132*INDEX($H$31:$N$35,$L132-2020,AO$49-2019)*INDEX($H$39:$N$43,$L132-2020,AO$49-2019)*$F$19,0)</f>
        <v>0</v>
      </c>
      <c r="AP132" s="121" cm="1">
        <f t="array" ref="AP132">IF($N132&gt;0,((AP$49=$L132)*((13-$M132)/12)+(AP$49&gt;$L132))*$N132*INDEX($H$31:$N$35,$L132-2020,AP$49-2019)*INDEX($H$39:$N$43,$L132-2020,AP$49-2019)*$F$19,0)</f>
        <v>0</v>
      </c>
      <c r="AQ132" s="121" cm="1">
        <f t="array" ref="AQ132">IF($N132&gt;0,((AQ$49=$L132)*((13-$M132)/12)+(AQ$49&gt;$L132))*$N132*INDEX($H$31:$N$35,$L132-2020,AQ$49-2019)*INDEX($H$39:$N$43,$L132-2020,AQ$49-2019)*$F$19,0)</f>
        <v>444.29416666666663</v>
      </c>
      <c r="AS132" s="114">
        <f t="shared" si="54"/>
        <v>0</v>
      </c>
      <c r="AT132" s="114">
        <f t="shared" si="55"/>
        <v>0</v>
      </c>
      <c r="AU132" s="114">
        <f t="shared" si="56"/>
        <v>0</v>
      </c>
      <c r="AV132" s="114">
        <f t="shared" si="57"/>
        <v>37116.334683333334</v>
      </c>
    </row>
    <row r="133" spans="1:48" x14ac:dyDescent="0.2">
      <c r="B133" s="124">
        <f>'12. Input inv. &lt;= 10 jaar'!B93</f>
        <v>93</v>
      </c>
      <c r="C133" s="113"/>
      <c r="D133" s="113"/>
      <c r="E133" s="113"/>
      <c r="G133" s="113"/>
      <c r="H133" s="123" t="str">
        <f>'12. Input inv. &lt;= 10 jaar'!E93</f>
        <v>Transport</v>
      </c>
      <c r="I133" s="123" t="str">
        <f>'12. Input inv. &lt;= 10 jaar'!F93</f>
        <v>EHS</v>
      </c>
      <c r="J133" s="123" t="str">
        <f>'12. Input inv. &lt;= 10 jaar'!G93</f>
        <v>(Proces)automatisering</v>
      </c>
      <c r="K133" s="123">
        <f>'12. Input inv. &lt;= 10 jaar'!H93</f>
        <v>5</v>
      </c>
      <c r="L133" s="124">
        <f>'12. Input inv. &lt;= 10 jaar'!I93</f>
        <v>2025</v>
      </c>
      <c r="M133" s="123">
        <f>'12. Input inv. &lt;= 10 jaar'!J93</f>
        <v>10</v>
      </c>
      <c r="N133" s="123">
        <f>'12. Input inv. &lt;= 10 jaar'!K93</f>
        <v>258295</v>
      </c>
      <c r="O133" s="113"/>
      <c r="Q133" s="33">
        <f t="shared" si="40"/>
        <v>51659</v>
      </c>
      <c r="R133" s="122">
        <f t="shared" si="41"/>
        <v>2030</v>
      </c>
      <c r="S133" s="33">
        <f t="shared" si="42"/>
        <v>12914.75</v>
      </c>
      <c r="T133" s="33">
        <f t="shared" si="43"/>
        <v>38744.25</v>
      </c>
      <c r="V133" s="121">
        <f t="shared" si="59"/>
        <v>0</v>
      </c>
      <c r="W133" s="121">
        <f t="shared" si="59"/>
        <v>0</v>
      </c>
      <c r="X133" s="121">
        <f t="shared" si="59"/>
        <v>0</v>
      </c>
      <c r="Y133" s="121">
        <f t="shared" si="59"/>
        <v>0</v>
      </c>
      <c r="Z133" s="121">
        <f t="shared" si="59"/>
        <v>12914.75</v>
      </c>
      <c r="AB133" s="33">
        <f t="shared" si="44"/>
        <v>0</v>
      </c>
      <c r="AC133" s="33">
        <f t="shared" si="45"/>
        <v>0</v>
      </c>
      <c r="AD133" s="33">
        <f t="shared" si="46"/>
        <v>0</v>
      </c>
      <c r="AE133" s="33">
        <f t="shared" si="47"/>
        <v>0</v>
      </c>
      <c r="AF133" s="33">
        <f t="shared" si="48"/>
        <v>12914.75</v>
      </c>
      <c r="AH133" s="121">
        <f t="shared" si="49"/>
        <v>0</v>
      </c>
      <c r="AI133" s="121">
        <f t="shared" si="50"/>
        <v>0</v>
      </c>
      <c r="AJ133" s="121">
        <f t="shared" si="51"/>
        <v>0</v>
      </c>
      <c r="AK133" s="121">
        <f t="shared" si="52"/>
        <v>0</v>
      </c>
      <c r="AL133" s="121">
        <f t="shared" si="53"/>
        <v>245380.25</v>
      </c>
      <c r="AN133" s="121" cm="1">
        <f t="array" ref="AN133">IF($N133&gt;0,((AN$49=$L133)*((13-$M133)/12)+(AN$49&gt;$L133))*$N133*INDEX($H$31:$N$35,$L133-2020,AN$49-2019)*INDEX($H$39:$N$43,$L133-2020,AN$49-2019)*$F$19,0)</f>
        <v>0</v>
      </c>
      <c r="AO133" s="121" cm="1">
        <f t="array" ref="AO133">IF($N133&gt;0,((AO$49=$L133)*((13-$M133)/12)+(AO$49&gt;$L133))*$N133*INDEX($H$31:$N$35,$L133-2020,AO$49-2019)*INDEX($H$39:$N$43,$L133-2020,AO$49-2019)*$F$19,0)</f>
        <v>0</v>
      </c>
      <c r="AP133" s="121" cm="1">
        <f t="array" ref="AP133">IF($N133&gt;0,((AP$49=$L133)*((13-$M133)/12)+(AP$49&gt;$L133))*$N133*INDEX($H$31:$N$35,$L133-2020,AP$49-2019)*INDEX($H$39:$N$43,$L133-2020,AP$49-2019)*$F$19,0)</f>
        <v>0</v>
      </c>
      <c r="AQ133" s="121" cm="1">
        <f t="array" ref="AQ133">IF($N133&gt;0,((AQ$49=$L133)*((13-$M133)/12)+(AQ$49&gt;$L133))*$N133*INDEX($H$31:$N$35,$L133-2020,AQ$49-2019)*INDEX($H$39:$N$43,$L133-2020,AQ$49-2019)*$F$19,0)</f>
        <v>645.73750000000007</v>
      </c>
      <c r="AS133" s="114">
        <f t="shared" si="54"/>
        <v>0</v>
      </c>
      <c r="AT133" s="114">
        <f t="shared" si="55"/>
        <v>0</v>
      </c>
      <c r="AU133" s="114">
        <f t="shared" si="56"/>
        <v>0</v>
      </c>
      <c r="AV133" s="114">
        <f t="shared" si="57"/>
        <v>26565.640749999999</v>
      </c>
    </row>
    <row r="134" spans="1:48" x14ac:dyDescent="0.2">
      <c r="B134" s="124">
        <f>'12. Input inv. &lt;= 10 jaar'!B94</f>
        <v>94</v>
      </c>
      <c r="C134" s="113"/>
      <c r="D134" s="113"/>
      <c r="E134" s="113"/>
      <c r="G134" s="113"/>
      <c r="H134" s="123" t="str">
        <f>'12. Input inv. &lt;= 10 jaar'!E94</f>
        <v>Transport</v>
      </c>
      <c r="I134" s="123" t="str">
        <f>'12. Input inv. &lt;= 10 jaar'!F94</f>
        <v>EHS</v>
      </c>
      <c r="J134" s="123" t="str">
        <f>'12. Input inv. &lt;= 10 jaar'!G94</f>
        <v>(Proces)automatisering</v>
      </c>
      <c r="K134" s="123">
        <f>'12. Input inv. &lt;= 10 jaar'!H94</f>
        <v>5</v>
      </c>
      <c r="L134" s="124">
        <f>'12. Input inv. &lt;= 10 jaar'!I94</f>
        <v>2025</v>
      </c>
      <c r="M134" s="123">
        <f>'12. Input inv. &lt;= 10 jaar'!J94</f>
        <v>12</v>
      </c>
      <c r="N134" s="123">
        <f>'12. Input inv. &lt;= 10 jaar'!K94</f>
        <v>2289027</v>
      </c>
      <c r="O134" s="113"/>
      <c r="Q134" s="33">
        <f t="shared" si="40"/>
        <v>457805.4</v>
      </c>
      <c r="R134" s="122">
        <f t="shared" si="41"/>
        <v>2030</v>
      </c>
      <c r="S134" s="33">
        <f t="shared" si="42"/>
        <v>38150.450000000004</v>
      </c>
      <c r="T134" s="33">
        <f t="shared" si="43"/>
        <v>419654.9500000347</v>
      </c>
      <c r="V134" s="121">
        <f t="shared" si="59"/>
        <v>0</v>
      </c>
      <c r="W134" s="121">
        <f t="shared" si="59"/>
        <v>0</v>
      </c>
      <c r="X134" s="121">
        <f t="shared" si="59"/>
        <v>0</v>
      </c>
      <c r="Y134" s="121">
        <f t="shared" si="59"/>
        <v>0</v>
      </c>
      <c r="Z134" s="121">
        <f t="shared" si="59"/>
        <v>38150.450000000004</v>
      </c>
      <c r="AB134" s="33">
        <f t="shared" si="44"/>
        <v>0</v>
      </c>
      <c r="AC134" s="33">
        <f t="shared" si="45"/>
        <v>0</v>
      </c>
      <c r="AD134" s="33">
        <f t="shared" si="46"/>
        <v>0</v>
      </c>
      <c r="AE134" s="33">
        <f t="shared" si="47"/>
        <v>0</v>
      </c>
      <c r="AF134" s="33">
        <f t="shared" si="48"/>
        <v>38150.450000000004</v>
      </c>
      <c r="AH134" s="121">
        <f t="shared" si="49"/>
        <v>0</v>
      </c>
      <c r="AI134" s="121">
        <f t="shared" si="50"/>
        <v>0</v>
      </c>
      <c r="AJ134" s="121">
        <f t="shared" si="51"/>
        <v>0</v>
      </c>
      <c r="AK134" s="121">
        <f t="shared" si="52"/>
        <v>0</v>
      </c>
      <c r="AL134" s="121">
        <f t="shared" si="53"/>
        <v>2250876.5499999998</v>
      </c>
      <c r="AN134" s="121" cm="1">
        <f t="array" ref="AN134">IF($N134&gt;0,((AN$49=$L134)*((13-$M134)/12)+(AN$49&gt;$L134))*$N134*INDEX($H$31:$N$35,$L134-2020,AN$49-2019)*INDEX($H$39:$N$43,$L134-2020,AN$49-2019)*$F$19,0)</f>
        <v>0</v>
      </c>
      <c r="AO134" s="121" cm="1">
        <f t="array" ref="AO134">IF($N134&gt;0,((AO$49=$L134)*((13-$M134)/12)+(AO$49&gt;$L134))*$N134*INDEX($H$31:$N$35,$L134-2020,AO$49-2019)*INDEX($H$39:$N$43,$L134-2020,AO$49-2019)*$F$19,0)</f>
        <v>0</v>
      </c>
      <c r="AP134" s="121" cm="1">
        <f t="array" ref="AP134">IF($N134&gt;0,((AP$49=$L134)*((13-$M134)/12)+(AP$49&gt;$L134))*$N134*INDEX($H$31:$N$35,$L134-2020,AP$49-2019)*INDEX($H$39:$N$43,$L134-2020,AP$49-2019)*$F$19,0)</f>
        <v>0</v>
      </c>
      <c r="AQ134" s="121" cm="1">
        <f t="array" ref="AQ134">IF($N134&gt;0,((AQ$49=$L134)*((13-$M134)/12)+(AQ$49&gt;$L134))*$N134*INDEX($H$31:$N$35,$L134-2020,AQ$49-2019)*INDEX($H$39:$N$43,$L134-2020,AQ$49-2019)*$F$19,0)</f>
        <v>1907.5225</v>
      </c>
      <c r="AS134" s="114">
        <f t="shared" si="54"/>
        <v>0</v>
      </c>
      <c r="AT134" s="114">
        <f t="shared" si="55"/>
        <v>0</v>
      </c>
      <c r="AU134" s="114">
        <f t="shared" si="56"/>
        <v>0</v>
      </c>
      <c r="AV134" s="114">
        <f t="shared" si="57"/>
        <v>159354.42964999998</v>
      </c>
    </row>
    <row r="135" spans="1:48" x14ac:dyDescent="0.2">
      <c r="B135" s="124">
        <f>'12. Input inv. &lt;= 10 jaar'!B95</f>
        <v>95</v>
      </c>
      <c r="C135" s="113"/>
      <c r="D135" s="113"/>
      <c r="E135" s="113"/>
      <c r="G135" s="113"/>
      <c r="H135" s="123" t="str">
        <f>'12. Input inv. &lt;= 10 jaar'!E95</f>
        <v>Transport</v>
      </c>
      <c r="I135" s="123" t="str">
        <f>'12. Input inv. &lt;= 10 jaar'!F95</f>
        <v>EHS</v>
      </c>
      <c r="J135" s="123" t="str">
        <f>'12. Input inv. &lt;= 10 jaar'!G95</f>
        <v>(Proces)automatisering</v>
      </c>
      <c r="K135" s="123">
        <f>'12. Input inv. &lt;= 10 jaar'!H95</f>
        <v>5</v>
      </c>
      <c r="L135" s="124">
        <f>'12. Input inv. &lt;= 10 jaar'!I95</f>
        <v>2025</v>
      </c>
      <c r="M135" s="123">
        <f>'12. Input inv. &lt;= 10 jaar'!J95</f>
        <v>13</v>
      </c>
      <c r="N135" s="123">
        <f>'12. Input inv. &lt;= 10 jaar'!K95</f>
        <v>1210029</v>
      </c>
      <c r="O135" s="113"/>
      <c r="Q135" s="33">
        <f t="shared" si="40"/>
        <v>242005.8</v>
      </c>
      <c r="R135" s="122">
        <f t="shared" si="41"/>
        <v>2031</v>
      </c>
      <c r="S135" s="33">
        <f t="shared" si="42"/>
        <v>0</v>
      </c>
      <c r="T135" s="33">
        <f t="shared" si="43"/>
        <v>0</v>
      </c>
      <c r="V135" s="121">
        <f t="shared" si="59"/>
        <v>0</v>
      </c>
      <c r="W135" s="121">
        <f t="shared" si="59"/>
        <v>0</v>
      </c>
      <c r="X135" s="121">
        <f t="shared" si="59"/>
        <v>0</v>
      </c>
      <c r="Y135" s="121">
        <f t="shared" si="59"/>
        <v>0</v>
      </c>
      <c r="Z135" s="121">
        <f t="shared" si="59"/>
        <v>0</v>
      </c>
      <c r="AB135" s="33">
        <f t="shared" si="44"/>
        <v>0</v>
      </c>
      <c r="AC135" s="33">
        <f t="shared" si="45"/>
        <v>0</v>
      </c>
      <c r="AD135" s="33">
        <f t="shared" si="46"/>
        <v>0</v>
      </c>
      <c r="AE135" s="33">
        <f t="shared" si="47"/>
        <v>0</v>
      </c>
      <c r="AF135" s="33">
        <f t="shared" si="48"/>
        <v>0</v>
      </c>
      <c r="AH135" s="121">
        <f t="shared" si="49"/>
        <v>0</v>
      </c>
      <c r="AI135" s="121">
        <f t="shared" si="50"/>
        <v>0</v>
      </c>
      <c r="AJ135" s="121">
        <f t="shared" si="51"/>
        <v>0</v>
      </c>
      <c r="AK135" s="121">
        <f t="shared" si="52"/>
        <v>0</v>
      </c>
      <c r="AL135" s="121">
        <f t="shared" si="53"/>
        <v>1210029</v>
      </c>
      <c r="AN135" s="121" cm="1">
        <f t="array" ref="AN135">IF($N135&gt;0,((AN$49=$L135)*((13-$M135)/12)+(AN$49&gt;$L135))*$N135*INDEX($H$31:$N$35,$L135-2020,AN$49-2019)*INDEX($H$39:$N$43,$L135-2020,AN$49-2019)*$F$19,0)</f>
        <v>0</v>
      </c>
      <c r="AO135" s="121" cm="1">
        <f t="array" ref="AO135">IF($N135&gt;0,((AO$49=$L135)*((13-$M135)/12)+(AO$49&gt;$L135))*$N135*INDEX($H$31:$N$35,$L135-2020,AO$49-2019)*INDEX($H$39:$N$43,$L135-2020,AO$49-2019)*$F$19,0)</f>
        <v>0</v>
      </c>
      <c r="AP135" s="121" cm="1">
        <f t="array" ref="AP135">IF($N135&gt;0,((AP$49=$L135)*((13-$M135)/12)+(AP$49&gt;$L135))*$N135*INDEX($H$31:$N$35,$L135-2020,AP$49-2019)*INDEX($H$39:$N$43,$L135-2020,AP$49-2019)*$F$19,0)</f>
        <v>0</v>
      </c>
      <c r="AQ135" s="121" cm="1">
        <f t="array" ref="AQ135">IF($N135&gt;0,((AQ$49=$L135)*((13-$M135)/12)+(AQ$49&gt;$L135))*$N135*INDEX($H$31:$N$35,$L135-2020,AQ$49-2019)*INDEX($H$39:$N$43,$L135-2020,AQ$49-2019)*$F$19,0)</f>
        <v>0</v>
      </c>
      <c r="AS135" s="114">
        <f t="shared" si="54"/>
        <v>0</v>
      </c>
      <c r="AT135" s="114">
        <f t="shared" si="55"/>
        <v>0</v>
      </c>
      <c r="AU135" s="114">
        <f t="shared" si="56"/>
        <v>0</v>
      </c>
      <c r="AV135" s="114">
        <f t="shared" si="57"/>
        <v>64131.536999999997</v>
      </c>
    </row>
    <row r="136" spans="1:48" x14ac:dyDescent="0.2">
      <c r="B136" s="124">
        <f>'12. Input inv. &lt;= 10 jaar'!B96</f>
        <v>96</v>
      </c>
      <c r="C136" s="113"/>
      <c r="D136" s="113"/>
      <c r="E136" s="113"/>
      <c r="G136" s="113"/>
      <c r="H136" s="123" t="str">
        <f>'12. Input inv. &lt;= 10 jaar'!E96</f>
        <v>Transport</v>
      </c>
      <c r="I136" s="123" t="str">
        <f>'12. Input inv. &lt;= 10 jaar'!F96</f>
        <v>EHS</v>
      </c>
      <c r="J136" s="123" t="str">
        <f>'12. Input inv. &lt;= 10 jaar'!G96</f>
        <v>Computerapparatuur</v>
      </c>
      <c r="K136" s="123">
        <f>'12. Input inv. &lt;= 10 jaar'!H96</f>
        <v>5</v>
      </c>
      <c r="L136" s="124">
        <f>'12. Input inv. &lt;= 10 jaar'!I96</f>
        <v>2025</v>
      </c>
      <c r="M136" s="123">
        <f>'12. Input inv. &lt;= 10 jaar'!J96</f>
        <v>9</v>
      </c>
      <c r="N136" s="123">
        <f>'12. Input inv. &lt;= 10 jaar'!K96</f>
        <v>129858</v>
      </c>
      <c r="O136" s="113"/>
      <c r="Q136" s="33">
        <f t="shared" si="40"/>
        <v>25971.599999999999</v>
      </c>
      <c r="R136" s="122">
        <f t="shared" si="41"/>
        <v>2030</v>
      </c>
      <c r="S136" s="33">
        <f t="shared" si="42"/>
        <v>8657.1999999999989</v>
      </c>
      <c r="T136" s="33">
        <f t="shared" si="43"/>
        <v>17314.400000001966</v>
      </c>
      <c r="V136" s="121">
        <f t="shared" si="59"/>
        <v>0</v>
      </c>
      <c r="W136" s="121">
        <f t="shared" si="59"/>
        <v>0</v>
      </c>
      <c r="X136" s="121">
        <f t="shared" si="59"/>
        <v>0</v>
      </c>
      <c r="Y136" s="121">
        <f t="shared" si="59"/>
        <v>0</v>
      </c>
      <c r="Z136" s="121">
        <f t="shared" si="59"/>
        <v>8657.1999999999989</v>
      </c>
      <c r="AB136" s="33">
        <f t="shared" si="44"/>
        <v>0</v>
      </c>
      <c r="AC136" s="33">
        <f t="shared" si="45"/>
        <v>0</v>
      </c>
      <c r="AD136" s="33">
        <f t="shared" si="46"/>
        <v>0</v>
      </c>
      <c r="AE136" s="33">
        <f t="shared" si="47"/>
        <v>0</v>
      </c>
      <c r="AF136" s="33">
        <f t="shared" si="48"/>
        <v>8657.1999999999989</v>
      </c>
      <c r="AH136" s="121">
        <f t="shared" si="49"/>
        <v>0</v>
      </c>
      <c r="AI136" s="121">
        <f t="shared" si="50"/>
        <v>0</v>
      </c>
      <c r="AJ136" s="121">
        <f t="shared" si="51"/>
        <v>0</v>
      </c>
      <c r="AK136" s="121">
        <f t="shared" si="52"/>
        <v>0</v>
      </c>
      <c r="AL136" s="121">
        <f t="shared" si="53"/>
        <v>121200.8</v>
      </c>
      <c r="AN136" s="121" cm="1">
        <f t="array" ref="AN136">IF($N136&gt;0,((AN$49=$L136)*((13-$M136)/12)+(AN$49&gt;$L136))*$N136*INDEX($H$31:$N$35,$L136-2020,AN$49-2019)*INDEX($H$39:$N$43,$L136-2020,AN$49-2019)*$F$19,0)</f>
        <v>0</v>
      </c>
      <c r="AO136" s="121" cm="1">
        <f t="array" ref="AO136">IF($N136&gt;0,((AO$49=$L136)*((13-$M136)/12)+(AO$49&gt;$L136))*$N136*INDEX($H$31:$N$35,$L136-2020,AO$49-2019)*INDEX($H$39:$N$43,$L136-2020,AO$49-2019)*$F$19,0)</f>
        <v>0</v>
      </c>
      <c r="AP136" s="121" cm="1">
        <f t="array" ref="AP136">IF($N136&gt;0,((AP$49=$L136)*((13-$M136)/12)+(AP$49&gt;$L136))*$N136*INDEX($H$31:$N$35,$L136-2020,AP$49-2019)*INDEX($H$39:$N$43,$L136-2020,AP$49-2019)*$F$19,0)</f>
        <v>0</v>
      </c>
      <c r="AQ136" s="121" cm="1">
        <f t="array" ref="AQ136">IF($N136&gt;0,((AQ$49=$L136)*((13-$M136)/12)+(AQ$49&gt;$L136))*$N136*INDEX($H$31:$N$35,$L136-2020,AQ$49-2019)*INDEX($H$39:$N$43,$L136-2020,AQ$49-2019)*$F$19,0)</f>
        <v>432.86</v>
      </c>
      <c r="AS136" s="114">
        <f t="shared" si="54"/>
        <v>0</v>
      </c>
      <c r="AT136" s="114">
        <f t="shared" si="55"/>
        <v>0</v>
      </c>
      <c r="AU136" s="114">
        <f t="shared" si="56"/>
        <v>0</v>
      </c>
      <c r="AV136" s="114">
        <f t="shared" si="57"/>
        <v>15513.702399999998</v>
      </c>
    </row>
    <row r="137" spans="1:48" x14ac:dyDescent="0.2">
      <c r="B137" s="124">
        <f>'12. Input inv. &lt;= 10 jaar'!B97</f>
        <v>97</v>
      </c>
      <c r="C137" s="113"/>
      <c r="D137" s="113"/>
      <c r="E137" s="113"/>
      <c r="G137" s="113"/>
      <c r="H137" s="123" t="str">
        <f>'12. Input inv. &lt;= 10 jaar'!E97</f>
        <v>Transport</v>
      </c>
      <c r="I137" s="123" t="str">
        <f>'12. Input inv. &lt;= 10 jaar'!F97</f>
        <v>EHS</v>
      </c>
      <c r="J137" s="123" t="str">
        <f>'12. Input inv. &lt;= 10 jaar'!G97</f>
        <v>Computerapparatuur</v>
      </c>
      <c r="K137" s="123">
        <f>'12. Input inv. &lt;= 10 jaar'!H97</f>
        <v>5</v>
      </c>
      <c r="L137" s="124">
        <f>'12. Input inv. &lt;= 10 jaar'!I97</f>
        <v>2025</v>
      </c>
      <c r="M137" s="123">
        <f>'12. Input inv. &lt;= 10 jaar'!J97</f>
        <v>12</v>
      </c>
      <c r="N137" s="123">
        <f>'12. Input inv. &lt;= 10 jaar'!K97</f>
        <v>776748</v>
      </c>
      <c r="O137" s="113"/>
      <c r="Q137" s="33">
        <f t="shared" si="40"/>
        <v>155349.6</v>
      </c>
      <c r="R137" s="122">
        <f t="shared" si="41"/>
        <v>2030</v>
      </c>
      <c r="S137" s="33">
        <f t="shared" si="42"/>
        <v>12945.800000000001</v>
      </c>
      <c r="T137" s="33">
        <f t="shared" si="43"/>
        <v>142403.80000001178</v>
      </c>
      <c r="V137" s="121">
        <f t="shared" si="59"/>
        <v>0</v>
      </c>
      <c r="W137" s="121">
        <f t="shared" si="59"/>
        <v>0</v>
      </c>
      <c r="X137" s="121">
        <f t="shared" si="59"/>
        <v>0</v>
      </c>
      <c r="Y137" s="121">
        <f t="shared" si="59"/>
        <v>0</v>
      </c>
      <c r="Z137" s="121">
        <f t="shared" si="59"/>
        <v>12945.800000000001</v>
      </c>
      <c r="AB137" s="33">
        <f t="shared" si="44"/>
        <v>0</v>
      </c>
      <c r="AC137" s="33">
        <f t="shared" si="45"/>
        <v>0</v>
      </c>
      <c r="AD137" s="33">
        <f t="shared" si="46"/>
        <v>0</v>
      </c>
      <c r="AE137" s="33">
        <f t="shared" si="47"/>
        <v>0</v>
      </c>
      <c r="AF137" s="33">
        <f t="shared" si="48"/>
        <v>12945.800000000001</v>
      </c>
      <c r="AH137" s="121">
        <f t="shared" si="49"/>
        <v>0</v>
      </c>
      <c r="AI137" s="121">
        <f t="shared" si="50"/>
        <v>0</v>
      </c>
      <c r="AJ137" s="121">
        <f t="shared" si="51"/>
        <v>0</v>
      </c>
      <c r="AK137" s="121">
        <f t="shared" si="52"/>
        <v>0</v>
      </c>
      <c r="AL137" s="121">
        <f t="shared" si="53"/>
        <v>763802.2</v>
      </c>
      <c r="AN137" s="121" cm="1">
        <f t="array" ref="AN137">IF($N137&gt;0,((AN$49=$L137)*((13-$M137)/12)+(AN$49&gt;$L137))*$N137*INDEX($H$31:$N$35,$L137-2020,AN$49-2019)*INDEX($H$39:$N$43,$L137-2020,AN$49-2019)*$F$19,0)</f>
        <v>0</v>
      </c>
      <c r="AO137" s="121" cm="1">
        <f t="array" ref="AO137">IF($N137&gt;0,((AO$49=$L137)*((13-$M137)/12)+(AO$49&gt;$L137))*$N137*INDEX($H$31:$N$35,$L137-2020,AO$49-2019)*INDEX($H$39:$N$43,$L137-2020,AO$49-2019)*$F$19,0)</f>
        <v>0</v>
      </c>
      <c r="AP137" s="121" cm="1">
        <f t="array" ref="AP137">IF($N137&gt;0,((AP$49=$L137)*((13-$M137)/12)+(AP$49&gt;$L137))*$N137*INDEX($H$31:$N$35,$L137-2020,AP$49-2019)*INDEX($H$39:$N$43,$L137-2020,AP$49-2019)*$F$19,0)</f>
        <v>0</v>
      </c>
      <c r="AQ137" s="121" cm="1">
        <f t="array" ref="AQ137">IF($N137&gt;0,((AQ$49=$L137)*((13-$M137)/12)+(AQ$49&gt;$L137))*$N137*INDEX($H$31:$N$35,$L137-2020,AQ$49-2019)*INDEX($H$39:$N$43,$L137-2020,AQ$49-2019)*$F$19,0)</f>
        <v>647.29</v>
      </c>
      <c r="AS137" s="114">
        <f t="shared" si="54"/>
        <v>0</v>
      </c>
      <c r="AT137" s="114">
        <f t="shared" si="55"/>
        <v>0</v>
      </c>
      <c r="AU137" s="114">
        <f t="shared" si="56"/>
        <v>0</v>
      </c>
      <c r="AV137" s="114">
        <f t="shared" si="57"/>
        <v>54074.606599999999</v>
      </c>
    </row>
    <row r="138" spans="1:48" x14ac:dyDescent="0.2">
      <c r="B138" s="124">
        <f>'12. Input inv. &lt;= 10 jaar'!B98</f>
        <v>98</v>
      </c>
      <c r="C138" s="113"/>
      <c r="D138" s="113"/>
      <c r="E138" s="113"/>
      <c r="G138" s="113"/>
      <c r="H138" s="123" t="str">
        <f>'12. Input inv. &lt;= 10 jaar'!E98</f>
        <v>Transport</v>
      </c>
      <c r="I138" s="123" t="str">
        <f>'12. Input inv. &lt;= 10 jaar'!F98</f>
        <v>HS</v>
      </c>
      <c r="J138" s="123" t="str">
        <f>'12. Input inv. &lt;= 10 jaar'!G98</f>
        <v>(Proces)automatisering</v>
      </c>
      <c r="K138" s="123">
        <f>'12. Input inv. &lt;= 10 jaar'!H98</f>
        <v>5</v>
      </c>
      <c r="L138" s="124">
        <f>'12. Input inv. &lt;= 10 jaar'!I98</f>
        <v>2025</v>
      </c>
      <c r="M138" s="123">
        <f>'12. Input inv. &lt;= 10 jaar'!J98</f>
        <v>10</v>
      </c>
      <c r="N138" s="123">
        <f>'12. Input inv. &lt;= 10 jaar'!K98</f>
        <v>819209</v>
      </c>
      <c r="O138" s="113"/>
      <c r="Q138" s="33">
        <f t="shared" si="40"/>
        <v>163841.79999999999</v>
      </c>
      <c r="R138" s="122">
        <f t="shared" si="41"/>
        <v>2030</v>
      </c>
      <c r="S138" s="33">
        <f t="shared" si="42"/>
        <v>40960.449999999997</v>
      </c>
      <c r="T138" s="33">
        <f t="shared" si="43"/>
        <v>122881.34999999999</v>
      </c>
      <c r="V138" s="121">
        <f t="shared" si="59"/>
        <v>0</v>
      </c>
      <c r="W138" s="121">
        <f t="shared" si="59"/>
        <v>0</v>
      </c>
      <c r="X138" s="121">
        <f t="shared" si="59"/>
        <v>0</v>
      </c>
      <c r="Y138" s="121">
        <f t="shared" si="59"/>
        <v>0</v>
      </c>
      <c r="Z138" s="121">
        <f t="shared" si="59"/>
        <v>40960.449999999997</v>
      </c>
      <c r="AB138" s="33">
        <f t="shared" si="44"/>
        <v>0</v>
      </c>
      <c r="AC138" s="33">
        <f t="shared" si="45"/>
        <v>0</v>
      </c>
      <c r="AD138" s="33">
        <f t="shared" si="46"/>
        <v>0</v>
      </c>
      <c r="AE138" s="33">
        <f t="shared" si="47"/>
        <v>0</v>
      </c>
      <c r="AF138" s="33">
        <f t="shared" si="48"/>
        <v>40960.449999999997</v>
      </c>
      <c r="AH138" s="121">
        <f t="shared" si="49"/>
        <v>0</v>
      </c>
      <c r="AI138" s="121">
        <f t="shared" si="50"/>
        <v>0</v>
      </c>
      <c r="AJ138" s="121">
        <f t="shared" si="51"/>
        <v>0</v>
      </c>
      <c r="AK138" s="121">
        <f t="shared" si="52"/>
        <v>0</v>
      </c>
      <c r="AL138" s="121">
        <f t="shared" si="53"/>
        <v>778248.55</v>
      </c>
      <c r="AN138" s="121" cm="1">
        <f t="array" ref="AN138">IF($N138&gt;0,((AN$49=$L138)*((13-$M138)/12)+(AN$49&gt;$L138))*$N138*INDEX($H$31:$N$35,$L138-2020,AN$49-2019)*INDEX($H$39:$N$43,$L138-2020,AN$49-2019)*$F$19,0)</f>
        <v>0</v>
      </c>
      <c r="AO138" s="121" cm="1">
        <f t="array" ref="AO138">IF($N138&gt;0,((AO$49=$L138)*((13-$M138)/12)+(AO$49&gt;$L138))*$N138*INDEX($H$31:$N$35,$L138-2020,AO$49-2019)*INDEX($H$39:$N$43,$L138-2020,AO$49-2019)*$F$19,0)</f>
        <v>0</v>
      </c>
      <c r="AP138" s="121" cm="1">
        <f t="array" ref="AP138">IF($N138&gt;0,((AP$49=$L138)*((13-$M138)/12)+(AP$49&gt;$L138))*$N138*INDEX($H$31:$N$35,$L138-2020,AP$49-2019)*INDEX($H$39:$N$43,$L138-2020,AP$49-2019)*$F$19,0)</f>
        <v>0</v>
      </c>
      <c r="AQ138" s="121" cm="1">
        <f t="array" ref="AQ138">IF($N138&gt;0,((AQ$49=$L138)*((13-$M138)/12)+(AQ$49&gt;$L138))*$N138*INDEX($H$31:$N$35,$L138-2020,AQ$49-2019)*INDEX($H$39:$N$43,$L138-2020,AQ$49-2019)*$F$19,0)</f>
        <v>2048.0225</v>
      </c>
      <c r="AS138" s="114">
        <f t="shared" si="54"/>
        <v>0</v>
      </c>
      <c r="AT138" s="114">
        <f t="shared" si="55"/>
        <v>0</v>
      </c>
      <c r="AU138" s="114">
        <f t="shared" si="56"/>
        <v>0</v>
      </c>
      <c r="AV138" s="114">
        <f t="shared" si="57"/>
        <v>84255.645650000006</v>
      </c>
    </row>
    <row r="139" spans="1:48" x14ac:dyDescent="0.2">
      <c r="B139" s="124">
        <f>'12. Input inv. &lt;= 10 jaar'!B99</f>
        <v>99</v>
      </c>
      <c r="C139" s="113"/>
      <c r="D139" s="113"/>
      <c r="E139" s="113"/>
      <c r="G139" s="113"/>
      <c r="H139" s="123" t="str">
        <f>'12. Input inv. &lt;= 10 jaar'!E99</f>
        <v>Transport</v>
      </c>
      <c r="I139" s="123" t="str">
        <f>'12. Input inv. &lt;= 10 jaar'!F99</f>
        <v>HS</v>
      </c>
      <c r="J139" s="123" t="str">
        <f>'12. Input inv. &lt;= 10 jaar'!G99</f>
        <v>(Proces)automatisering</v>
      </c>
      <c r="K139" s="123">
        <f>'12. Input inv. &lt;= 10 jaar'!H99</f>
        <v>5</v>
      </c>
      <c r="L139" s="124">
        <f>'12. Input inv. &lt;= 10 jaar'!I99</f>
        <v>2025</v>
      </c>
      <c r="M139" s="123">
        <f>'12. Input inv. &lt;= 10 jaar'!J99</f>
        <v>12</v>
      </c>
      <c r="N139" s="123">
        <f>'12. Input inv. &lt;= 10 jaar'!K99</f>
        <v>18051428</v>
      </c>
      <c r="O139" s="113"/>
      <c r="Q139" s="33">
        <f t="shared" si="40"/>
        <v>3610285.6</v>
      </c>
      <c r="R139" s="122">
        <f t="shared" si="41"/>
        <v>2030</v>
      </c>
      <c r="S139" s="33">
        <f t="shared" si="42"/>
        <v>300857.13333333336</v>
      </c>
      <c r="T139" s="33">
        <f t="shared" si="43"/>
        <v>3309428.4666669406</v>
      </c>
      <c r="V139" s="121">
        <f t="shared" si="59"/>
        <v>0</v>
      </c>
      <c r="W139" s="121">
        <f t="shared" si="59"/>
        <v>0</v>
      </c>
      <c r="X139" s="121">
        <f t="shared" si="59"/>
        <v>0</v>
      </c>
      <c r="Y139" s="121">
        <f t="shared" si="59"/>
        <v>0</v>
      </c>
      <c r="Z139" s="121">
        <f t="shared" si="59"/>
        <v>300857.13333333336</v>
      </c>
      <c r="AB139" s="33">
        <f t="shared" si="44"/>
        <v>0</v>
      </c>
      <c r="AC139" s="33">
        <f t="shared" si="45"/>
        <v>0</v>
      </c>
      <c r="AD139" s="33">
        <f t="shared" si="46"/>
        <v>0</v>
      </c>
      <c r="AE139" s="33">
        <f t="shared" si="47"/>
        <v>0</v>
      </c>
      <c r="AF139" s="33">
        <f t="shared" si="48"/>
        <v>300857.13333333336</v>
      </c>
      <c r="AH139" s="121">
        <f t="shared" si="49"/>
        <v>0</v>
      </c>
      <c r="AI139" s="121">
        <f t="shared" si="50"/>
        <v>0</v>
      </c>
      <c r="AJ139" s="121">
        <f t="shared" si="51"/>
        <v>0</v>
      </c>
      <c r="AK139" s="121">
        <f t="shared" si="52"/>
        <v>0</v>
      </c>
      <c r="AL139" s="121">
        <f t="shared" si="53"/>
        <v>17750570.866666667</v>
      </c>
      <c r="AN139" s="121" cm="1">
        <f t="array" ref="AN139">IF($N139&gt;0,((AN$49=$L139)*((13-$M139)/12)+(AN$49&gt;$L139))*$N139*INDEX($H$31:$N$35,$L139-2020,AN$49-2019)*INDEX($H$39:$N$43,$L139-2020,AN$49-2019)*$F$19,0)</f>
        <v>0</v>
      </c>
      <c r="AO139" s="121" cm="1">
        <f t="array" ref="AO139">IF($N139&gt;0,((AO$49=$L139)*((13-$M139)/12)+(AO$49&gt;$L139))*$N139*INDEX($H$31:$N$35,$L139-2020,AO$49-2019)*INDEX($H$39:$N$43,$L139-2020,AO$49-2019)*$F$19,0)</f>
        <v>0</v>
      </c>
      <c r="AP139" s="121" cm="1">
        <f t="array" ref="AP139">IF($N139&gt;0,((AP$49=$L139)*((13-$M139)/12)+(AP$49&gt;$L139))*$N139*INDEX($H$31:$N$35,$L139-2020,AP$49-2019)*INDEX($H$39:$N$43,$L139-2020,AP$49-2019)*$F$19,0)</f>
        <v>0</v>
      </c>
      <c r="AQ139" s="121" cm="1">
        <f t="array" ref="AQ139">IF($N139&gt;0,((AQ$49=$L139)*((13-$M139)/12)+(AQ$49&gt;$L139))*$N139*INDEX($H$31:$N$35,$L139-2020,AQ$49-2019)*INDEX($H$39:$N$43,$L139-2020,AQ$49-2019)*$F$19,0)</f>
        <v>15042.856666666665</v>
      </c>
      <c r="AS139" s="114">
        <f t="shared" si="54"/>
        <v>0</v>
      </c>
      <c r="AT139" s="114">
        <f t="shared" si="55"/>
        <v>0</v>
      </c>
      <c r="AU139" s="114">
        <f t="shared" si="56"/>
        <v>0</v>
      </c>
      <c r="AV139" s="114">
        <f t="shared" si="57"/>
        <v>1256680.2459333334</v>
      </c>
    </row>
    <row r="140" spans="1:48" x14ac:dyDescent="0.2">
      <c r="B140" s="124">
        <f>'12. Input inv. &lt;= 10 jaar'!B100</f>
        <v>100</v>
      </c>
      <c r="C140" s="113"/>
      <c r="D140" s="113"/>
      <c r="E140" s="113"/>
      <c r="G140" s="113"/>
      <c r="H140" s="123" t="str">
        <f>'12. Input inv. &lt;= 10 jaar'!E100</f>
        <v>Transport</v>
      </c>
      <c r="I140" s="123" t="str">
        <f>'12. Input inv. &lt;= 10 jaar'!F100</f>
        <v>HS</v>
      </c>
      <c r="J140" s="123" t="str">
        <f>'12. Input inv. &lt;= 10 jaar'!G100</f>
        <v>(Proces)automatisering</v>
      </c>
      <c r="K140" s="123">
        <f>'12. Input inv. &lt;= 10 jaar'!H100</f>
        <v>5</v>
      </c>
      <c r="L140" s="124">
        <f>'12. Input inv. &lt;= 10 jaar'!I100</f>
        <v>2025</v>
      </c>
      <c r="M140" s="123">
        <f>'12. Input inv. &lt;= 10 jaar'!J100</f>
        <v>13</v>
      </c>
      <c r="N140" s="123">
        <f>'12. Input inv. &lt;= 10 jaar'!K100</f>
        <v>3837723</v>
      </c>
      <c r="O140" s="113"/>
      <c r="Q140" s="33">
        <f t="shared" si="40"/>
        <v>767544.6</v>
      </c>
      <c r="R140" s="122">
        <f t="shared" si="41"/>
        <v>2031</v>
      </c>
      <c r="S140" s="33">
        <f t="shared" si="42"/>
        <v>0</v>
      </c>
      <c r="T140" s="33">
        <f t="shared" si="43"/>
        <v>0</v>
      </c>
      <c r="V140" s="121">
        <f t="shared" si="59"/>
        <v>0</v>
      </c>
      <c r="W140" s="121">
        <f t="shared" si="59"/>
        <v>0</v>
      </c>
      <c r="X140" s="121">
        <f t="shared" si="59"/>
        <v>0</v>
      </c>
      <c r="Y140" s="121">
        <f t="shared" si="59"/>
        <v>0</v>
      </c>
      <c r="Z140" s="121">
        <f t="shared" si="59"/>
        <v>0</v>
      </c>
      <c r="AB140" s="33">
        <f t="shared" si="44"/>
        <v>0</v>
      </c>
      <c r="AC140" s="33">
        <f t="shared" si="45"/>
        <v>0</v>
      </c>
      <c r="AD140" s="33">
        <f t="shared" si="46"/>
        <v>0</v>
      </c>
      <c r="AE140" s="33">
        <f t="shared" si="47"/>
        <v>0</v>
      </c>
      <c r="AF140" s="33">
        <f t="shared" si="48"/>
        <v>0</v>
      </c>
      <c r="AH140" s="121">
        <f t="shared" si="49"/>
        <v>0</v>
      </c>
      <c r="AI140" s="121">
        <f t="shared" si="50"/>
        <v>0</v>
      </c>
      <c r="AJ140" s="121">
        <f t="shared" si="51"/>
        <v>0</v>
      </c>
      <c r="AK140" s="121">
        <f t="shared" si="52"/>
        <v>0</v>
      </c>
      <c r="AL140" s="121">
        <f t="shared" si="53"/>
        <v>3837723</v>
      </c>
      <c r="AN140" s="121" cm="1">
        <f t="array" ref="AN140">IF($N140&gt;0,((AN$49=$L140)*((13-$M140)/12)+(AN$49&gt;$L140))*$N140*INDEX($H$31:$N$35,$L140-2020,AN$49-2019)*INDEX($H$39:$N$43,$L140-2020,AN$49-2019)*$F$19,0)</f>
        <v>0</v>
      </c>
      <c r="AO140" s="121" cm="1">
        <f t="array" ref="AO140">IF($N140&gt;0,((AO$49=$L140)*((13-$M140)/12)+(AO$49&gt;$L140))*$N140*INDEX($H$31:$N$35,$L140-2020,AO$49-2019)*INDEX($H$39:$N$43,$L140-2020,AO$49-2019)*$F$19,0)</f>
        <v>0</v>
      </c>
      <c r="AP140" s="121" cm="1">
        <f t="array" ref="AP140">IF($N140&gt;0,((AP$49=$L140)*((13-$M140)/12)+(AP$49&gt;$L140))*$N140*INDEX($H$31:$N$35,$L140-2020,AP$49-2019)*INDEX($H$39:$N$43,$L140-2020,AP$49-2019)*$F$19,0)</f>
        <v>0</v>
      </c>
      <c r="AQ140" s="121" cm="1">
        <f t="array" ref="AQ140">IF($N140&gt;0,((AQ$49=$L140)*((13-$M140)/12)+(AQ$49&gt;$L140))*$N140*INDEX($H$31:$N$35,$L140-2020,AQ$49-2019)*INDEX($H$39:$N$43,$L140-2020,AQ$49-2019)*$F$19,0)</f>
        <v>0</v>
      </c>
      <c r="AS140" s="114">
        <f t="shared" si="54"/>
        <v>0</v>
      </c>
      <c r="AT140" s="114">
        <f t="shared" si="55"/>
        <v>0</v>
      </c>
      <c r="AU140" s="114">
        <f t="shared" si="56"/>
        <v>0</v>
      </c>
      <c r="AV140" s="114">
        <f t="shared" si="57"/>
        <v>203399.31899999999</v>
      </c>
    </row>
    <row r="141" spans="1:48" x14ac:dyDescent="0.2">
      <c r="B141" s="124">
        <f>'12. Input inv. &lt;= 10 jaar'!B101</f>
        <v>101</v>
      </c>
      <c r="C141" s="113"/>
      <c r="D141" s="113"/>
      <c r="E141" s="113"/>
      <c r="G141" s="113"/>
      <c r="H141" s="123" t="str">
        <f>'12. Input inv. &lt;= 10 jaar'!E101</f>
        <v>Transport</v>
      </c>
      <c r="I141" s="123" t="str">
        <f>'12. Input inv. &lt;= 10 jaar'!F101</f>
        <v>HS</v>
      </c>
      <c r="J141" s="123" t="str">
        <f>'12. Input inv. &lt;= 10 jaar'!G101</f>
        <v>Computerapparatuur</v>
      </c>
      <c r="K141" s="123">
        <f>'12. Input inv. &lt;= 10 jaar'!H101</f>
        <v>5</v>
      </c>
      <c r="L141" s="124">
        <f>'12. Input inv. &lt;= 10 jaar'!I101</f>
        <v>2025</v>
      </c>
      <c r="M141" s="123">
        <f>'12. Input inv. &lt;= 10 jaar'!J101</f>
        <v>9</v>
      </c>
      <c r="N141" s="123">
        <f>'12. Input inv. &lt;= 10 jaar'!K101</f>
        <v>411857</v>
      </c>
      <c r="O141" s="113"/>
      <c r="Q141" s="33">
        <f t="shared" si="40"/>
        <v>82371.399999999994</v>
      </c>
      <c r="R141" s="122">
        <f t="shared" si="41"/>
        <v>2030</v>
      </c>
      <c r="S141" s="33">
        <f t="shared" si="42"/>
        <v>27457.133333333331</v>
      </c>
      <c r="T141" s="33">
        <f t="shared" si="43"/>
        <v>54914.266666672906</v>
      </c>
      <c r="V141" s="121">
        <f t="shared" ref="V141:Z142" si="60">((V$49=$L141)*$S141+(V$49&gt;$L141)*(V$49&lt;$R141)*$Q141+(V$49=$R141)*$T141)</f>
        <v>0</v>
      </c>
      <c r="W141" s="121">
        <f t="shared" si="60"/>
        <v>0</v>
      </c>
      <c r="X141" s="121">
        <f t="shared" si="60"/>
        <v>0</v>
      </c>
      <c r="Y141" s="121">
        <f t="shared" si="60"/>
        <v>0</v>
      </c>
      <c r="Z141" s="121">
        <f t="shared" si="60"/>
        <v>27457.133333333331</v>
      </c>
      <c r="AB141" s="33">
        <f t="shared" si="44"/>
        <v>0</v>
      </c>
      <c r="AC141" s="33">
        <f t="shared" si="45"/>
        <v>0</v>
      </c>
      <c r="AD141" s="33">
        <f t="shared" si="46"/>
        <v>0</v>
      </c>
      <c r="AE141" s="33">
        <f t="shared" si="47"/>
        <v>0</v>
      </c>
      <c r="AF141" s="33">
        <f t="shared" si="48"/>
        <v>27457.133333333331</v>
      </c>
      <c r="AH141" s="121">
        <f t="shared" si="49"/>
        <v>0</v>
      </c>
      <c r="AI141" s="121">
        <f t="shared" si="50"/>
        <v>0</v>
      </c>
      <c r="AJ141" s="121">
        <f t="shared" si="51"/>
        <v>0</v>
      </c>
      <c r="AK141" s="121">
        <f t="shared" si="52"/>
        <v>0</v>
      </c>
      <c r="AL141" s="121">
        <f t="shared" si="53"/>
        <v>384399.8666666667</v>
      </c>
      <c r="AN141" s="121" cm="1">
        <f t="array" ref="AN141">IF($N141&gt;0,((AN$49=$L141)*((13-$M141)/12)+(AN$49&gt;$L141))*$N141*INDEX($H$31:$N$35,$L141-2020,AN$49-2019)*INDEX($H$39:$N$43,$L141-2020,AN$49-2019)*$F$19,0)</f>
        <v>0</v>
      </c>
      <c r="AO141" s="121" cm="1">
        <f t="array" ref="AO141">IF($N141&gt;0,((AO$49=$L141)*((13-$M141)/12)+(AO$49&gt;$L141))*$N141*INDEX($H$31:$N$35,$L141-2020,AO$49-2019)*INDEX($H$39:$N$43,$L141-2020,AO$49-2019)*$F$19,0)</f>
        <v>0</v>
      </c>
      <c r="AP141" s="121" cm="1">
        <f t="array" ref="AP141">IF($N141&gt;0,((AP$49=$L141)*((13-$M141)/12)+(AP$49&gt;$L141))*$N141*INDEX($H$31:$N$35,$L141-2020,AP$49-2019)*INDEX($H$39:$N$43,$L141-2020,AP$49-2019)*$F$19,0)</f>
        <v>0</v>
      </c>
      <c r="AQ141" s="121" cm="1">
        <f t="array" ref="AQ141">IF($N141&gt;0,((AQ$49=$L141)*((13-$M141)/12)+(AQ$49&gt;$L141))*$N141*INDEX($H$31:$N$35,$L141-2020,AQ$49-2019)*INDEX($H$39:$N$43,$L141-2020,AQ$49-2019)*$F$19,0)</f>
        <v>1372.8566666666666</v>
      </c>
      <c r="AS141" s="114">
        <f t="shared" si="54"/>
        <v>0</v>
      </c>
      <c r="AT141" s="114">
        <f t="shared" si="55"/>
        <v>0</v>
      </c>
      <c r="AU141" s="114">
        <f t="shared" si="56"/>
        <v>0</v>
      </c>
      <c r="AV141" s="114">
        <f t="shared" si="57"/>
        <v>49203.182933333337</v>
      </c>
    </row>
    <row r="142" spans="1:48" x14ac:dyDescent="0.2">
      <c r="B142" s="124">
        <f>'12. Input inv. &lt;= 10 jaar'!B102</f>
        <v>102</v>
      </c>
      <c r="C142" s="113"/>
      <c r="D142" s="113"/>
      <c r="E142" s="113"/>
      <c r="G142" s="113"/>
      <c r="H142" s="123" t="str">
        <f>'12. Input inv. &lt;= 10 jaar'!E102</f>
        <v>Transport</v>
      </c>
      <c r="I142" s="123" t="str">
        <f>'12. Input inv. &lt;= 10 jaar'!F102</f>
        <v>HS</v>
      </c>
      <c r="J142" s="123" t="str">
        <f>'12. Input inv. &lt;= 10 jaar'!G102</f>
        <v>Computerapparatuur</v>
      </c>
      <c r="K142" s="123">
        <f>'12. Input inv. &lt;= 10 jaar'!H102</f>
        <v>5</v>
      </c>
      <c r="L142" s="124">
        <f>'12. Input inv. &lt;= 10 jaar'!I102</f>
        <v>2025</v>
      </c>
      <c r="M142" s="123">
        <f>'12. Input inv. &lt;= 10 jaar'!J102</f>
        <v>12</v>
      </c>
      <c r="N142" s="123">
        <f>'12. Input inv. &lt;= 10 jaar'!K102</f>
        <v>2463533</v>
      </c>
      <c r="O142" s="113"/>
      <c r="Q142" s="33">
        <f t="shared" ref="Q142" si="61">IF(K142&gt;0,N142/K142,0)</f>
        <v>492706.6</v>
      </c>
      <c r="R142" s="122">
        <f t="shared" ref="R142" si="62">ROUNDDOWN(L142+K142+(M142-1)/12,0)</f>
        <v>2030</v>
      </c>
      <c r="S142" s="33">
        <f t="shared" ref="S142" si="63">Q142*(13-M142)/12</f>
        <v>41058.883333333331</v>
      </c>
      <c r="T142" s="33">
        <f t="shared" ref="T142" si="64">Q142*(L142+K142+(M142-1)/12-R142)</f>
        <v>451647.71666670399</v>
      </c>
      <c r="V142" s="121">
        <f t="shared" si="60"/>
        <v>0</v>
      </c>
      <c r="W142" s="121">
        <f t="shared" si="60"/>
        <v>0</v>
      </c>
      <c r="X142" s="121">
        <f t="shared" si="60"/>
        <v>0</v>
      </c>
      <c r="Y142" s="121">
        <f t="shared" si="60"/>
        <v>0</v>
      </c>
      <c r="Z142" s="121">
        <f t="shared" si="60"/>
        <v>41058.883333333331</v>
      </c>
      <c r="AB142" s="33">
        <f t="shared" ref="AB142" si="65">POWER((1+$F$25),(AB$49-$L142))*V142</f>
        <v>0</v>
      </c>
      <c r="AC142" s="33">
        <f t="shared" ref="AC142" si="66">POWER((1+$F$25),(AC$49-$L142))*W142</f>
        <v>0</v>
      </c>
      <c r="AD142" s="33">
        <f t="shared" ref="AD142" si="67">POWER((1+$F$25),(AD$49-$L142))*X142</f>
        <v>0</v>
      </c>
      <c r="AE142" s="33">
        <f t="shared" ref="AE142" si="68">POWER((1+$F$25),(AE$49-$L142))*Y142</f>
        <v>0</v>
      </c>
      <c r="AF142" s="33">
        <f t="shared" ref="AF142" si="69">POWER((1+$F$25),(AF$49-$L142))*Z142</f>
        <v>41058.883333333331</v>
      </c>
      <c r="AH142" s="121">
        <f t="shared" ref="AH142" si="70">(AH$49=$L142)*($N142-AB142)+(AH$49&gt;$L142)*(AG142*(1+$F$25)-AB142)</f>
        <v>0</v>
      </c>
      <c r="AI142" s="121">
        <f t="shared" ref="AI142" si="71">(AI$49=$L142)*($N142-AC142)+(AI$49&gt;$L142)*(AH142*(1+$F$25)-AC142)</f>
        <v>0</v>
      </c>
      <c r="AJ142" s="121">
        <f t="shared" ref="AJ142" si="72">(AJ$49=$L142)*($N142-AD142)+(AJ$49&gt;$L142)*(AI142*(1+$F$25)-AD142)</f>
        <v>0</v>
      </c>
      <c r="AK142" s="121">
        <f t="shared" ref="AK142" si="73">(AK$49=$L142)*($N142-AE142)+(AK$49&gt;$L142)*(AJ142*(1+$F$25)-AE142)</f>
        <v>0</v>
      </c>
      <c r="AL142" s="121">
        <f t="shared" ref="AL142" si="74">(AL$49=$L142)*($N142-AF142)+(AL$49&gt;$L142)*(AK142*(1+$F$25)-AF142)</f>
        <v>2422474.1166666667</v>
      </c>
      <c r="AN142" s="121" cm="1">
        <f t="array" ref="AN142">IF($N142&gt;0,((AN$49=$L142)*((13-$M142)/12)+(AN$49&gt;$L142))*$N142*INDEX($H$31:$N$35,$L142-2020,AN$49-2019)*INDEX($H$39:$N$43,$L142-2020,AN$49-2019)*$F$19,0)</f>
        <v>0</v>
      </c>
      <c r="AO142" s="121" cm="1">
        <f t="array" ref="AO142">IF($N142&gt;0,((AO$49=$L142)*((13-$M142)/12)+(AO$49&gt;$L142))*$N142*INDEX($H$31:$N$35,$L142-2020,AO$49-2019)*INDEX($H$39:$N$43,$L142-2020,AO$49-2019)*$F$19,0)</f>
        <v>0</v>
      </c>
      <c r="AP142" s="121" cm="1">
        <f t="array" ref="AP142">IF($N142&gt;0,((AP$49=$L142)*((13-$M142)/12)+(AP$49&gt;$L142))*$N142*INDEX($H$31:$N$35,$L142-2020,AP$49-2019)*INDEX($H$39:$N$43,$L142-2020,AP$49-2019)*$F$19,0)</f>
        <v>0</v>
      </c>
      <c r="AQ142" s="121" cm="1">
        <f t="array" ref="AQ142">IF($N142&gt;0,((AQ$49=$L142)*((13-$M142)/12)+(AQ$49&gt;$L142))*$N142*INDEX($H$31:$N$35,$L142-2020,AQ$49-2019)*INDEX($H$39:$N$43,$L142-2020,AQ$49-2019)*$F$19,0)</f>
        <v>2052.9441666666667</v>
      </c>
      <c r="AS142" s="114">
        <f t="shared" ref="AS142" si="75">AC142+AI142*J$16+AN142</f>
        <v>0</v>
      </c>
      <c r="AT142" s="114">
        <f t="shared" ref="AT142" si="76">AD142+AJ142*K$16+AO142</f>
        <v>0</v>
      </c>
      <c r="AU142" s="114">
        <f t="shared" ref="AU142" si="77">AE142+AK142*L$16+AP142</f>
        <v>0</v>
      </c>
      <c r="AV142" s="114">
        <f t="shared" ref="AV142" si="78">AF142+AL142*M$16+AQ142</f>
        <v>171502.95568333333</v>
      </c>
    </row>
    <row r="143" spans="1:48" x14ac:dyDescent="0.2">
      <c r="C143" s="113"/>
      <c r="E143" s="113"/>
      <c r="F143" s="112"/>
      <c r="AO143" s="112"/>
    </row>
    <row r="144" spans="1:48" s="119" customFormat="1" x14ac:dyDescent="0.2">
      <c r="A144" s="120"/>
      <c r="B144" s="119" t="s">
        <v>729</v>
      </c>
    </row>
    <row r="145" spans="1:15" s="115" customFormat="1" x14ac:dyDescent="0.2">
      <c r="A145" s="118"/>
      <c r="F145" s="117"/>
      <c r="J145" s="116"/>
      <c r="K145" s="116"/>
      <c r="L145" s="116"/>
    </row>
    <row r="146" spans="1:15" x14ac:dyDescent="0.2">
      <c r="C146" s="113"/>
      <c r="E146" s="113"/>
    </row>
    <row r="147" spans="1:15" x14ac:dyDescent="0.2">
      <c r="B147" s="2" t="s">
        <v>912</v>
      </c>
      <c r="C147" s="113"/>
      <c r="D147" s="2" t="s">
        <v>100</v>
      </c>
      <c r="E147" s="113"/>
      <c r="M147" s="114">
        <f>SUMIFS(AV$51:AV$142,$I$51:$I$142,"EHS",$H$51:$H$142,"Transport")</f>
        <v>5380683.3882560134</v>
      </c>
    </row>
    <row r="148" spans="1:15" x14ac:dyDescent="0.2">
      <c r="B148" s="2" t="s">
        <v>909</v>
      </c>
      <c r="D148" s="2" t="s">
        <v>100</v>
      </c>
      <c r="O148" s="23">
        <f>M147*$F$22</f>
        <v>5903619.5109624248</v>
      </c>
    </row>
    <row r="150" spans="1:15" x14ac:dyDescent="0.2">
      <c r="B150" s="2" t="s">
        <v>913</v>
      </c>
      <c r="C150" s="113"/>
      <c r="D150" s="2" t="s">
        <v>100</v>
      </c>
      <c r="E150" s="113"/>
      <c r="M150" s="114">
        <f>SUMIFS(AV$51:AV$142,$I$51:$I$142,"HS")</f>
        <v>17021820.171742264</v>
      </c>
    </row>
    <row r="151" spans="1:15" x14ac:dyDescent="0.2">
      <c r="B151" s="2" t="s">
        <v>910</v>
      </c>
      <c r="D151" s="2" t="s">
        <v>100</v>
      </c>
      <c r="O151" s="23">
        <f>M150*$F$22</f>
        <v>18676131.343710661</v>
      </c>
    </row>
    <row r="153" spans="1:15" x14ac:dyDescent="0.2">
      <c r="B153" s="2" t="s">
        <v>914</v>
      </c>
      <c r="C153" s="113"/>
      <c r="D153" s="2" t="s">
        <v>100</v>
      </c>
      <c r="E153" s="113"/>
      <c r="M153" s="114">
        <f>SUMIFS(AV$51:AV$142,$H$51:$H$142,"Systeem")</f>
        <v>13992749.024756191</v>
      </c>
    </row>
    <row r="154" spans="1:15" x14ac:dyDescent="0.2">
      <c r="B154" s="2" t="s">
        <v>911</v>
      </c>
      <c r="D154" s="2" t="s">
        <v>100</v>
      </c>
      <c r="O154" s="23">
        <f>M153*$F$22</f>
        <v>15352671.806494443</v>
      </c>
    </row>
  </sheetData>
  <mergeCells count="15">
    <mergeCell ref="T48:T49"/>
    <mergeCell ref="U48:U49"/>
    <mergeCell ref="B5:D5"/>
    <mergeCell ref="B7:D7"/>
    <mergeCell ref="B8:D8"/>
    <mergeCell ref="Q48:Q49"/>
    <mergeCell ref="R48:R49"/>
    <mergeCell ref="S48:S49"/>
    <mergeCell ref="H48:H49"/>
    <mergeCell ref="I48:I49"/>
    <mergeCell ref="J48:J49"/>
    <mergeCell ref="K48:K49"/>
    <mergeCell ref="L48:L49"/>
    <mergeCell ref="M48:M49"/>
    <mergeCell ref="N48:N49"/>
  </mergeCells>
  <phoneticPr fontId="30" type="noConversion"/>
  <pageMargins left="0.7" right="0.7" top="0.75" bottom="0.75" header="0.3" footer="0.3"/>
  <pageSetup paperSize="9" orientation="portrait" r:id="rId1"/>
  <headerFooter>
    <oddFooter>&amp;C_x000D_&amp;1#&amp;"Calibri"&amp;10&amp;K000000 Vertrouwelijk/Confidential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4E847-3B08-47F6-ACE0-DAE43F011078}">
  <sheetPr>
    <tabColor rgb="FFFFFFCC"/>
  </sheetPr>
  <dimension ref="B2:R44"/>
  <sheetViews>
    <sheetView showGridLines="0" zoomScale="85" zoomScaleNormal="85" workbookViewId="0">
      <pane xSplit="6" ySplit="11" topLeftCell="G12" activePane="bottomRight" state="frozen"/>
      <selection activeCell="P579" sqref="P579"/>
      <selection pane="topRight" activeCell="P579" sqref="P579"/>
      <selection pane="bottomLeft" activeCell="P579" sqref="P579"/>
      <selection pane="bottomRight"/>
    </sheetView>
  </sheetViews>
  <sheetFormatPr defaultColWidth="9.140625" defaultRowHeight="12.75" x14ac:dyDescent="0.2"/>
  <cols>
    <col min="1" max="1" width="5.7109375" style="2" customWidth="1"/>
    <col min="2" max="2" width="74.7109375" style="2" customWidth="1"/>
    <col min="3" max="5" width="5.7109375" style="2" customWidth="1"/>
    <col min="6" max="6" width="13.7109375" style="2" customWidth="1"/>
    <col min="7" max="7" width="2.7109375" style="2" customWidth="1"/>
    <col min="8" max="8" width="13.7109375" style="2" customWidth="1"/>
    <col min="9" max="9" width="2.7109375" style="2" customWidth="1"/>
    <col min="10" max="10" width="13.7109375" style="2" customWidth="1"/>
    <col min="11" max="11" width="2.7109375" style="2" customWidth="1"/>
    <col min="12" max="16" width="18.7109375" style="2" customWidth="1"/>
    <col min="17" max="17" width="2.7109375" style="2" customWidth="1"/>
    <col min="18" max="18" width="30.85546875" style="2" customWidth="1"/>
    <col min="19" max="32" width="13.7109375" style="2" customWidth="1"/>
    <col min="33" max="16384" width="9.140625" style="2"/>
  </cols>
  <sheetData>
    <row r="2" spans="2:18" s="13" customFormat="1" ht="18" x14ac:dyDescent="0.2">
      <c r="B2" s="13" t="s">
        <v>1062</v>
      </c>
    </row>
    <row r="4" spans="2:18" x14ac:dyDescent="0.2">
      <c r="B4" s="21" t="s">
        <v>52</v>
      </c>
      <c r="C4" s="1"/>
      <c r="D4" s="1"/>
    </row>
    <row r="5" spans="2:18" ht="66.75" customHeight="1" x14ac:dyDescent="0.2">
      <c r="B5" s="163" t="s">
        <v>924</v>
      </c>
      <c r="C5" s="163"/>
      <c r="D5" s="163"/>
      <c r="E5" s="163"/>
    </row>
    <row r="6" spans="2:18" ht="12.75" customHeight="1" x14ac:dyDescent="0.2">
      <c r="B6" s="87"/>
      <c r="C6" s="87"/>
      <c r="D6" s="87"/>
      <c r="E6" s="87"/>
    </row>
    <row r="7" spans="2:18" ht="12.75" customHeight="1" x14ac:dyDescent="0.2">
      <c r="B7" s="22" t="s">
        <v>27</v>
      </c>
      <c r="C7" s="3"/>
      <c r="D7" s="3"/>
    </row>
    <row r="8" spans="2:18" ht="12.75" customHeight="1" x14ac:dyDescent="0.2">
      <c r="B8" s="163" t="s">
        <v>420</v>
      </c>
      <c r="C8" s="163"/>
      <c r="D8" s="163"/>
      <c r="E8" s="163"/>
    </row>
    <row r="10" spans="2:18" s="7" customFormat="1" ht="42.75" customHeight="1" x14ac:dyDescent="0.2">
      <c r="B10" s="7" t="s">
        <v>42</v>
      </c>
      <c r="F10" s="7" t="s">
        <v>24</v>
      </c>
      <c r="H10" s="7" t="s">
        <v>25</v>
      </c>
      <c r="J10" s="7" t="s">
        <v>46</v>
      </c>
      <c r="L10" s="51" t="s">
        <v>95</v>
      </c>
      <c r="M10" s="51" t="s">
        <v>96</v>
      </c>
      <c r="N10" s="51" t="s">
        <v>574</v>
      </c>
      <c r="O10" s="51" t="s">
        <v>97</v>
      </c>
      <c r="P10" s="51" t="s">
        <v>576</v>
      </c>
      <c r="R10" s="7" t="s">
        <v>44</v>
      </c>
    </row>
    <row r="13" spans="2:18" s="7" customFormat="1" x14ac:dyDescent="0.2">
      <c r="B13" s="7" t="s">
        <v>45</v>
      </c>
    </row>
    <row r="15" spans="2:18" x14ac:dyDescent="0.2">
      <c r="B15" s="2" t="s">
        <v>835</v>
      </c>
      <c r="F15" s="2" t="s">
        <v>112</v>
      </c>
      <c r="H15" s="63">
        <f>'16. Berekening parameters'!H94</f>
        <v>6.568287965979791E-2</v>
      </c>
    </row>
    <row r="17" spans="2:16" x14ac:dyDescent="0.2">
      <c r="B17" s="21" t="s">
        <v>85</v>
      </c>
    </row>
    <row r="18" spans="2:16" x14ac:dyDescent="0.2">
      <c r="B18" s="2" t="s">
        <v>814</v>
      </c>
      <c r="F18" s="2" t="s">
        <v>819</v>
      </c>
      <c r="L18" s="65">
        <f>'11. Tarieven, RV en omzet'!L13</f>
        <v>12478.96</v>
      </c>
      <c r="M18" s="65">
        <f>'11. Tarieven, RV en omzet'!M13</f>
        <v>54.99</v>
      </c>
      <c r="N18" s="65">
        <f>'11. Tarieven, RV en omzet'!N13</f>
        <v>7.14</v>
      </c>
      <c r="O18" s="65">
        <f>'11. Tarieven, RV en omzet'!O13</f>
        <v>27.5</v>
      </c>
      <c r="P18" s="65">
        <f>'11. Tarieven, RV en omzet'!P13</f>
        <v>2.4700000000000002</v>
      </c>
    </row>
    <row r="19" spans="2:16" x14ac:dyDescent="0.2">
      <c r="B19" s="2" t="s">
        <v>915</v>
      </c>
      <c r="F19" s="2" t="s">
        <v>98</v>
      </c>
      <c r="L19" s="65">
        <f>'8. Voorstel tarieven en RV'!L16</f>
        <v>22.583333333333332</v>
      </c>
      <c r="M19" s="32">
        <f>'8. Voorstel tarieven en RV'!M16</f>
        <v>655597.01600000018</v>
      </c>
      <c r="N19" s="32">
        <f>'8. Voorstel tarieven en RV'!N16</f>
        <v>5096149</v>
      </c>
      <c r="O19" s="32">
        <f>'8. Voorstel tarieven en RV'!O16</f>
        <v>120379.004</v>
      </c>
      <c r="P19" s="32">
        <f>'8. Voorstel tarieven en RV'!P16</f>
        <v>1646902</v>
      </c>
    </row>
    <row r="21" spans="2:16" x14ac:dyDescent="0.2">
      <c r="B21" s="2" t="s">
        <v>815</v>
      </c>
      <c r="F21" s="2" t="s">
        <v>819</v>
      </c>
      <c r="H21" s="32">
        <f>'11. Tarieven, RV en omzet'!H16</f>
        <v>274537.12</v>
      </c>
    </row>
    <row r="22" spans="2:16" x14ac:dyDescent="0.2">
      <c r="B22" s="2" t="s">
        <v>816</v>
      </c>
      <c r="F22" s="2" t="s">
        <v>819</v>
      </c>
      <c r="H22" s="32">
        <f>'11. Tarieven, RV en omzet'!H17</f>
        <v>160548623.28043568</v>
      </c>
    </row>
    <row r="24" spans="2:16" x14ac:dyDescent="0.2">
      <c r="B24" s="21" t="s">
        <v>86</v>
      </c>
    </row>
    <row r="25" spans="2:16" x14ac:dyDescent="0.2">
      <c r="B25" s="2" t="s">
        <v>814</v>
      </c>
      <c r="F25" s="2" t="s">
        <v>819</v>
      </c>
      <c r="L25" s="65">
        <f>'11. Tarieven, RV en omzet'!L20</f>
        <v>2760</v>
      </c>
      <c r="M25" s="65">
        <f>'11. Tarieven, RV en omzet'!M20</f>
        <v>73.459999999999994</v>
      </c>
      <c r="N25" s="65">
        <f>'11. Tarieven, RV en omzet'!N20</f>
        <v>8.5</v>
      </c>
      <c r="O25" s="65">
        <f>'11. Tarieven, RV en omzet'!O20</f>
        <v>36.729999999999997</v>
      </c>
      <c r="P25" s="65">
        <f>'11. Tarieven, RV en omzet'!P20</f>
        <v>2.94</v>
      </c>
    </row>
    <row r="26" spans="2:16" x14ac:dyDescent="0.2">
      <c r="B26" s="2" t="s">
        <v>915</v>
      </c>
      <c r="F26" s="2" t="s">
        <v>98</v>
      </c>
      <c r="L26" s="65">
        <f>'8. Voorstel tarieven en RV'!L19</f>
        <v>99.083333333333329</v>
      </c>
      <c r="M26" s="32">
        <f>'8. Voorstel tarieven en RV'!M19</f>
        <v>17639969.015999999</v>
      </c>
      <c r="N26" s="32">
        <f>'8. Voorstel tarieven en RV'!N19</f>
        <v>148325360</v>
      </c>
      <c r="O26" s="32">
        <f>'8. Voorstel tarieven en RV'!O19</f>
        <v>270236.71600000007</v>
      </c>
      <c r="P26" s="32">
        <f>'8. Voorstel tarieven en RV'!P19</f>
        <v>2235875</v>
      </c>
    </row>
    <row r="28" spans="2:16" x14ac:dyDescent="0.2">
      <c r="B28" s="2" t="s">
        <v>817</v>
      </c>
      <c r="F28" s="2" t="s">
        <v>819</v>
      </c>
      <c r="H28" s="32">
        <f>'11. Tarieven, RV en omzet'!H23</f>
        <v>269100</v>
      </c>
    </row>
    <row r="29" spans="2:16" x14ac:dyDescent="0.2">
      <c r="B29" s="2" t="s">
        <v>916</v>
      </c>
      <c r="F29" s="2" t="s">
        <v>819</v>
      </c>
      <c r="H29" s="32">
        <f>'11. Tarieven, RV en omzet'!H24</f>
        <v>2392331463.7119827</v>
      </c>
    </row>
    <row r="31" spans="2:16" s="7" customFormat="1" x14ac:dyDescent="0.2">
      <c r="B31" s="7" t="s">
        <v>180</v>
      </c>
    </row>
    <row r="33" spans="2:16" x14ac:dyDescent="0.2">
      <c r="B33" s="2" t="s">
        <v>917</v>
      </c>
      <c r="F33" s="2" t="s">
        <v>819</v>
      </c>
      <c r="H33" s="33">
        <f>H21+H22</f>
        <v>160823160.40043569</v>
      </c>
    </row>
    <row r="34" spans="2:16" x14ac:dyDescent="0.2">
      <c r="B34" s="2" t="s">
        <v>918</v>
      </c>
      <c r="F34" s="2" t="s">
        <v>819</v>
      </c>
      <c r="H34" s="33">
        <f>H28+H29</f>
        <v>2392600563.7119827</v>
      </c>
    </row>
    <row r="36" spans="2:16" x14ac:dyDescent="0.2">
      <c r="B36" s="21" t="s">
        <v>181</v>
      </c>
    </row>
    <row r="37" spans="2:16" x14ac:dyDescent="0.2">
      <c r="B37" s="2" t="s">
        <v>919</v>
      </c>
      <c r="F37" s="2" t="s">
        <v>819</v>
      </c>
      <c r="J37" s="33">
        <f>SUM(L37:P37)</f>
        <v>80097870.833173349</v>
      </c>
      <c r="L37" s="33">
        <f>L18*L19</f>
        <v>281816.51333333331</v>
      </c>
      <c r="M37" s="33">
        <f>M18*M19</f>
        <v>36051279.90984001</v>
      </c>
      <c r="N37" s="33">
        <f>N18*N19</f>
        <v>36386503.859999999</v>
      </c>
      <c r="O37" s="33">
        <f>O18*O19</f>
        <v>3310422.61</v>
      </c>
      <c r="P37" s="33">
        <f>P18*P19</f>
        <v>4067847.9400000004</v>
      </c>
    </row>
    <row r="38" spans="2:16" x14ac:dyDescent="0.2">
      <c r="B38" s="2" t="s">
        <v>182</v>
      </c>
      <c r="F38" s="2" t="s">
        <v>819</v>
      </c>
      <c r="H38" s="33">
        <f>H33-J37</f>
        <v>80725289.567262337</v>
      </c>
    </row>
    <row r="39" spans="2:16" x14ac:dyDescent="0.2">
      <c r="B39" s="2" t="s">
        <v>921</v>
      </c>
      <c r="F39" s="2" t="s">
        <v>922</v>
      </c>
      <c r="H39" s="23">
        <f>H38*(1+H15)</f>
        <v>86027559.047411174</v>
      </c>
    </row>
    <row r="41" spans="2:16" x14ac:dyDescent="0.2">
      <c r="B41" s="21" t="s">
        <v>183</v>
      </c>
    </row>
    <row r="42" spans="2:16" x14ac:dyDescent="0.2">
      <c r="B42" s="2" t="s">
        <v>920</v>
      </c>
      <c r="F42" s="2" t="s">
        <v>819</v>
      </c>
      <c r="J42" s="33">
        <f>SUM(L42:P42)</f>
        <v>2573370420.9940395</v>
      </c>
      <c r="L42" s="33">
        <f>L25*L26</f>
        <v>273470</v>
      </c>
      <c r="M42" s="33">
        <f>M25*M26</f>
        <v>1295832123.9153597</v>
      </c>
      <c r="N42" s="33">
        <f>N25*N26</f>
        <v>1260765560</v>
      </c>
      <c r="O42" s="33">
        <f>O25*O26</f>
        <v>9925794.5786800012</v>
      </c>
      <c r="P42" s="33">
        <f>P25*P26</f>
        <v>6573472.5</v>
      </c>
    </row>
    <row r="43" spans="2:16" x14ac:dyDescent="0.2">
      <c r="B43" s="2" t="s">
        <v>182</v>
      </c>
      <c r="F43" s="2" t="s">
        <v>819</v>
      </c>
      <c r="H43" s="33">
        <f>H34-J42</f>
        <v>-180769857.28205681</v>
      </c>
    </row>
    <row r="44" spans="2:16" x14ac:dyDescent="0.2">
      <c r="B44" s="2" t="s">
        <v>923</v>
      </c>
      <c r="F44" s="2" t="s">
        <v>922</v>
      </c>
      <c r="H44" s="23">
        <f>H43*(1+H15)</f>
        <v>-192643342.064033</v>
      </c>
    </row>
  </sheetData>
  <mergeCells count="2">
    <mergeCell ref="B5:E5"/>
    <mergeCell ref="B8:E8"/>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BAC3D-7642-4DC0-975F-03A6A35DF898}">
  <sheetPr>
    <tabColor rgb="FFFFFFCC"/>
  </sheetPr>
  <dimension ref="B2:AO91"/>
  <sheetViews>
    <sheetView showGridLines="0" zoomScale="85" zoomScaleNormal="85" workbookViewId="0">
      <pane xSplit="6" ySplit="11" topLeftCell="G12" activePane="bottomRight" state="frozen"/>
      <selection activeCell="P579" sqref="P579"/>
      <selection pane="topRight" activeCell="P579" sqref="P579"/>
      <selection pane="bottomLeft" activeCell="P579" sqref="P579"/>
      <selection pane="bottomRight"/>
    </sheetView>
  </sheetViews>
  <sheetFormatPr defaultColWidth="9.140625" defaultRowHeight="12.75" outlineLevelCol="1" x14ac:dyDescent="0.2"/>
  <cols>
    <col min="1" max="1" width="5.7109375" style="2" customWidth="1"/>
    <col min="2" max="2" width="60.5703125" style="2" customWidth="1"/>
    <col min="3" max="5" width="5.7109375" style="2" customWidth="1"/>
    <col min="6" max="6" width="13.7109375" style="2" customWidth="1"/>
    <col min="7" max="7" width="2.7109375" style="2" customWidth="1"/>
    <col min="8" max="8" width="13.7109375" style="2" customWidth="1"/>
    <col min="9" max="9" width="2.7109375" style="2" customWidth="1"/>
    <col min="10" max="10" width="12.5703125" style="2" customWidth="1"/>
    <col min="11" max="11" width="2.7109375" style="2" customWidth="1"/>
    <col min="12" max="29" width="12.5703125" style="2" hidden="1" customWidth="1" outlineLevel="1"/>
    <col min="30" max="30" width="12.5703125" style="2" customWidth="1" collapsed="1"/>
    <col min="31" max="39" width="12.5703125" style="2" customWidth="1"/>
    <col min="40" max="40" width="2.7109375" style="2" customWidth="1"/>
    <col min="41" max="41" width="30.7109375" style="2" customWidth="1"/>
    <col min="42" max="55" width="13.7109375" style="2" customWidth="1"/>
    <col min="56" max="16384" width="9.140625" style="2"/>
  </cols>
  <sheetData>
    <row r="2" spans="2:41" s="13" customFormat="1" ht="18" x14ac:dyDescent="0.2">
      <c r="B2" s="13" t="s">
        <v>1063</v>
      </c>
    </row>
    <row r="4" spans="2:41" x14ac:dyDescent="0.2">
      <c r="B4" s="21" t="s">
        <v>52</v>
      </c>
      <c r="C4" s="1"/>
      <c r="D4" s="1"/>
    </row>
    <row r="5" spans="2:41" ht="13.5" customHeight="1" x14ac:dyDescent="0.2">
      <c r="B5" s="163" t="s">
        <v>177</v>
      </c>
      <c r="C5" s="163"/>
      <c r="D5" s="163"/>
      <c r="E5" s="163"/>
      <c r="H5" s="14"/>
    </row>
    <row r="6" spans="2:41" x14ac:dyDescent="0.2">
      <c r="C6" s="3"/>
      <c r="D6" s="3"/>
      <c r="H6" s="14"/>
    </row>
    <row r="7" spans="2:41" x14ac:dyDescent="0.2">
      <c r="B7" s="22" t="s">
        <v>27</v>
      </c>
      <c r="C7" s="3"/>
      <c r="D7" s="3"/>
      <c r="H7" s="14"/>
    </row>
    <row r="8" spans="2:41" ht="26.25" customHeight="1" x14ac:dyDescent="0.2">
      <c r="B8" s="163" t="s">
        <v>420</v>
      </c>
      <c r="C8" s="163"/>
      <c r="D8" s="163"/>
      <c r="E8" s="163"/>
    </row>
    <row r="10" spans="2:41" s="7" customFormat="1" x14ac:dyDescent="0.2">
      <c r="B10" s="7" t="s">
        <v>42</v>
      </c>
      <c r="F10" s="7" t="s">
        <v>24</v>
      </c>
      <c r="H10" s="7" t="s">
        <v>25</v>
      </c>
      <c r="J10" s="7" t="s">
        <v>46</v>
      </c>
      <c r="L10" s="54">
        <v>2000</v>
      </c>
      <c r="M10" s="54">
        <v>2001</v>
      </c>
      <c r="N10" s="54">
        <v>2002</v>
      </c>
      <c r="O10" s="54">
        <v>2003</v>
      </c>
      <c r="P10" s="54">
        <v>2004</v>
      </c>
      <c r="Q10" s="54">
        <v>2005</v>
      </c>
      <c r="R10" s="54">
        <v>2006</v>
      </c>
      <c r="S10" s="54">
        <v>2007</v>
      </c>
      <c r="T10" s="54">
        <v>2008</v>
      </c>
      <c r="U10" s="54">
        <v>2009</v>
      </c>
      <c r="V10" s="54">
        <v>2010</v>
      </c>
      <c r="W10" s="54">
        <v>2011</v>
      </c>
      <c r="X10" s="54">
        <v>2012</v>
      </c>
      <c r="Y10" s="54">
        <v>2013</v>
      </c>
      <c r="Z10" s="54">
        <v>2014</v>
      </c>
      <c r="AA10" s="54">
        <v>2015</v>
      </c>
      <c r="AB10" s="54">
        <v>2016</v>
      </c>
      <c r="AC10" s="54">
        <v>2017</v>
      </c>
      <c r="AD10" s="54">
        <v>2018</v>
      </c>
      <c r="AE10" s="54">
        <v>2019</v>
      </c>
      <c r="AF10" s="54">
        <v>2020</v>
      </c>
      <c r="AG10" s="54">
        <v>2021</v>
      </c>
      <c r="AH10" s="54">
        <v>2022</v>
      </c>
      <c r="AI10" s="54">
        <v>2023</v>
      </c>
      <c r="AJ10" s="54">
        <v>2024</v>
      </c>
      <c r="AK10" s="54">
        <v>2025</v>
      </c>
      <c r="AL10" s="54">
        <v>2026</v>
      </c>
      <c r="AM10" s="54">
        <v>2027</v>
      </c>
      <c r="AO10" s="7" t="s">
        <v>44</v>
      </c>
    </row>
    <row r="13" spans="2:41" s="7" customFormat="1" x14ac:dyDescent="0.2">
      <c r="B13" s="7" t="s">
        <v>45</v>
      </c>
    </row>
    <row r="15" spans="2:41" x14ac:dyDescent="0.2">
      <c r="B15" s="21" t="s">
        <v>116</v>
      </c>
    </row>
    <row r="16" spans="2:41" x14ac:dyDescent="0.2">
      <c r="B16" s="2" t="s">
        <v>123</v>
      </c>
      <c r="F16" s="2" t="s">
        <v>143</v>
      </c>
      <c r="AL16" s="73">
        <f>'9. Parameters'!AL27</f>
        <v>0.04</v>
      </c>
    </row>
    <row r="17" spans="2:38" x14ac:dyDescent="0.2">
      <c r="B17" s="2" t="s">
        <v>124</v>
      </c>
      <c r="F17" s="2" t="s">
        <v>143</v>
      </c>
      <c r="AL17" s="73">
        <f>'9. Parameters'!AL28</f>
        <v>0.04</v>
      </c>
    </row>
    <row r="19" spans="2:38" x14ac:dyDescent="0.2">
      <c r="B19" s="2" t="s">
        <v>1158</v>
      </c>
      <c r="F19" s="2" t="s">
        <v>143</v>
      </c>
      <c r="H19" s="64">
        <f>'16. Berekening parameters'!AM83</f>
        <v>1.3873562883459731</v>
      </c>
    </row>
    <row r="20" spans="2:38" x14ac:dyDescent="0.2">
      <c r="B20" s="2" t="s">
        <v>934</v>
      </c>
      <c r="F20" s="2" t="s">
        <v>143</v>
      </c>
      <c r="H20" s="64">
        <f>'16. Berekening parameters'!AM84</f>
        <v>1.3601532238686009</v>
      </c>
    </row>
    <row r="21" spans="2:38" x14ac:dyDescent="0.2">
      <c r="B21" s="2" t="s">
        <v>935</v>
      </c>
      <c r="F21" s="2" t="s">
        <v>143</v>
      </c>
      <c r="H21" s="64">
        <f>'16. Berekening parameters'!AM85</f>
        <v>1.3334835528123541</v>
      </c>
    </row>
    <row r="22" spans="2:38" x14ac:dyDescent="0.2">
      <c r="B22" s="2" t="s">
        <v>936</v>
      </c>
      <c r="F22" s="2" t="s">
        <v>143</v>
      </c>
      <c r="H22" s="64">
        <f>'16. Berekening parameters'!AM86</f>
        <v>1.3073368164826999</v>
      </c>
    </row>
    <row r="23" spans="2:38" x14ac:dyDescent="0.2">
      <c r="B23" s="2" t="s">
        <v>937</v>
      </c>
      <c r="F23" s="2" t="s">
        <v>143</v>
      </c>
      <c r="H23" s="64">
        <f>'16. Berekening parameters'!AM87</f>
        <v>1.2817027612575491</v>
      </c>
    </row>
    <row r="24" spans="2:38" x14ac:dyDescent="0.2">
      <c r="B24" s="2" t="s">
        <v>938</v>
      </c>
      <c r="F24" s="2" t="s">
        <v>143</v>
      </c>
      <c r="H24" s="64">
        <f>'16. Berekening parameters'!AM88</f>
        <v>1.2444302639973495</v>
      </c>
    </row>
    <row r="25" spans="2:38" x14ac:dyDescent="0.2">
      <c r="B25" s="2" t="s">
        <v>939</v>
      </c>
      <c r="F25" s="2" t="s">
        <v>143</v>
      </c>
      <c r="H25" s="64">
        <f>'16. Berekening parameters'!AM89</f>
        <v>1.1684919988429534</v>
      </c>
    </row>
    <row r="26" spans="2:38" x14ac:dyDescent="0.2">
      <c r="B26" s="2" t="s">
        <v>837</v>
      </c>
      <c r="F26" s="2" t="s">
        <v>143</v>
      </c>
      <c r="H26" s="64">
        <f>'16. Berekening parameters'!AM90</f>
        <v>1.0971876776559242</v>
      </c>
    </row>
    <row r="28" spans="2:38" x14ac:dyDescent="0.2">
      <c r="B28" s="1" t="s">
        <v>108</v>
      </c>
    </row>
    <row r="29" spans="2:38" x14ac:dyDescent="0.2">
      <c r="B29" s="2" t="s">
        <v>1102</v>
      </c>
      <c r="F29" s="2" t="s">
        <v>143</v>
      </c>
      <c r="H29" s="64">
        <f>'16. Berekening parameters'!AK54</f>
        <v>1.036</v>
      </c>
    </row>
    <row r="31" spans="2:38" x14ac:dyDescent="0.2">
      <c r="B31" s="1" t="s">
        <v>1105</v>
      </c>
    </row>
    <row r="32" spans="2:38" x14ac:dyDescent="0.2">
      <c r="B32" s="2" t="s">
        <v>1103</v>
      </c>
      <c r="F32" s="2" t="s">
        <v>112</v>
      </c>
      <c r="H32" s="101">
        <f>'10. Brondata'!H224</f>
        <v>0.43218295276137114</v>
      </c>
    </row>
    <row r="33" spans="2:37" x14ac:dyDescent="0.2">
      <c r="B33" s="2" t="s">
        <v>1104</v>
      </c>
      <c r="F33" s="2" t="s">
        <v>112</v>
      </c>
      <c r="H33" s="101">
        <f>'10. Brondata'!H225</f>
        <v>0.5678170472386288</v>
      </c>
    </row>
    <row r="35" spans="2:37" x14ac:dyDescent="0.2">
      <c r="B35" s="21" t="s">
        <v>178</v>
      </c>
    </row>
    <row r="36" spans="2:37" x14ac:dyDescent="0.2">
      <c r="B36" s="2" t="s">
        <v>101</v>
      </c>
      <c r="F36" s="2" t="s">
        <v>100</v>
      </c>
      <c r="AD36" s="32">
        <f>'6. Correcties en prognoses'!AD18</f>
        <v>0</v>
      </c>
      <c r="AE36" s="32">
        <f>'6. Correcties en prognoses'!AE18</f>
        <v>0</v>
      </c>
      <c r="AF36" s="32">
        <f>'6. Correcties en prognoses'!AF18</f>
        <v>0</v>
      </c>
      <c r="AG36" s="32">
        <f>'6. Correcties en prognoses'!AG18</f>
        <v>0</v>
      </c>
      <c r="AH36" s="32">
        <f>'6. Correcties en prognoses'!AH18</f>
        <v>0</v>
      </c>
      <c r="AI36" s="32">
        <f>'6. Correcties en prognoses'!AI18</f>
        <v>0</v>
      </c>
      <c r="AJ36" s="32">
        <f>'6. Correcties en prognoses'!AJ18</f>
        <v>0</v>
      </c>
      <c r="AK36" s="32">
        <f>'6. Correcties en prognoses'!AK18</f>
        <v>0</v>
      </c>
    </row>
    <row r="38" spans="2:37" x14ac:dyDescent="0.2">
      <c r="B38" s="2" t="s">
        <v>448</v>
      </c>
      <c r="F38" s="2" t="s">
        <v>100</v>
      </c>
      <c r="AD38" s="32">
        <f>'6. Correcties en prognoses'!AD20</f>
        <v>0</v>
      </c>
      <c r="AE38" s="32">
        <f>'6. Correcties en prognoses'!AE20</f>
        <v>0</v>
      </c>
      <c r="AF38" s="32">
        <f>'6. Correcties en prognoses'!AF20</f>
        <v>0</v>
      </c>
      <c r="AG38" s="32">
        <f>'6. Correcties en prognoses'!AG20</f>
        <v>0</v>
      </c>
      <c r="AH38" s="32">
        <f>'6. Correcties en prognoses'!AH20</f>
        <v>0</v>
      </c>
      <c r="AI38" s="32">
        <f>'6. Correcties en prognoses'!AI20</f>
        <v>0</v>
      </c>
      <c r="AJ38" s="32">
        <f>'6. Correcties en prognoses'!AJ20</f>
        <v>0</v>
      </c>
      <c r="AK38" s="32">
        <f>'6. Correcties en prognoses'!AK20</f>
        <v>-1249770.6000000001</v>
      </c>
    </row>
    <row r="40" spans="2:37" x14ac:dyDescent="0.2">
      <c r="B40" s="2" t="s">
        <v>103</v>
      </c>
      <c r="F40" s="2" t="s">
        <v>100</v>
      </c>
      <c r="AD40" s="32">
        <f>'6. Correcties en prognoses'!AD22</f>
        <v>0</v>
      </c>
      <c r="AE40" s="32">
        <f>'6. Correcties en prognoses'!AE22</f>
        <v>0</v>
      </c>
      <c r="AF40" s="32">
        <f>'6. Correcties en prognoses'!AF22</f>
        <v>0</v>
      </c>
      <c r="AG40" s="32">
        <f>'6. Correcties en prognoses'!AG22</f>
        <v>0</v>
      </c>
      <c r="AH40" s="32">
        <f>'6. Correcties en prognoses'!AH22</f>
        <v>0</v>
      </c>
      <c r="AI40" s="32">
        <f>'6. Correcties en prognoses'!AI22</f>
        <v>0</v>
      </c>
      <c r="AJ40" s="32">
        <f>'6. Correcties en prognoses'!AJ22</f>
        <v>0</v>
      </c>
      <c r="AK40" s="32">
        <f>'6. Correcties en prognoses'!AK22</f>
        <v>0</v>
      </c>
    </row>
    <row r="42" spans="2:37" x14ac:dyDescent="0.2">
      <c r="B42" s="2" t="s">
        <v>725</v>
      </c>
      <c r="F42" s="2" t="s">
        <v>100</v>
      </c>
      <c r="AH42" s="32">
        <f>'6. Correcties en prognoses'!AH29</f>
        <v>121574.51229796224</v>
      </c>
      <c r="AI42" s="32">
        <f>'6. Correcties en prognoses'!AI29</f>
        <v>699072.33584534971</v>
      </c>
      <c r="AJ42" s="32">
        <f>'6. Correcties en prognoses'!AJ29</f>
        <v>1628963.8317657236</v>
      </c>
      <c r="AK42" s="32">
        <f>'6. Correcties en prognoses'!AK29</f>
        <v>7264746.2308599977</v>
      </c>
    </row>
    <row r="44" spans="2:37" x14ac:dyDescent="0.2">
      <c r="B44" s="21" t="s">
        <v>179</v>
      </c>
    </row>
    <row r="45" spans="2:37" x14ac:dyDescent="0.2">
      <c r="B45" s="2" t="s">
        <v>104</v>
      </c>
      <c r="F45" s="2" t="s">
        <v>100</v>
      </c>
      <c r="AD45" s="32">
        <f>'6. Correcties en prognoses'!AD37</f>
        <v>0</v>
      </c>
      <c r="AE45" s="32">
        <f>'6. Correcties en prognoses'!AE37</f>
        <v>0</v>
      </c>
      <c r="AF45" s="32">
        <f>'6. Correcties en prognoses'!AF37</f>
        <v>0</v>
      </c>
      <c r="AG45" s="32">
        <f>'6. Correcties en prognoses'!AG37</f>
        <v>0</v>
      </c>
      <c r="AH45" s="32">
        <f>'6. Correcties en prognoses'!AH37</f>
        <v>0</v>
      </c>
      <c r="AI45" s="32">
        <f>'6. Correcties en prognoses'!AI37</f>
        <v>0</v>
      </c>
      <c r="AJ45" s="32">
        <f>'6. Correcties en prognoses'!AJ37</f>
        <v>0</v>
      </c>
      <c r="AK45" s="32">
        <f>'6. Correcties en prognoses'!AK37</f>
        <v>-296627.0400000001</v>
      </c>
    </row>
    <row r="47" spans="2:37" x14ac:dyDescent="0.2">
      <c r="B47" s="2" t="s">
        <v>106</v>
      </c>
      <c r="F47" s="2" t="s">
        <v>100</v>
      </c>
      <c r="AD47" s="32">
        <f>'6. Correcties en prognoses'!AD39</f>
        <v>0</v>
      </c>
      <c r="AE47" s="32">
        <f>'6. Correcties en prognoses'!AE39</f>
        <v>0</v>
      </c>
      <c r="AF47" s="32">
        <f>'6. Correcties en prognoses'!AF39</f>
        <v>0</v>
      </c>
      <c r="AG47" s="32">
        <f>'6. Correcties en prognoses'!AG39</f>
        <v>0</v>
      </c>
      <c r="AH47" s="32">
        <f>'6. Correcties en prognoses'!AH39</f>
        <v>0</v>
      </c>
      <c r="AI47" s="32">
        <f>'6. Correcties en prognoses'!AI39</f>
        <v>0</v>
      </c>
      <c r="AJ47" s="32">
        <f>'6. Correcties en prognoses'!AJ39</f>
        <v>0</v>
      </c>
      <c r="AK47" s="32">
        <f>'6. Correcties en prognoses'!AK39</f>
        <v>0</v>
      </c>
    </row>
    <row r="49" spans="2:37" x14ac:dyDescent="0.2">
      <c r="B49" s="2" t="s">
        <v>752</v>
      </c>
      <c r="F49" s="2" t="s">
        <v>100</v>
      </c>
      <c r="AK49" s="32">
        <f>'6. Correcties en prognoses'!AK41</f>
        <v>0</v>
      </c>
    </row>
    <row r="51" spans="2:37" x14ac:dyDescent="0.2">
      <c r="B51" s="2" t="s">
        <v>695</v>
      </c>
      <c r="F51" s="2" t="s">
        <v>100</v>
      </c>
      <c r="AK51" s="32">
        <f>'6. Correcties en prognoses'!AK43</f>
        <v>14838246.751199216</v>
      </c>
    </row>
    <row r="52" spans="2:37" x14ac:dyDescent="0.2">
      <c r="B52" s="2" t="s">
        <v>724</v>
      </c>
      <c r="F52" s="2" t="s">
        <v>100</v>
      </c>
      <c r="AH52" s="32">
        <f>'6. Correcties en prognoses'!AH44</f>
        <v>92238.196723071407</v>
      </c>
      <c r="AI52" s="32">
        <f>'6. Correcties en prognoses'!AI44</f>
        <v>477728.83174374601</v>
      </c>
      <c r="AJ52" s="32">
        <f>'6. Correcties en prognoses'!AJ44</f>
        <v>1071637.0383870162</v>
      </c>
      <c r="AK52" s="32">
        <f>'6. Correcties en prognoses'!AK44</f>
        <v>4720331.7901946064</v>
      </c>
    </row>
    <row r="54" spans="2:37" x14ac:dyDescent="0.2">
      <c r="B54" s="2" t="s">
        <v>1100</v>
      </c>
      <c r="F54" s="2" t="s">
        <v>100</v>
      </c>
      <c r="AJ54" s="32">
        <f>'6. Correcties en prognoses'!AJ46</f>
        <v>4164387.21</v>
      </c>
    </row>
    <row r="56" spans="2:37" x14ac:dyDescent="0.2">
      <c r="B56" s="21" t="s">
        <v>107</v>
      </c>
    </row>
    <row r="57" spans="2:37" x14ac:dyDescent="0.2">
      <c r="B57" s="2" t="s">
        <v>329</v>
      </c>
      <c r="F57" s="2" t="s">
        <v>100</v>
      </c>
      <c r="AD57" s="32">
        <f>'6. Correcties en prognoses'!AD50</f>
        <v>0</v>
      </c>
      <c r="AE57" s="32">
        <f>'6. Correcties en prognoses'!AE50</f>
        <v>0</v>
      </c>
      <c r="AF57" s="32">
        <f>'6. Correcties en prognoses'!AF50</f>
        <v>0</v>
      </c>
      <c r="AG57" s="32">
        <f>'6. Correcties en prognoses'!AG50</f>
        <v>0</v>
      </c>
      <c r="AH57" s="32">
        <f>'6. Correcties en prognoses'!AH50</f>
        <v>0</v>
      </c>
      <c r="AI57" s="32">
        <f>'6. Correcties en prognoses'!AI50</f>
        <v>0</v>
      </c>
      <c r="AJ57" s="32">
        <f>'6. Correcties en prognoses'!AJ50</f>
        <v>0</v>
      </c>
      <c r="AK57" s="32">
        <f>'6. Correcties en prognoses'!AK50</f>
        <v>0</v>
      </c>
    </row>
    <row r="59" spans="2:37" x14ac:dyDescent="0.2">
      <c r="B59" s="2" t="s">
        <v>637</v>
      </c>
      <c r="F59" s="2" t="s">
        <v>100</v>
      </c>
      <c r="AH59" s="32">
        <f>'6. Correcties en prognoses'!AH52</f>
        <v>0</v>
      </c>
      <c r="AI59" s="32">
        <f>'6. Correcties en prognoses'!AI52</f>
        <v>0</v>
      </c>
      <c r="AJ59" s="32">
        <f>'6. Correcties en prognoses'!AJ52</f>
        <v>0</v>
      </c>
      <c r="AK59" s="32">
        <f>'6. Correcties en prognoses'!AK52</f>
        <v>0</v>
      </c>
    </row>
    <row r="60" spans="2:37" x14ac:dyDescent="0.2">
      <c r="B60" s="2" t="s">
        <v>638</v>
      </c>
      <c r="F60" s="2" t="s">
        <v>100</v>
      </c>
      <c r="AH60" s="32">
        <f>'6. Correcties en prognoses'!AH53</f>
        <v>0</v>
      </c>
      <c r="AI60" s="32">
        <f>'6. Correcties en prognoses'!AI53</f>
        <v>0</v>
      </c>
      <c r="AJ60" s="32">
        <f>'6. Correcties en prognoses'!AJ53</f>
        <v>0</v>
      </c>
      <c r="AK60" s="32">
        <f>'6. Correcties en prognoses'!AK53</f>
        <v>0</v>
      </c>
    </row>
    <row r="62" spans="2:37" s="7" customFormat="1" x14ac:dyDescent="0.2">
      <c r="B62" s="7" t="s">
        <v>173</v>
      </c>
    </row>
    <row r="64" spans="2:37" x14ac:dyDescent="0.2">
      <c r="B64" s="21" t="s">
        <v>178</v>
      </c>
    </row>
    <row r="65" spans="2:39" x14ac:dyDescent="0.2">
      <c r="B65" s="2" t="s">
        <v>925</v>
      </c>
      <c r="F65" s="2" t="s">
        <v>100</v>
      </c>
      <c r="AM65" s="23">
        <f>AD36*$H$19+AE36*$H$20+AF36*$H$21+AG36*$H$22+AH36*$H$23+AI36*$H$24+AJ36*$H$25+AK36*$H$26</f>
        <v>0</v>
      </c>
    </row>
    <row r="67" spans="2:39" x14ac:dyDescent="0.2">
      <c r="B67" s="2" t="s">
        <v>926</v>
      </c>
      <c r="F67" s="2" t="s">
        <v>100</v>
      </c>
      <c r="AM67" s="23">
        <f>AD38*$H$19+AE38*$H$20+AF38*$H$21+AG38*$H$22+AH38*$H$23+AI38*$H$24+AJ38*$H$25+AK38*$H$26</f>
        <v>-1371232.902216651</v>
      </c>
    </row>
    <row r="69" spans="2:39" x14ac:dyDescent="0.2">
      <c r="B69" s="2" t="s">
        <v>927</v>
      </c>
      <c r="F69" s="2" t="s">
        <v>100</v>
      </c>
      <c r="AM69" s="23">
        <f>AD40*$H$19+AE40*$H$20+AF40*$H$21+AG40*$H$22+AH40*$H$23+AI40*$H$24+AJ40*$H$25+AK40*$H$26</f>
        <v>0</v>
      </c>
    </row>
    <row r="71" spans="2:39" x14ac:dyDescent="0.2">
      <c r="B71" s="2" t="s">
        <v>725</v>
      </c>
      <c r="F71" s="2" t="s">
        <v>100</v>
      </c>
      <c r="AM71" s="23">
        <f>AH42*$H$23+AI42*$H$24+AJ42*$H$25+AK42*$H$26</f>
        <v>10899990.409179827</v>
      </c>
    </row>
    <row r="73" spans="2:39" x14ac:dyDescent="0.2">
      <c r="B73" s="21" t="s">
        <v>179</v>
      </c>
    </row>
    <row r="74" spans="2:39" x14ac:dyDescent="0.2">
      <c r="B74" s="2" t="s">
        <v>928</v>
      </c>
      <c r="F74" s="2" t="s">
        <v>100</v>
      </c>
      <c r="AM74" s="23">
        <f>AD45*$H$19+AE45*$H$20+AF45*$H$21+AG45*$H$22+AH45*$H$23+AI45*$H$24+AJ45*$H$25+AK45*$H$26</f>
        <v>-325455.533147551</v>
      </c>
    </row>
    <row r="76" spans="2:39" x14ac:dyDescent="0.2">
      <c r="B76" s="2" t="s">
        <v>929</v>
      </c>
      <c r="F76" s="2" t="s">
        <v>100</v>
      </c>
      <c r="AM76" s="23">
        <f>AD47*$H$19+AE47*$H$20+AF47*$H$21+AG47*$H$22+AH47*$H$23+AI47*$H$24+AJ47*$H$25+AK47*$H$26</f>
        <v>0</v>
      </c>
    </row>
    <row r="78" spans="2:39" x14ac:dyDescent="0.2">
      <c r="B78" s="2" t="s">
        <v>933</v>
      </c>
      <c r="F78" s="2" t="s">
        <v>100</v>
      </c>
      <c r="AM78" s="23">
        <f>AK49*$H$26</f>
        <v>0</v>
      </c>
    </row>
    <row r="80" spans="2:39" x14ac:dyDescent="0.2">
      <c r="B80" s="2" t="s">
        <v>695</v>
      </c>
      <c r="F80" s="2" t="s">
        <v>100</v>
      </c>
      <c r="AM80" s="23">
        <f>AK51*$H$26</f>
        <v>16280341.493433829</v>
      </c>
    </row>
    <row r="81" spans="2:39" x14ac:dyDescent="0.2">
      <c r="B81" s="2" t="s">
        <v>724</v>
      </c>
      <c r="F81" s="2" t="s">
        <v>100</v>
      </c>
      <c r="AM81" s="23">
        <f>AH52*$H$23+AI52*$H$24+AJ52*$H$25+AK52*$H$26</f>
        <v>7144011.3473074315</v>
      </c>
    </row>
    <row r="83" spans="2:39" x14ac:dyDescent="0.2">
      <c r="B83" s="2" t="s">
        <v>1107</v>
      </c>
      <c r="F83" s="2" t="s">
        <v>100</v>
      </c>
      <c r="AK83" s="33">
        <f>AJ54*H29</f>
        <v>4314305.1495599998</v>
      </c>
    </row>
    <row r="84" spans="2:39" x14ac:dyDescent="0.2">
      <c r="B84" s="2" t="s">
        <v>1108</v>
      </c>
      <c r="F84" s="2" t="s">
        <v>100</v>
      </c>
      <c r="AK84" s="33">
        <f>(AK83/H32)*H33</f>
        <v>5668284.6818860676</v>
      </c>
    </row>
    <row r="85" spans="2:39" x14ac:dyDescent="0.2">
      <c r="B85" s="2" t="s">
        <v>1106</v>
      </c>
      <c r="AM85" s="23">
        <f>SUM(AK83:AK84)*H26</f>
        <v>10952774.554155953</v>
      </c>
    </row>
    <row r="87" spans="2:39" x14ac:dyDescent="0.2">
      <c r="B87" s="21" t="s">
        <v>107</v>
      </c>
    </row>
    <row r="88" spans="2:39" x14ac:dyDescent="0.2">
      <c r="B88" s="2" t="s">
        <v>930</v>
      </c>
      <c r="F88" s="2" t="s">
        <v>100</v>
      </c>
      <c r="AM88" s="23">
        <f>AD59*$H$19+AE59*$H$20+AF59*$H$21+AG59*$H$22+AH59*$H$23+AI59*$H$24+AJ59*$H$25+AK59*$H$26</f>
        <v>0</v>
      </c>
    </row>
    <row r="90" spans="2:39" x14ac:dyDescent="0.2">
      <c r="B90" s="2" t="s">
        <v>931</v>
      </c>
      <c r="F90" s="2" t="s">
        <v>100</v>
      </c>
      <c r="AM90" s="23">
        <f>AH59*$H$23+AI59*$H$24+AJ59*$H$25+AK59*$H$26</f>
        <v>0</v>
      </c>
    </row>
    <row r="91" spans="2:39" x14ac:dyDescent="0.2">
      <c r="B91" s="2" t="s">
        <v>932</v>
      </c>
      <c r="F91" s="2" t="s">
        <v>100</v>
      </c>
      <c r="AM91" s="23">
        <f>AH60*$H$23+AI60*$H$24+AJ60*$H$25+AK60*$H$26</f>
        <v>0</v>
      </c>
    </row>
  </sheetData>
  <dataConsolidate/>
  <mergeCells count="2">
    <mergeCell ref="B5:E5"/>
    <mergeCell ref="B8:E8"/>
  </mergeCells>
  <phoneticPr fontId="30" type="noConversion"/>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12933-38D8-438E-9269-B6C78822B439}">
  <sheetPr>
    <tabColor rgb="FFFFFFCC"/>
  </sheetPr>
  <dimension ref="B2:R86"/>
  <sheetViews>
    <sheetView showGridLines="0" zoomScale="85" zoomScaleNormal="85" workbookViewId="0">
      <pane xSplit="6" ySplit="8" topLeftCell="G9" activePane="bottomRight" state="frozen"/>
      <selection activeCell="P579" sqref="P579"/>
      <selection pane="topRight" activeCell="P579" sqref="P579"/>
      <selection pane="bottomLeft" activeCell="P579" sqref="P579"/>
      <selection pane="bottomRight"/>
    </sheetView>
  </sheetViews>
  <sheetFormatPr defaultColWidth="9.140625" defaultRowHeight="12.75" x14ac:dyDescent="0.2"/>
  <cols>
    <col min="1" max="1" width="5.7109375" style="2" customWidth="1"/>
    <col min="2" max="2" width="74.7109375" style="2" customWidth="1"/>
    <col min="3" max="5" width="5.7109375" style="2" customWidth="1"/>
    <col min="6" max="6" width="13.7109375" style="2" customWidth="1"/>
    <col min="7" max="7" width="2.7109375" style="2" customWidth="1"/>
    <col min="8" max="8" width="16.85546875" style="2" bestFit="1" customWidth="1"/>
    <col min="9" max="9" width="2.7109375" style="2" customWidth="1"/>
    <col min="10" max="10" width="16.85546875" style="2" bestFit="1" customWidth="1"/>
    <col min="11" max="11" width="2.7109375" style="2" customWidth="1"/>
    <col min="12" max="16" width="18.7109375" style="2" customWidth="1"/>
    <col min="17" max="17" width="2.7109375" style="2" customWidth="1"/>
    <col min="18" max="18" width="30.85546875" style="2" customWidth="1"/>
    <col min="19" max="32" width="13.7109375" style="2" customWidth="1"/>
    <col min="33" max="16384" width="9.140625" style="2"/>
  </cols>
  <sheetData>
    <row r="2" spans="2:18" s="13" customFormat="1" ht="18" x14ac:dyDescent="0.2">
      <c r="B2" s="13" t="s">
        <v>1064</v>
      </c>
    </row>
    <row r="4" spans="2:18" x14ac:dyDescent="0.2">
      <c r="B4" s="21" t="s">
        <v>52</v>
      </c>
      <c r="C4" s="1"/>
      <c r="D4" s="1"/>
    </row>
    <row r="5" spans="2:18" ht="54.75" customHeight="1" x14ac:dyDescent="0.2">
      <c r="B5" s="163" t="s">
        <v>1288</v>
      </c>
      <c r="C5" s="163"/>
      <c r="D5" s="163"/>
      <c r="E5" s="163"/>
    </row>
    <row r="7" spans="2:18" s="7" customFormat="1" ht="42.75" customHeight="1" x14ac:dyDescent="0.2">
      <c r="B7" s="7" t="s">
        <v>42</v>
      </c>
      <c r="F7" s="7" t="s">
        <v>24</v>
      </c>
      <c r="H7" s="7" t="s">
        <v>25</v>
      </c>
      <c r="J7" s="7" t="s">
        <v>46</v>
      </c>
      <c r="L7" s="51" t="s">
        <v>95</v>
      </c>
      <c r="M7" s="51" t="s">
        <v>96</v>
      </c>
      <c r="N7" s="51" t="s">
        <v>574</v>
      </c>
      <c r="O7" s="51" t="s">
        <v>97</v>
      </c>
      <c r="P7" s="51" t="s">
        <v>576</v>
      </c>
      <c r="R7" s="7" t="s">
        <v>44</v>
      </c>
    </row>
    <row r="10" spans="2:18" s="7" customFormat="1" x14ac:dyDescent="0.2">
      <c r="B10" s="7" t="s">
        <v>45</v>
      </c>
    </row>
    <row r="12" spans="2:18" x14ac:dyDescent="0.2">
      <c r="B12" s="21" t="s">
        <v>85</v>
      </c>
    </row>
    <row r="13" spans="2:18" x14ac:dyDescent="0.2">
      <c r="B13" s="2" t="s">
        <v>946</v>
      </c>
      <c r="F13" s="2" t="s">
        <v>922</v>
      </c>
      <c r="L13" s="65">
        <f>'8. Voorstel tarieven en RV'!L24</f>
        <v>12478.96</v>
      </c>
      <c r="M13" s="65">
        <f>'8. Voorstel tarieven en RV'!M24</f>
        <v>57.03</v>
      </c>
      <c r="N13" s="65">
        <f>'8. Voorstel tarieven en RV'!N24</f>
        <v>4.4400000000000004</v>
      </c>
      <c r="O13" s="65">
        <f>'8. Voorstel tarieven en RV'!O24</f>
        <v>28.509999999999998</v>
      </c>
      <c r="P13" s="65">
        <f>'8. Voorstel tarieven en RV'!P24</f>
        <v>1.54</v>
      </c>
    </row>
    <row r="14" spans="2:18" x14ac:dyDescent="0.2">
      <c r="B14" s="2" t="s">
        <v>1016</v>
      </c>
      <c r="F14" s="2" t="s">
        <v>98</v>
      </c>
      <c r="L14" s="65">
        <f>'8. Voorstel tarieven en RV'!L25</f>
        <v>27.736320001101376</v>
      </c>
      <c r="M14" s="65">
        <f>'8. Voorstel tarieven en RV'!M25</f>
        <v>854945.36694392562</v>
      </c>
      <c r="N14" s="65">
        <f>'8. Voorstel tarieven en RV'!N25</f>
        <v>10730411.50369918</v>
      </c>
      <c r="O14" s="65">
        <f>'8. Voorstel tarieven en RV'!O25</f>
        <v>51426.435114503838</v>
      </c>
      <c r="P14" s="65">
        <f>'8. Voorstel tarieven en RV'!P25</f>
        <v>1698972.9229007959</v>
      </c>
    </row>
    <row r="16" spans="2:18" x14ac:dyDescent="0.2">
      <c r="B16" s="21" t="s">
        <v>86</v>
      </c>
    </row>
    <row r="17" spans="2:16" x14ac:dyDescent="0.2">
      <c r="B17" s="2" t="s">
        <v>946</v>
      </c>
      <c r="F17" s="2" t="s">
        <v>922</v>
      </c>
      <c r="L17" s="65">
        <f>'8. Voorstel tarieven en RV'!L28</f>
        <v>2760</v>
      </c>
      <c r="M17" s="65">
        <f>'8. Voorstel tarieven en RV'!M28</f>
        <v>79.66</v>
      </c>
      <c r="N17" s="65">
        <f>'8. Voorstel tarieven en RV'!N28</f>
        <v>9.24</v>
      </c>
      <c r="O17" s="65">
        <f>'8. Voorstel tarieven en RV'!O28</f>
        <v>39.830000000000005</v>
      </c>
      <c r="P17" s="65">
        <f>'8. Voorstel tarieven en RV'!P28</f>
        <v>3.2</v>
      </c>
    </row>
    <row r="18" spans="2:16" x14ac:dyDescent="0.2">
      <c r="B18" s="2" t="s">
        <v>1016</v>
      </c>
      <c r="F18" s="2" t="s">
        <v>98</v>
      </c>
      <c r="L18" s="65">
        <f>'8. Voorstel tarieven en RV'!L29</f>
        <v>111.67409631508963</v>
      </c>
      <c r="M18" s="65">
        <f>'8. Voorstel tarieven en RV'!M29</f>
        <v>19967371.618835926</v>
      </c>
      <c r="N18" s="65">
        <f>'8. Voorstel tarieven en RV'!N29</f>
        <v>173386779.6419012</v>
      </c>
      <c r="O18" s="65">
        <f>'8. Voorstel tarieven en RV'!O29</f>
        <v>519853.71755725145</v>
      </c>
      <c r="P18" s="65">
        <f>'8. Voorstel tarieven en RV'!P29</f>
        <v>3013391.0404579639</v>
      </c>
    </row>
    <row r="20" spans="2:16" x14ac:dyDescent="0.2">
      <c r="B20" s="2" t="s">
        <v>1018</v>
      </c>
      <c r="F20" s="2" t="s">
        <v>922</v>
      </c>
      <c r="H20" s="32">
        <f>'4. Totale inkomsten 2027'!J72</f>
        <v>2371592468.0035067</v>
      </c>
    </row>
    <row r="21" spans="2:16" x14ac:dyDescent="0.2">
      <c r="B21" s="2" t="s">
        <v>1019</v>
      </c>
      <c r="F21" s="2" t="s">
        <v>922</v>
      </c>
      <c r="H21" s="32">
        <f>'4. Totale inkomsten 2027'!K72</f>
        <v>952600482.1659745</v>
      </c>
    </row>
    <row r="23" spans="2:16" x14ac:dyDescent="0.2">
      <c r="B23" s="21" t="s">
        <v>184</v>
      </c>
    </row>
    <row r="24" spans="2:16" x14ac:dyDescent="0.2">
      <c r="B24" s="2" t="s">
        <v>185</v>
      </c>
      <c r="F24" s="2" t="s">
        <v>112</v>
      </c>
      <c r="H24" s="67">
        <f>'9. Parameters'!H100</f>
        <v>0.5</v>
      </c>
    </row>
    <row r="25" spans="2:16" x14ac:dyDescent="0.2">
      <c r="B25" s="2" t="s">
        <v>578</v>
      </c>
      <c r="F25" s="2" t="s">
        <v>112</v>
      </c>
      <c r="H25" s="67">
        <f>'9. Parameters'!H101</f>
        <v>0.5</v>
      </c>
    </row>
    <row r="27" spans="2:16" x14ac:dyDescent="0.2">
      <c r="B27" s="21" t="s">
        <v>186</v>
      </c>
    </row>
    <row r="28" spans="2:16" x14ac:dyDescent="0.2">
      <c r="B28" s="2" t="s">
        <v>187</v>
      </c>
      <c r="F28" s="2" t="s">
        <v>112</v>
      </c>
      <c r="H28" s="67">
        <f>'9. Parameters'!H104</f>
        <v>0.5</v>
      </c>
    </row>
    <row r="29" spans="2:16" x14ac:dyDescent="0.2">
      <c r="B29" s="2" t="s">
        <v>631</v>
      </c>
      <c r="F29" s="2" t="s">
        <v>112</v>
      </c>
      <c r="H29" s="67">
        <f>'9. Parameters'!H105</f>
        <v>0.34615384615384615</v>
      </c>
    </row>
    <row r="31" spans="2:16" s="7" customFormat="1" x14ac:dyDescent="0.2">
      <c r="B31" s="7" t="s">
        <v>188</v>
      </c>
    </row>
    <row r="33" spans="2:18" x14ac:dyDescent="0.2">
      <c r="B33" s="2" t="s">
        <v>189</v>
      </c>
      <c r="F33" s="2" t="s">
        <v>112</v>
      </c>
      <c r="H33" s="61">
        <f>((M18+O18)/((M14+O14)+(M18+O18)))</f>
        <v>0.95763350145406967</v>
      </c>
      <c r="J33" s="30"/>
      <c r="R33" s="2" t="s">
        <v>190</v>
      </c>
    </row>
    <row r="35" spans="2:18" x14ac:dyDescent="0.2">
      <c r="B35" s="21" t="s">
        <v>191</v>
      </c>
    </row>
    <row r="36" spans="2:18" x14ac:dyDescent="0.2">
      <c r="B36" s="2" t="s">
        <v>940</v>
      </c>
      <c r="F36" s="2" t="s">
        <v>922</v>
      </c>
      <c r="H36" s="33">
        <f>SUMPRODUCT(L13:P13,L14:P14)+SUMPRODUCT(L17:P17,L18:P18)</f>
        <v>3324180780.2006965</v>
      </c>
    </row>
    <row r="37" spans="2:18" x14ac:dyDescent="0.2">
      <c r="B37" s="2" t="s">
        <v>941</v>
      </c>
      <c r="F37" s="2" t="s">
        <v>922</v>
      </c>
      <c r="H37" s="33">
        <f>H20+H21</f>
        <v>3324192950.1694813</v>
      </c>
    </row>
    <row r="38" spans="2:18" x14ac:dyDescent="0.2">
      <c r="B38" s="2" t="s">
        <v>192</v>
      </c>
      <c r="F38" s="2" t="s">
        <v>922</v>
      </c>
      <c r="H38" s="33">
        <f>H36-H37</f>
        <v>-12169.968784809113</v>
      </c>
    </row>
    <row r="39" spans="2:18" x14ac:dyDescent="0.2">
      <c r="B39" s="2" t="s">
        <v>193</v>
      </c>
      <c r="F39" s="2" t="s">
        <v>194</v>
      </c>
      <c r="H39" s="33" t="str">
        <f>IF(H38&gt;0,"nee","ja")</f>
        <v>ja</v>
      </c>
      <c r="R39" s="2" t="s">
        <v>195</v>
      </c>
    </row>
    <row r="42" spans="2:18" x14ac:dyDescent="0.2">
      <c r="B42" s="21" t="s">
        <v>196</v>
      </c>
    </row>
    <row r="43" spans="2:18" x14ac:dyDescent="0.2">
      <c r="B43" s="2" t="s">
        <v>197</v>
      </c>
      <c r="F43" s="2" t="s">
        <v>922</v>
      </c>
      <c r="H43" s="33">
        <f>L14*L13</f>
        <v>346120.42784094403</v>
      </c>
    </row>
    <row r="44" spans="2:18" x14ac:dyDescent="0.2">
      <c r="B44" s="2" t="s">
        <v>198</v>
      </c>
      <c r="F44" s="2" t="s">
        <v>922</v>
      </c>
      <c r="H44" s="33">
        <f>H20-H43</f>
        <v>2371246347.575666</v>
      </c>
    </row>
    <row r="46" spans="2:18" x14ac:dyDescent="0.2">
      <c r="B46" s="2" t="s">
        <v>199</v>
      </c>
      <c r="F46" s="2" t="s">
        <v>922</v>
      </c>
      <c r="H46" s="33">
        <f>(1-H33)*H44</f>
        <v>100461404.93660706</v>
      </c>
    </row>
    <row r="48" spans="2:18" x14ac:dyDescent="0.2">
      <c r="B48" s="2" t="s">
        <v>200</v>
      </c>
      <c r="F48" s="2" t="s">
        <v>922</v>
      </c>
      <c r="H48" s="33">
        <f>H46*H24</f>
        <v>50230702.468303531</v>
      </c>
    </row>
    <row r="49" spans="2:18" x14ac:dyDescent="0.2">
      <c r="B49" s="2" t="s">
        <v>580</v>
      </c>
      <c r="F49" s="2" t="s">
        <v>922</v>
      </c>
      <c r="H49" s="33">
        <f>H46*H25</f>
        <v>50230702.468303531</v>
      </c>
    </row>
    <row r="51" spans="2:18" x14ac:dyDescent="0.2">
      <c r="B51" s="2" t="s">
        <v>201</v>
      </c>
      <c r="F51" s="2" t="s">
        <v>922</v>
      </c>
      <c r="L51" s="68">
        <f>L13</f>
        <v>12478.96</v>
      </c>
      <c r="M51" s="68">
        <f>H48/(M14+H28*O14)</f>
        <v>57.037657217359886</v>
      </c>
      <c r="N51" s="68">
        <f>H49/(N14+P14*H29)</f>
        <v>4.4379224045585159</v>
      </c>
      <c r="O51" s="68">
        <f>H28*M51</f>
        <v>28.518828608679943</v>
      </c>
      <c r="P51" s="68">
        <f>H29*N51</f>
        <v>1.5362039092702555</v>
      </c>
      <c r="R51" s="2" t="s">
        <v>202</v>
      </c>
    </row>
    <row r="52" spans="2:18" x14ac:dyDescent="0.2">
      <c r="B52" s="2" t="s">
        <v>203</v>
      </c>
      <c r="F52" s="2" t="s">
        <v>922</v>
      </c>
      <c r="J52" s="33">
        <f>SUM(L52:P52)</f>
        <v>100807525.36444801</v>
      </c>
      <c r="L52" s="33">
        <f>L51*L14</f>
        <v>346120.42784094403</v>
      </c>
      <c r="M52" s="33">
        <f>M51*M14</f>
        <v>48764080.779317595</v>
      </c>
      <c r="N52" s="33">
        <f>N51*N14</f>
        <v>47620733.622399025</v>
      </c>
      <c r="O52" s="33">
        <f>O51*O14</f>
        <v>1466621.6889859349</v>
      </c>
      <c r="P52" s="33">
        <f>P51*P14</f>
        <v>2609968.8459045151</v>
      </c>
    </row>
    <row r="54" spans="2:18" x14ac:dyDescent="0.2">
      <c r="B54" s="2" t="s">
        <v>204</v>
      </c>
      <c r="F54" s="2" t="s">
        <v>922</v>
      </c>
      <c r="L54" s="69">
        <f>ROUND(L51,2)</f>
        <v>12478.96</v>
      </c>
      <c r="M54" s="69">
        <f t="shared" ref="M54:P54" si="0">ROUND(M51,2)</f>
        <v>57.04</v>
      </c>
      <c r="N54" s="69">
        <f t="shared" si="0"/>
        <v>4.4400000000000004</v>
      </c>
      <c r="O54" s="69">
        <f t="shared" si="0"/>
        <v>28.52</v>
      </c>
      <c r="P54" s="69">
        <f t="shared" si="0"/>
        <v>1.54</v>
      </c>
    </row>
    <row r="55" spans="2:18" x14ac:dyDescent="0.2">
      <c r="B55" s="2" t="s">
        <v>203</v>
      </c>
      <c r="F55" s="2" t="s">
        <v>922</v>
      </c>
      <c r="J55" s="33">
        <f>SUM(L55:P55)</f>
        <v>100838331.46547969</v>
      </c>
      <c r="L55" s="33">
        <f>L54*L14</f>
        <v>346120.42784094403</v>
      </c>
      <c r="M55" s="33">
        <f>M54*M14</f>
        <v>48766083.73048152</v>
      </c>
      <c r="N55" s="33">
        <f>N54*N14</f>
        <v>47643027.07642436</v>
      </c>
      <c r="O55" s="33">
        <f>O54*O14</f>
        <v>1466681.9294656494</v>
      </c>
      <c r="P55" s="33">
        <f>P54*P14</f>
        <v>2616418.3012672258</v>
      </c>
    </row>
    <row r="56" spans="2:18" x14ac:dyDescent="0.2">
      <c r="B56" s="2" t="s">
        <v>205</v>
      </c>
      <c r="F56" s="2" t="s">
        <v>922</v>
      </c>
      <c r="H56" s="33">
        <f>J55-J52</f>
        <v>30806.101031675935</v>
      </c>
    </row>
    <row r="59" spans="2:18" x14ac:dyDescent="0.2">
      <c r="B59" s="21" t="s">
        <v>206</v>
      </c>
    </row>
    <row r="60" spans="2:18" x14ac:dyDescent="0.2">
      <c r="B60" s="2" t="s">
        <v>207</v>
      </c>
      <c r="F60" s="2" t="s">
        <v>922</v>
      </c>
      <c r="H60" s="33">
        <f>L18*L17</f>
        <v>308220.50582964736</v>
      </c>
    </row>
    <row r="61" spans="2:18" x14ac:dyDescent="0.2">
      <c r="B61" s="2" t="s">
        <v>208</v>
      </c>
      <c r="F61" s="2" t="s">
        <v>922</v>
      </c>
      <c r="H61" s="33">
        <f>H21-H60</f>
        <v>952292261.66014481</v>
      </c>
    </row>
    <row r="63" spans="2:18" x14ac:dyDescent="0.2">
      <c r="B63" s="2" t="s">
        <v>189</v>
      </c>
      <c r="F63" s="2" t="s">
        <v>922</v>
      </c>
      <c r="H63" s="33">
        <f>H33*H44</f>
        <v>2270784942.6390591</v>
      </c>
    </row>
    <row r="64" spans="2:18" x14ac:dyDescent="0.2">
      <c r="B64" s="2" t="s">
        <v>209</v>
      </c>
      <c r="F64" s="2" t="s">
        <v>922</v>
      </c>
      <c r="H64" s="33">
        <f>H63+H61</f>
        <v>3223077204.2992039</v>
      </c>
    </row>
    <row r="66" spans="2:18" x14ac:dyDescent="0.2">
      <c r="B66" s="2" t="s">
        <v>200</v>
      </c>
      <c r="F66" s="2" t="s">
        <v>922</v>
      </c>
      <c r="H66" s="33">
        <f>H64*H24</f>
        <v>1611538602.1496019</v>
      </c>
    </row>
    <row r="67" spans="2:18" x14ac:dyDescent="0.2">
      <c r="B67" s="2" t="s">
        <v>580</v>
      </c>
      <c r="F67" s="2" t="s">
        <v>922</v>
      </c>
      <c r="H67" s="33">
        <f>H64*H25</f>
        <v>1611538602.1496019</v>
      </c>
    </row>
    <row r="69" spans="2:18" x14ac:dyDescent="0.2">
      <c r="B69" s="2" t="s">
        <v>210</v>
      </c>
      <c r="F69" s="2" t="s">
        <v>922</v>
      </c>
      <c r="L69" s="68">
        <f>L17</f>
        <v>2760</v>
      </c>
      <c r="M69" s="68">
        <f>H66/(M18+H28*O18)</f>
        <v>79.671469916414367</v>
      </c>
      <c r="N69" s="68">
        <f>H67/(N18+P18*H29)</f>
        <v>9.2388909177220597</v>
      </c>
      <c r="O69" s="68">
        <f>H28*M69</f>
        <v>39.835734958207183</v>
      </c>
      <c r="P69" s="68">
        <f>H29*N69</f>
        <v>3.1980776253653285</v>
      </c>
      <c r="R69" s="2" t="s">
        <v>202</v>
      </c>
    </row>
    <row r="70" spans="2:18" x14ac:dyDescent="0.2">
      <c r="B70" s="2" t="s">
        <v>211</v>
      </c>
      <c r="F70" s="2" t="s">
        <v>922</v>
      </c>
      <c r="J70" s="33">
        <f>SUM(L70:P70)</f>
        <v>3223385424.8050337</v>
      </c>
      <c r="L70" s="33">
        <f>L69*L18</f>
        <v>308220.50582964736</v>
      </c>
      <c r="M70" s="33">
        <f>M69*M18</f>
        <v>1590829847.2399526</v>
      </c>
      <c r="N70" s="33">
        <f>N69*N18</f>
        <v>1601901543.6866372</v>
      </c>
      <c r="O70" s="33">
        <f>O69*O18</f>
        <v>20708754.909649365</v>
      </c>
      <c r="P70" s="33">
        <f>P69*P18</f>
        <v>9637058.4629649613</v>
      </c>
    </row>
    <row r="72" spans="2:18" x14ac:dyDescent="0.2">
      <c r="B72" s="2" t="s">
        <v>212</v>
      </c>
      <c r="F72" s="2" t="s">
        <v>922</v>
      </c>
      <c r="L72" s="69">
        <f>ROUND(L69,2)</f>
        <v>2760</v>
      </c>
      <c r="M72" s="69">
        <f>ROUND(M69,2)</f>
        <v>79.67</v>
      </c>
      <c r="N72" s="69">
        <f>ROUND(N69,2)</f>
        <v>9.24</v>
      </c>
      <c r="O72" s="69">
        <f>ROUND(O69,2)</f>
        <v>39.840000000000003</v>
      </c>
      <c r="P72" s="69">
        <f>ROUND(P69,2)</f>
        <v>3.2</v>
      </c>
    </row>
    <row r="73" spans="2:18" x14ac:dyDescent="0.2">
      <c r="B73" s="2" t="s">
        <v>211</v>
      </c>
      <c r="F73" s="2" t="s">
        <v>922</v>
      </c>
      <c r="J73" s="33">
        <f>SUM(L73:P73)</f>
        <v>3223556384.7066016</v>
      </c>
      <c r="L73" s="33">
        <f>L72*L18</f>
        <v>308220.50582964736</v>
      </c>
      <c r="M73" s="33">
        <f>M72*M18</f>
        <v>1590800496.8726583</v>
      </c>
      <c r="N73" s="33">
        <f>N72*N18</f>
        <v>1602093843.8911672</v>
      </c>
      <c r="O73" s="33">
        <f>O72*O18</f>
        <v>20710972.107480898</v>
      </c>
      <c r="P73" s="33">
        <f>P72*P18</f>
        <v>9642851.3294654842</v>
      </c>
    </row>
    <row r="74" spans="2:18" x14ac:dyDescent="0.2">
      <c r="B74" s="2" t="s">
        <v>205</v>
      </c>
      <c r="F74" s="2" t="s">
        <v>922</v>
      </c>
      <c r="H74" s="33">
        <f>J73-J70</f>
        <v>170959.90156793594</v>
      </c>
    </row>
    <row r="76" spans="2:18" x14ac:dyDescent="0.2">
      <c r="B76" s="21" t="s">
        <v>213</v>
      </c>
    </row>
    <row r="77" spans="2:18" x14ac:dyDescent="0.2">
      <c r="B77" s="21" t="s">
        <v>214</v>
      </c>
    </row>
    <row r="78" spans="2:18" x14ac:dyDescent="0.2">
      <c r="B78" s="2" t="s">
        <v>215</v>
      </c>
      <c r="F78" s="2" t="s">
        <v>922</v>
      </c>
      <c r="H78" s="33">
        <f>J52+J70</f>
        <v>3324192950.1694818</v>
      </c>
    </row>
    <row r="79" spans="2:18" x14ac:dyDescent="0.2">
      <c r="B79" s="2" t="s">
        <v>216</v>
      </c>
      <c r="F79" s="2" t="s">
        <v>922</v>
      </c>
      <c r="H79" s="33">
        <f>J55+J73</f>
        <v>3324394716.1720815</v>
      </c>
    </row>
    <row r="80" spans="2:18" x14ac:dyDescent="0.2">
      <c r="B80" s="2" t="s">
        <v>217</v>
      </c>
      <c r="F80" s="2" t="s">
        <v>922</v>
      </c>
      <c r="H80" s="33">
        <f>H79-H78</f>
        <v>201766.00259971619</v>
      </c>
      <c r="R80" s="2" t="s">
        <v>218</v>
      </c>
    </row>
    <row r="82" spans="2:16" x14ac:dyDescent="0.2">
      <c r="B82" s="21" t="s">
        <v>219</v>
      </c>
    </row>
    <row r="83" spans="2:16" x14ac:dyDescent="0.2">
      <c r="B83" s="2" t="s">
        <v>220</v>
      </c>
      <c r="F83" s="2" t="s">
        <v>194</v>
      </c>
      <c r="H83" s="146" t="str">
        <f>IF((H39="ja"),"ja","nee")</f>
        <v>ja</v>
      </c>
    </row>
    <row r="85" spans="2:16" x14ac:dyDescent="0.2">
      <c r="B85" s="2" t="s">
        <v>942</v>
      </c>
      <c r="F85" s="2" t="s">
        <v>922</v>
      </c>
      <c r="L85" s="70">
        <f>IF($H$83="ja",L13,L54)</f>
        <v>12478.96</v>
      </c>
      <c r="M85" s="70">
        <f>IF($H$83="ja",M13,M54)</f>
        <v>57.03</v>
      </c>
      <c r="N85" s="70">
        <f>IF($H$83="ja",N13,N54)</f>
        <v>4.4400000000000004</v>
      </c>
      <c r="O85" s="70">
        <f>IF($H$83="ja",O13,O54)</f>
        <v>28.509999999999998</v>
      </c>
      <c r="P85" s="70">
        <f>IF($H$83="ja",P13,P54)</f>
        <v>1.54</v>
      </c>
    </row>
    <row r="86" spans="2:16" x14ac:dyDescent="0.2">
      <c r="B86" s="2" t="s">
        <v>943</v>
      </c>
      <c r="F86" s="2" t="s">
        <v>922</v>
      </c>
      <c r="L86" s="70">
        <f>IF($H$83="ja",L17,L72)</f>
        <v>2760</v>
      </c>
      <c r="M86" s="70">
        <f>IF($H$83="ja",M17,M72)</f>
        <v>79.66</v>
      </c>
      <c r="N86" s="70">
        <f>IF($H$83="ja",N17,N72)</f>
        <v>9.24</v>
      </c>
      <c r="O86" s="70">
        <f>IF($H$83="ja",O17,O72)</f>
        <v>39.830000000000005</v>
      </c>
      <c r="P86" s="70">
        <f>IF($H$83="ja",P17,P72)</f>
        <v>3.2</v>
      </c>
    </row>
  </sheetData>
  <mergeCells count="1">
    <mergeCell ref="B5:E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_dlc_DocId xmlns="5e7bef76-b888-41a2-a261-5f525b37d47e">ECT67VDXDTCW-640230012-21</_dlc_DocId>
    <_dlc_DocIdUrl xmlns="5e7bef76-b888-41a2-a261-5f525b37d47e">
      <Url>https://intranet.acm.local/project/excellent-in-excel/_layouts/15/DocIdRedir.aspx?ID=ECT67VDXDTCW-640230012-21</Url>
      <Description>ECT67VDXDTCW-640230012-21</Description>
    </_dlc_DocIdUrl>
    <Status xmlns="94b38974-1436-4631-a0be-797faa579778">Actueel</Statu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459BCFB3BA7984093AF6B5FDACCE3FF" ma:contentTypeVersion="3" ma:contentTypeDescription="Een nieuw document maken." ma:contentTypeScope="" ma:versionID="5ca2a2452ccfef2a6add69ec11766239">
  <xsd:schema xmlns:xsd="http://www.w3.org/2001/XMLSchema" xmlns:xs="http://www.w3.org/2001/XMLSchema" xmlns:p="http://schemas.microsoft.com/office/2006/metadata/properties" xmlns:ns2="5e7bef76-b888-41a2-a261-5f525b37d47e" xmlns:ns3="94b38974-1436-4631-a0be-797faa579778" targetNamespace="http://schemas.microsoft.com/office/2006/metadata/properties" ma:root="true" ma:fieldsID="5142b64c9d09e650d70bec54211324f3" ns2:_="" ns3:_="">
    <xsd:import namespace="5e7bef76-b888-41a2-a261-5f525b37d47e"/>
    <xsd:import namespace="94b38974-1436-4631-a0be-797faa579778"/>
    <xsd:element name="properties">
      <xsd:complexType>
        <xsd:sequence>
          <xsd:element name="documentManagement">
            <xsd:complexType>
              <xsd:all>
                <xsd:element ref="ns2:_dlc_DocId" minOccurs="0"/>
                <xsd:element ref="ns2:_dlc_DocIdUrl" minOccurs="0"/>
                <xsd:element ref="ns2:_dlc_DocIdPersistId" minOccurs="0"/>
                <xsd:element ref="ns3: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7bef76-b888-41a2-a261-5f525b37d47e"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4b38974-1436-4631-a0be-797faa579778" elementFormDefault="qualified">
    <xsd:import namespace="http://schemas.microsoft.com/office/2006/documentManagement/types"/>
    <xsd:import namespace="http://schemas.microsoft.com/office/infopath/2007/PartnerControls"/>
    <xsd:element name="Status" ma:index="11" nillable="true" ma:displayName="Status" ma:default="Actueel" ma:format="RadioButtons" ma:internalName="Status">
      <xsd:simpleType>
        <xsd:restriction base="dms:Choice">
          <xsd:enumeration value="Actueel"/>
          <xsd:enumeration value="Archief"/>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1CB1C9F-CCF9-4E38-862A-1CB92CDDD7E1}">
  <ds:schemaRefs>
    <ds:schemaRef ds:uri="http://schemas.microsoft.com/sharepoint/v3/contenttype/forms"/>
  </ds:schemaRefs>
</ds:datastoreItem>
</file>

<file path=customXml/itemProps2.xml><?xml version="1.0" encoding="utf-8"?>
<ds:datastoreItem xmlns:ds="http://schemas.openxmlformats.org/officeDocument/2006/customXml" ds:itemID="{3D8D8551-D509-4EEC-ACE1-9C64AFBBAE49}">
  <ds:schemaRefs>
    <ds:schemaRef ds:uri="http://schemas.microsoft.com/DataMashup"/>
  </ds:schemaRefs>
</ds:datastoreItem>
</file>

<file path=customXml/itemProps3.xml><?xml version="1.0" encoding="utf-8"?>
<ds:datastoreItem xmlns:ds="http://schemas.openxmlformats.org/officeDocument/2006/customXml" ds:itemID="{46DC4B28-42FD-4275-AD39-0DAE99CBE63F}">
  <ds:schemaRefs>
    <ds:schemaRef ds:uri="http://purl.org/dc/dcmitype/"/>
    <ds:schemaRef ds:uri="http://www.w3.org/XML/1998/namespace"/>
    <ds:schemaRef ds:uri="http://schemas.microsoft.com/office/2006/documentManagement/types"/>
    <ds:schemaRef ds:uri="http://purl.org/dc/terms/"/>
    <ds:schemaRef ds:uri="http://purl.org/dc/elements/1.1/"/>
    <ds:schemaRef ds:uri="5e7bef76-b888-41a2-a261-5f525b37d47e"/>
    <ds:schemaRef ds:uri="http://schemas.microsoft.com/office/infopath/2007/PartnerControls"/>
    <ds:schemaRef ds:uri="http://schemas.openxmlformats.org/package/2006/metadata/core-properties"/>
    <ds:schemaRef ds:uri="94b38974-1436-4631-a0be-797faa579778"/>
    <ds:schemaRef ds:uri="http://schemas.microsoft.com/office/2006/metadata/properties"/>
  </ds:schemaRefs>
</ds:datastoreItem>
</file>

<file path=customXml/itemProps4.xml><?xml version="1.0" encoding="utf-8"?>
<ds:datastoreItem xmlns:ds="http://schemas.openxmlformats.org/officeDocument/2006/customXml" ds:itemID="{84B26A16-E41F-4D2C-9F04-7F70992E07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7bef76-b888-41a2-a261-5f525b37d47e"/>
    <ds:schemaRef ds:uri="94b38974-1436-4631-a0be-797faa5797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BACF5907-5A9C-413A-AB63-8A8AE74C2D68}">
  <ds:schemaRefs>
    <ds:schemaRef ds:uri="http://schemas.microsoft.com/sharepoint/events"/>
  </ds:schemaRefs>
</ds:datastoreItem>
</file>

<file path=docMetadata/LabelInfo.xml><?xml version="1.0" encoding="utf-8"?>
<clbl:labelList xmlns:clbl="http://schemas.microsoft.com/office/2020/mipLabelMetadata">
  <clbl:label id="{6e118e09-08be-4360-a815-3fc29828016d}" enabled="1" method="Standard" siteId="{15b734ef-4a07-47e7-90f4-22cc84a7af23}"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30</vt:i4>
      </vt:variant>
      <vt:variant>
        <vt:lpstr>Benoemde bereiken</vt:lpstr>
      </vt:variant>
      <vt:variant>
        <vt:i4>1</vt:i4>
      </vt:variant>
    </vt:vector>
  </HeadingPairs>
  <TitlesOfParts>
    <vt:vector size="31" baseType="lpstr">
      <vt:lpstr>1. Titelblad</vt:lpstr>
      <vt:lpstr>2. Toelichting</vt:lpstr>
      <vt:lpstr>3. Bronnen en toepassingen</vt:lpstr>
      <vt:lpstr>4. Totale inkomsten 2027</vt:lpstr>
      <vt:lpstr>5. Tarieven en RV 2027</vt:lpstr>
      <vt:lpstr>Input (Dataverzoek TenneT) --&gt;</vt:lpstr>
      <vt:lpstr>6. Correcties en prognoses</vt:lpstr>
      <vt:lpstr>7. Spreiding nacalculaties 2025</vt:lpstr>
      <vt:lpstr>8. Voorstel tarieven en RV</vt:lpstr>
      <vt:lpstr>Input (Data door ACM) --&gt;</vt:lpstr>
      <vt:lpstr>9. Parameters</vt:lpstr>
      <vt:lpstr>10. Brondata</vt:lpstr>
      <vt:lpstr>11. Tarieven, RV en omzet</vt:lpstr>
      <vt:lpstr>12. Input inv. &lt;= 10 jaar</vt:lpstr>
      <vt:lpstr>Input (Database) --&gt;</vt:lpstr>
      <vt:lpstr>13. Input desinvesteringen</vt:lpstr>
      <vt:lpstr>14. Realisaties IKE&amp;V</vt:lpstr>
      <vt:lpstr>15. Realisaties IKTNN</vt:lpstr>
      <vt:lpstr>Berekeningen --&gt;</vt:lpstr>
      <vt:lpstr>16. Berekening parameters</vt:lpstr>
      <vt:lpstr>17. Correctie IKE&amp;V</vt:lpstr>
      <vt:lpstr>18. Correcties OA&amp;M en IKTNN</vt:lpstr>
      <vt:lpstr>19. Correctie desinvesteringen</vt:lpstr>
      <vt:lpstr>20. Correctie bijschatten</vt:lpstr>
      <vt:lpstr>21. Correctie afloopinv. WUI</vt:lpstr>
      <vt:lpstr>22. Correctie WACC</vt:lpstr>
      <vt:lpstr>23. Correctie inv. &lt;= 10 jaar</vt:lpstr>
      <vt:lpstr>24. Omzetcorrectie</vt:lpstr>
      <vt:lpstr>25. Overige correcties</vt:lpstr>
      <vt:lpstr>26. Controle tarieven</vt:lpstr>
      <vt:lpstr>'6. Correcties en prognoses'!Afdrukbereik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2021-06-08T09:19:18Z</dcterms:created>
  <dcterms:modified xsi:type="dcterms:W3CDTF">2026-10-06T10:34:55Z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0x010100F459BCFB3BA7984093AF6B5FDACCE3FF</vt:lpwstr>
  </property>
  <property fmtid="{D5CDD505-2E9C-101B-9397-08002B2CF9AE}" pid="3" name="_dlc_DocIdItemGuid">
    <vt:lpwstr>7b9a7e49-6114-4146-8cc6-356e1063ad5d</vt:lpwstr>
  </property>
</Properties>
</file>