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24226"/>
  <xr:revisionPtr revIDLastSave="0" documentId="8_{08314250-DCEF-457A-8711-26825C8C59DA}" xr6:coauthVersionLast="47" xr6:coauthVersionMax="47" xr10:uidLastSave="{00000000-0000-0000-0000-000000000000}"/>
  <bookViews>
    <workbookView xWindow="-120" yWindow="-120" windowWidth="29040" windowHeight="15840" tabRatio="864" firstSheet="4" activeTab="6" xr2:uid="{00000000-000D-0000-FFFF-FFFF00000000}"/>
  </bookViews>
  <sheets>
    <sheet name="Titelblad" sheetId="9" r:id="rId1"/>
    <sheet name="Toelichting" sheetId="10" r:id="rId2"/>
    <sheet name="Bronnen en toepassingen" sheetId="11" r:id="rId3"/>
    <sheet name="Huur --&gt;" sheetId="52" r:id="rId4"/>
    <sheet name="Resultaat huurtarieven" sheetId="54" r:id="rId5"/>
    <sheet name="Gegevens t.b.v. huurtarieven" sheetId="50" r:id="rId6"/>
    <sheet name="Berekening huurtarieven" sheetId="53" r:id="rId7"/>
    <sheet name="Levering --&gt;" sheetId="51" r:id="rId8"/>
    <sheet name="Resultaat levering" sheetId="21" r:id="rId9"/>
    <sheet name="Input --&gt;" sheetId="13" r:id="rId10"/>
    <sheet name="Gegevens warmteregeling &amp; ACM" sheetId="49" r:id="rId11"/>
    <sheet name="Gasleveranciers" sheetId="25" r:id="rId12"/>
    <sheet name="Netbeheer" sheetId="31" r:id="rId13"/>
    <sheet name="Berekeningen --&gt;" sheetId="15" r:id="rId14"/>
    <sheet name="Vaste kosten verbruik" sheetId="27" r:id="rId15"/>
    <sheet name="Variabele kosten verbruik" sheetId="29" r:id="rId16"/>
    <sheet name="Huur collectief --&gt;" sheetId="56" r:id="rId17"/>
    <sheet name="Resultaat huur collectief" sheetId="55" r:id="rId18"/>
  </sheets>
  <externalReferences>
    <externalReference r:id="rId19"/>
  </externalReferences>
  <definedNames>
    <definedName name="_xlnm._FilterDatabase" localSheetId="8" hidden="1">'Resultaat levering'!#REF!</definedName>
    <definedName name="_xlnm.Print_Area" localSheetId="6">'Berekening huurtarieven'!$A$1:$V$57</definedName>
    <definedName name="_xlnm.Print_Area" localSheetId="2">'Bronnen en toepassingen'!$A$1:$G$35</definedName>
    <definedName name="_xlnm.Print_Area" localSheetId="11">Gasleveranciers!$A$1:$M$40</definedName>
    <definedName name="_xlnm.Print_Area" localSheetId="5">'Gegevens t.b.v. huurtarieven'!$A$1:$X$43</definedName>
    <definedName name="_xlnm.Print_Area" localSheetId="10">'Gegevens warmteregeling &amp; ACM'!$A$1:$Q$82</definedName>
    <definedName name="_xlnm.Print_Area" localSheetId="12">Netbeheer!$A$1:$Y$34</definedName>
    <definedName name="_xlnm.Print_Area" localSheetId="4">'Resultaat huurtarieven'!$A$1:$T$45</definedName>
    <definedName name="_xlnm.Print_Area" localSheetId="8">'Resultaat levering'!$A$1:$S$57</definedName>
    <definedName name="_xlnm.Print_Area" localSheetId="0">Titelblad!$A$1:$G$43</definedName>
    <definedName name="_xlnm.Print_Area" localSheetId="1">Toelichting!$A$1:$I$57</definedName>
    <definedName name="_xlnm.Print_Area" localSheetId="15">'Variabele kosten verbruik'!$A$1:$N$52</definedName>
    <definedName name="_xlnm.Print_Area" localSheetId="14">'Vaste kosten verbruik'!$A$1:$X$117</definedName>
    <definedName name="cpi_0721" localSheetId="17">[1]CPI!#REF!</definedName>
    <definedName name="cpi_0721">[1]CPI!#REF!</definedName>
    <definedName name="cpi_08" localSheetId="17">#REF!</definedName>
    <definedName name="cpi_08">#REF!</definedName>
    <definedName name="cpi_0821" localSheetId="17">[1]CPI!#REF!</definedName>
    <definedName name="cpi_0821">[1]CPI!#REF!</definedName>
    <definedName name="cpi_09" localSheetId="17">#REF!</definedName>
    <definedName name="cpi_09">#REF!</definedName>
    <definedName name="cpi_0921" localSheetId="17">[1]CPI!#REF!</definedName>
    <definedName name="cpi_0921">[1]CPI!#REF!</definedName>
    <definedName name="cpi_10" localSheetId="17">#REF!</definedName>
    <definedName name="cpi_10">#REF!</definedName>
    <definedName name="cpi_1019">[1]CPI!$J$17</definedName>
    <definedName name="cpi_1021" localSheetId="17">[1]CPI!#REF!</definedName>
    <definedName name="cpi_1021">[1]CPI!#REF!</definedName>
    <definedName name="cpi_11" localSheetId="17">#REF!</definedName>
    <definedName name="cpi_11">#REF!</definedName>
    <definedName name="cpi_1121" localSheetId="17">[1]CPI!#REF!</definedName>
    <definedName name="cpi_1121">[1]CPI!#REF!</definedName>
    <definedName name="cpi_12" localSheetId="17">#REF!</definedName>
    <definedName name="cpi_12">#REF!</definedName>
    <definedName name="cpi_1221" localSheetId="17">[1]CPI!#REF!</definedName>
    <definedName name="cpi_1221">[1]CPI!#REF!</definedName>
    <definedName name="cpi_13" localSheetId="17">#REF!</definedName>
    <definedName name="cpi_13">#REF!</definedName>
    <definedName name="cpi_1321" localSheetId="17">[1]CPI!#REF!</definedName>
    <definedName name="cpi_1321">[1]CPI!#REF!</definedName>
    <definedName name="cpi_14" localSheetId="17">#REF!</definedName>
    <definedName name="cpi_14">#REF!</definedName>
    <definedName name="cpi_1421" localSheetId="17">[1]CPI!#REF!</definedName>
    <definedName name="cpi_1421">[1]CPI!#REF!</definedName>
    <definedName name="cpi_15" localSheetId="17">#REF!</definedName>
    <definedName name="cpi_15">#REF!</definedName>
    <definedName name="cpi_1521" localSheetId="17">[1]CPI!#REF!</definedName>
    <definedName name="cpi_1521">[1]CPI!#REF!</definedName>
    <definedName name="cpi_16" localSheetId="17">#REF!</definedName>
    <definedName name="cpi_16">#REF!</definedName>
    <definedName name="cpi_1618">[1]CPI!$P$16</definedName>
    <definedName name="cpi_1620">[1]CPI!$P$18</definedName>
    <definedName name="cpi_1621" localSheetId="17">[1]CPI!#REF!</definedName>
    <definedName name="cpi_1621">[1]CPI!#REF!</definedName>
    <definedName name="cpi_17" localSheetId="17">#REF!</definedName>
    <definedName name="cpi_17">#REF!</definedName>
    <definedName name="cpi_1718">[1]CPI!$Q$16</definedName>
    <definedName name="cpi_1719">[1]CPI!$Q$17</definedName>
    <definedName name="cpi_1720">[1]CPI!$Q$18</definedName>
    <definedName name="cpi_1721" localSheetId="17">[1]CPI!#REF!</definedName>
    <definedName name="cpi_1721">[1]CPI!#REF!</definedName>
    <definedName name="cpi_18" localSheetId="17">#REF!</definedName>
    <definedName name="cpi_18">#REF!</definedName>
    <definedName name="cpi_1820">[1]CPI!$R$18</definedName>
    <definedName name="cpi_1821" localSheetId="17">[1]CPI!#REF!</definedName>
    <definedName name="cpi_1821">[1]CPI!#REF!</definedName>
    <definedName name="cpi_19" localSheetId="17">#REF!</definedName>
    <definedName name="cpi_19">#REF!</definedName>
    <definedName name="cpi_1920">[1]CPI!$S$18</definedName>
    <definedName name="cpi_1921" localSheetId="17">[1]CPI!#REF!</definedName>
    <definedName name="cpi_1921">[1]CPI!#REF!</definedName>
    <definedName name="cpi_20" localSheetId="17">#REF!</definedName>
    <definedName name="cpi_20">#REF!</definedName>
    <definedName name="cpi_2021" localSheetId="17">[1]CPI!#REF!</definedName>
    <definedName name="cpi_2021">[1]CPI!#REF!</definedName>
    <definedName name="cpi_21" localSheetId="17">#REF!</definedName>
    <definedName name="cpi_21">#REF!</definedName>
    <definedName name="verwijder" localSheetId="17">#REF!</definedName>
    <definedName name="verwijder">#REF!</definedName>
    <definedName name="wacc_11" localSheetId="17">[1]CPI!#REF!</definedName>
    <definedName name="wacc_11">[1]CPI!#REF!</definedName>
    <definedName name="wacc_12" localSheetId="17">[1]CPI!#REF!</definedName>
    <definedName name="wacc_12">[1]CPI!#REF!</definedName>
    <definedName name="wacc_13" localSheetId="17">[1]CPI!#REF!</definedName>
    <definedName name="wacc_13">[1]CPI!#REF!</definedName>
    <definedName name="wacc_14" localSheetId="17">[1]CPI!#REF!</definedName>
    <definedName name="wacc_14">[1]CPI!#REF!</definedName>
    <definedName name="wacc_15" localSheetId="17">[1]CPI!#REF!</definedName>
    <definedName name="wacc_15">[1]CPI!#REF!</definedName>
    <definedName name="wacc_16" localSheetId="17">[1]CPI!#REF!</definedName>
    <definedName name="wacc_16">[1]CPI!#REF!</definedName>
    <definedName name="wacc_16151414" localSheetId="17">[1]CPI!#REF!</definedName>
    <definedName name="wacc_16151414">[1]CPI!#REF!</definedName>
    <definedName name="wacc_17" localSheetId="17">[1]CPI!#REF!</definedName>
    <definedName name="wacc_17">[1]CPI!#REF!</definedName>
    <definedName name="wacc_18" localSheetId="17">[1]CPI!#REF!</definedName>
    <definedName name="wacc_18">[1]CPI!#REF!</definedName>
    <definedName name="wacc_19" localSheetId="17">[1]CPI!#REF!</definedName>
    <definedName name="wacc_19">[1]CPI!#REF!</definedName>
    <definedName name="wacc_20" localSheetId="17">[1]CPI!#REF!</definedName>
    <definedName name="wacc_20">[1]CPI!#REF!</definedName>
    <definedName name="wacc_21" localSheetId="17">[1]CPI!#REF!</definedName>
    <definedName name="wacc_21">[1]CPI!#REF!</definedName>
    <definedName name="wacc14" localSheetId="17">[1]CPI!#REF!</definedName>
    <definedName name="wacc14">[1]CPI!#REF!</definedName>
    <definedName name="weigeraars" localSheetId="17">[1]CPI!#REF!</definedName>
    <definedName name="weigeraars">[1]CPI!#REF!</definedName>
    <definedName name="x" localSheetId="17">#REF!</definedName>
    <definedName name="x">#REF!</definedName>
    <definedName name="XXX" localSheetId="17">[1]CPI!#REF!</definedName>
    <definedName name="XXX">[1]CPI!#REF!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55" l="1"/>
  <c r="D63" i="55"/>
  <c r="D62" i="55"/>
  <c r="D61" i="55"/>
  <c r="D60" i="55"/>
  <c r="D59" i="55"/>
  <c r="D58" i="55"/>
  <c r="D53" i="55"/>
  <c r="D52" i="55"/>
  <c r="C52" i="55"/>
  <c r="C38" i="55"/>
  <c r="C64" i="55" s="1"/>
  <c r="C37" i="55"/>
  <c r="C63" i="55" s="1"/>
  <c r="C36" i="55"/>
  <c r="C62" i="55" s="1"/>
  <c r="C35" i="55"/>
  <c r="C61" i="55" s="1"/>
  <c r="C34" i="55"/>
  <c r="C60" i="55" s="1"/>
  <c r="C33" i="55"/>
  <c r="C59" i="55" s="1"/>
  <c r="C32" i="55"/>
  <c r="C58" i="55" s="1"/>
  <c r="C31" i="55"/>
  <c r="E31" i="55" s="1"/>
  <c r="F31" i="55" s="1"/>
  <c r="H42" i="55" s="1"/>
  <c r="C30" i="55"/>
  <c r="C53" i="55" s="1"/>
  <c r="E29" i="55"/>
  <c r="F29" i="55" s="1"/>
  <c r="E35" i="55" l="1"/>
  <c r="F35" i="55" s="1"/>
  <c r="G35" i="55" s="1"/>
  <c r="G61" i="55" s="1"/>
  <c r="E33" i="55"/>
  <c r="F33" i="55" s="1"/>
  <c r="G33" i="55" s="1"/>
  <c r="G59" i="55" s="1"/>
  <c r="E32" i="55"/>
  <c r="F32" i="55" s="1"/>
  <c r="G32" i="55" s="1"/>
  <c r="G58" i="55" s="1"/>
  <c r="E34" i="55"/>
  <c r="F34" i="55" s="1"/>
  <c r="G34" i="55" s="1"/>
  <c r="G60" i="55" s="1"/>
  <c r="H60" i="55" s="1"/>
  <c r="E36" i="55"/>
  <c r="F36" i="55" s="1"/>
  <c r="E38" i="55"/>
  <c r="F38" i="55" s="1"/>
  <c r="G38" i="55" s="1"/>
  <c r="G64" i="55" s="1"/>
  <c r="E37" i="55"/>
  <c r="F37" i="55" s="1"/>
  <c r="G37" i="55" s="1"/>
  <c r="G63" i="55" s="1"/>
  <c r="G29" i="55"/>
  <c r="G52" i="55" s="1"/>
  <c r="G36" i="55"/>
  <c r="G62" i="55" s="1"/>
  <c r="H48" i="55"/>
  <c r="H46" i="55"/>
  <c r="H47" i="55"/>
  <c r="E30" i="55"/>
  <c r="F30" i="55" s="1"/>
  <c r="G30" i="55" s="1"/>
  <c r="G53" i="55" s="1"/>
  <c r="H64" i="55" l="1"/>
  <c r="H53" i="55"/>
  <c r="H59" i="55"/>
  <c r="H62" i="55"/>
  <c r="H63" i="55"/>
  <c r="H58" i="55"/>
  <c r="H61" i="55"/>
  <c r="H52" i="55"/>
  <c r="I46" i="49" l="1"/>
  <c r="L36" i="27" l="1"/>
  <c r="I26" i="49"/>
  <c r="L35" i="27"/>
  <c r="L78" i="27" s="1"/>
  <c r="J24" i="31"/>
  <c r="J21" i="31" l="1"/>
  <c r="N46" i="27" l="1"/>
  <c r="H21" i="27" l="1"/>
  <c r="L83" i="27" s="1"/>
  <c r="H28" i="53" l="1"/>
  <c r="H37" i="53" s="1"/>
  <c r="H31" i="53"/>
  <c r="H30" i="53"/>
  <c r="O36" i="53" l="1"/>
  <c r="O38" i="53" s="1"/>
  <c r="H24" i="53"/>
  <c r="T35" i="53" s="1"/>
  <c r="T49" i="53" l="1"/>
  <c r="H30" i="54" s="1"/>
  <c r="T36" i="53"/>
  <c r="T38" i="53" s="1"/>
  <c r="H23" i="53"/>
  <c r="S35" i="53" s="1"/>
  <c r="H22" i="53"/>
  <c r="R35" i="53" s="1"/>
  <c r="R49" i="53" s="1"/>
  <c r="P42" i="53"/>
  <c r="O42" i="53"/>
  <c r="H29" i="53"/>
  <c r="O39" i="53" s="1"/>
  <c r="M17" i="53"/>
  <c r="M35" i="53" s="1"/>
  <c r="T39" i="53" l="1"/>
  <c r="T40" i="53" s="1"/>
  <c r="T50" i="53" s="1"/>
  <c r="H31" i="54" s="1"/>
  <c r="S36" i="53"/>
  <c r="S38" i="53" s="1"/>
  <c r="S49" i="53"/>
  <c r="H36" i="54" s="1"/>
  <c r="M36" i="53"/>
  <c r="M38" i="53" s="1"/>
  <c r="M39" i="53" s="1"/>
  <c r="R36" i="53"/>
  <c r="R38" i="53" s="1"/>
  <c r="R39" i="53" s="1"/>
  <c r="R40" i="53" s="1"/>
  <c r="R50" i="53" s="1"/>
  <c r="H34" i="54"/>
  <c r="S39" i="53"/>
  <c r="S40" i="53" s="1"/>
  <c r="S50" i="53" s="1"/>
  <c r="H37" i="54" l="1"/>
  <c r="H35" i="54"/>
  <c r="M40" i="53"/>
  <c r="O40" i="53"/>
  <c r="O44" i="53" s="1"/>
  <c r="H16" i="54" s="1"/>
  <c r="H18" i="53" l="1"/>
  <c r="H19" i="53" l="1"/>
  <c r="P35" i="53" s="1"/>
  <c r="P36" i="53" s="1"/>
  <c r="P38" i="53" s="1"/>
  <c r="P39" i="53" s="1"/>
  <c r="L17" i="53"/>
  <c r="L35" i="53" s="1"/>
  <c r="K17" i="53"/>
  <c r="K35" i="53" s="1"/>
  <c r="I17" i="53"/>
  <c r="I35" i="53" s="1"/>
  <c r="I36" i="53" l="1"/>
  <c r="I38" i="53" s="1"/>
  <c r="K36" i="53"/>
  <c r="K38" i="53" s="1"/>
  <c r="L36" i="53"/>
  <c r="L38" i="53" s="1"/>
  <c r="J17" i="53"/>
  <c r="J35" i="53" s="1"/>
  <c r="I49" i="53" s="1"/>
  <c r="I45" i="49"/>
  <c r="P40" i="53"/>
  <c r="P44" i="53" s="1"/>
  <c r="H17" i="54" s="1"/>
  <c r="L49" i="53" l="1"/>
  <c r="K49" i="53"/>
  <c r="J36" i="53"/>
  <c r="J38" i="53" s="1"/>
  <c r="M49" i="53"/>
  <c r="H22" i="54"/>
  <c r="L39" i="53"/>
  <c r="L40" i="53" s="1"/>
  <c r="K39" i="53"/>
  <c r="K40" i="53" s="1"/>
  <c r="I39" i="53"/>
  <c r="I40" i="53" s="1"/>
  <c r="N50" i="27"/>
  <c r="H24" i="54" l="1"/>
  <c r="H26" i="54"/>
  <c r="J39" i="53"/>
  <c r="J40" i="53" s="1"/>
  <c r="M50" i="53" s="1"/>
  <c r="L59" i="27"/>
  <c r="L58" i="27"/>
  <c r="L55" i="27"/>
  <c r="L54" i="27"/>
  <c r="I50" i="53" l="1"/>
  <c r="L50" i="53"/>
  <c r="K50" i="53"/>
  <c r="N51" i="27"/>
  <c r="N86" i="27" s="1"/>
  <c r="H22" i="27"/>
  <c r="O42" i="21" l="1"/>
  <c r="M42" i="21"/>
  <c r="J17" i="29"/>
  <c r="J16" i="29"/>
  <c r="J26" i="29"/>
  <c r="J23" i="29"/>
  <c r="J24" i="29"/>
  <c r="J22" i="29"/>
  <c r="J21" i="29"/>
  <c r="H23" i="27"/>
  <c r="H20" i="27"/>
  <c r="L109" i="27" l="1"/>
  <c r="N21" i="21" s="1"/>
  <c r="L110" i="27"/>
  <c r="L115" i="27"/>
  <c r="L116" i="27"/>
  <c r="J33" i="29"/>
  <c r="J34" i="29" s="1"/>
  <c r="H36" i="21"/>
  <c r="N22" i="21"/>
  <c r="H30" i="21" l="1"/>
  <c r="H31" i="21"/>
  <c r="N37" i="27" l="1"/>
  <c r="N38" i="27"/>
  <c r="N45" i="27"/>
  <c r="J19" i="29"/>
  <c r="J31" i="29" s="1"/>
  <c r="J37" i="29" s="1"/>
  <c r="N96" i="27" l="1"/>
  <c r="N91" i="27"/>
  <c r="N78" i="27"/>
  <c r="N80" i="27" s="1"/>
  <c r="N83" i="27"/>
  <c r="N93" i="27" l="1"/>
  <c r="L31" i="27"/>
  <c r="L68" i="27" s="1"/>
  <c r="L32" i="27"/>
  <c r="L69" i="27" s="1"/>
  <c r="J17" i="31"/>
  <c r="L30" i="27" s="1"/>
  <c r="L67" i="27" s="1"/>
  <c r="L27" i="27"/>
  <c r="L64" i="27" s="1"/>
  <c r="L50" i="27" l="1"/>
  <c r="L70" i="27" l="1"/>
  <c r="H47" i="27"/>
  <c r="N92" i="27" s="1"/>
  <c r="H39" i="27"/>
  <c r="L43" i="27"/>
  <c r="L80" i="27"/>
  <c r="L91" i="27" l="1"/>
  <c r="L92" i="27" s="1"/>
  <c r="L16" i="21"/>
  <c r="L73" i="27"/>
  <c r="N79" i="27"/>
  <c r="L79" i="27"/>
  <c r="B31" i="10"/>
  <c r="L93" i="27" l="1"/>
  <c r="L94" i="27" s="1"/>
  <c r="L95" i="27" s="1"/>
  <c r="O26" i="21"/>
  <c r="M26" i="21"/>
  <c r="L26" i="21"/>
  <c r="O16" i="21"/>
  <c r="M16" i="21"/>
  <c r="N81" i="27"/>
  <c r="N82" i="27" s="1"/>
  <c r="N101" i="27" s="1"/>
  <c r="N94" i="27"/>
  <c r="N95" i="27" s="1"/>
  <c r="N102" i="27" s="1"/>
  <c r="B38" i="10"/>
  <c r="B32" i="10"/>
  <c r="N103" i="27" l="1"/>
  <c r="N104" i="27" s="1"/>
  <c r="B33" i="10"/>
  <c r="B37" i="10" s="1"/>
  <c r="H39" i="21" l="1"/>
  <c r="B43" i="10"/>
  <c r="L43" i="21" l="1"/>
  <c r="M43" i="21"/>
  <c r="O43" i="21"/>
  <c r="L81" i="27"/>
  <c r="L44" i="27"/>
  <c r="L96" i="27" s="1"/>
  <c r="L102" i="27" s="1"/>
  <c r="K42" i="53"/>
  <c r="K44" i="53" s="1"/>
  <c r="I42" i="53"/>
  <c r="I44" i="53" s="1"/>
  <c r="L42" i="53"/>
  <c r="L44" i="53" s="1"/>
  <c r="J42" i="53"/>
  <c r="J44" i="53" s="1"/>
  <c r="H15" i="54" s="1"/>
  <c r="M42" i="53"/>
  <c r="M44" i="53" s="1"/>
  <c r="L82" i="27" l="1"/>
  <c r="L101" i="27" s="1"/>
  <c r="L103" i="27" s="1"/>
  <c r="H23" i="54"/>
  <c r="H27" i="54"/>
  <c r="H25" i="54" l="1"/>
  <c r="L19" i="21"/>
  <c r="L21" i="21" s="1"/>
  <c r="L104" i="27"/>
  <c r="O19" i="21" l="1"/>
  <c r="O21" i="21" s="1"/>
  <c r="M19" i="21"/>
  <c r="L47" i="21" l="1"/>
  <c r="L49" i="21" s="1"/>
  <c r="M21" i="21"/>
  <c r="O47" i="21"/>
  <c r="O49" i="21" s="1"/>
  <c r="M47" i="21" l="1"/>
  <c r="M4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<sst xmlns="http://schemas.openxmlformats.org/spreadsheetml/2006/main" count="819" uniqueCount="419">
  <si>
    <t>…</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</si>
  <si>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</si>
  <si>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</si>
  <si>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</si>
  <si>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</si>
  <si>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</si>
  <si>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</si>
  <si>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</si>
  <si>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</si>
  <si>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</si>
  <si>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</si>
  <si>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</si>
  <si>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</si>
  <si>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</si>
  <si>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</si>
  <si>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</si>
  <si>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</si>
  <si>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</si>
  <si>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</si>
  <si>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</si>
  <si>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</si>
  <si>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</si>
  <si>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</si>
  <si>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</si>
  <si>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</si>
  <si>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</si>
  <si>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</si>
  <si>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</si>
  <si>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</si>
  <si>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</si>
  <si>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</si>
  <si>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</si>
  <si>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</si>
  <si>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</si>
  <si>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</si>
  <si>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</si>
  <si>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</si>
  <si>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</si>
  <si>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</si>
  <si>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</si>
  <si>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</si>
  <si>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</si>
  <si>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</si>
  <si>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</si>
  <si>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</si>
  <si>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</si>
  <si>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</si>
  <si>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</si>
  <si>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</si>
  <si>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</si>
  <si>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</si>
  <si>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</si>
  <si>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</si>
  <si>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</si>
  <si>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</si>
  <si>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</si>
  <si>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</si>
  <si>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</si>
  <si>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</si>
  <si>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</si>
  <si>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</si>
  <si>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</si>
  <si>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</si>
  <si>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</si>
  <si>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</si>
  <si>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</si>
  <si>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</si>
  <si>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</si>
  <si>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</si>
  <si>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</si>
  <si>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Algemene parameters en parameters uit Warmteregeling (artikel 2 en 3)</t>
  </si>
  <si>
    <t>Algemene parameters</t>
  </si>
  <si>
    <t>BTW</t>
  </si>
  <si>
    <t>Gemiddelde levensduur cv-ketel (in jaren)</t>
  </si>
  <si>
    <t>Gemiddelde levensduur afleverset (in jaren)</t>
  </si>
  <si>
    <t>Parameters voor de berekening van de energetische waarde van aardgasgebruik in de gaswoning uit Warmteregeling (artikel 3)</t>
  </si>
  <si>
    <t>VR</t>
  </si>
  <si>
    <t>VT</t>
  </si>
  <si>
    <t>η ruimte</t>
  </si>
  <si>
    <t>η tap</t>
  </si>
  <si>
    <t>jaren</t>
  </si>
  <si>
    <t>%</t>
  </si>
  <si>
    <t>VKg = de gemiddelde jaarlijkse vaste kosten van het transport</t>
  </si>
  <si>
    <t>Liander N.V.</t>
  </si>
  <si>
    <t>ΔGK = het verschil in gebruikskosten, bestaande uit het verschil tussen de gebruikskosten bij het gebruik van gas als energiebron en de gebruikskosten bij het gebruik van warmte als energiebron;</t>
  </si>
  <si>
    <t>CVg: de bovenwaarde van de verbrandingswaarde van aardgas</t>
  </si>
  <si>
    <t>Gebruiksafhankelijke G1-tarieven met vaste prijs gaslevering 2020 éénjaarscontracten van 10 grootste Nederlandse gasleveranciers</t>
  </si>
  <si>
    <t>Berekening van de jaarlijkse vaste kosten van transport</t>
  </si>
  <si>
    <t>Gebruikskosten Gas</t>
  </si>
  <si>
    <t>Gebruikskosten Warmte</t>
  </si>
  <si>
    <t>EUR</t>
  </si>
  <si>
    <t>jaar</t>
  </si>
  <si>
    <t>Gemiddelde levensduur cv-ketel</t>
  </si>
  <si>
    <t>Gemiddelde levensduur afleverset</t>
  </si>
  <si>
    <t>Consumentenprijsindex (CPI)</t>
  </si>
  <si>
    <t>CPI 2018</t>
  </si>
  <si>
    <t>CPI 2019</t>
  </si>
  <si>
    <t>CPI 2020</t>
  </si>
  <si>
    <t>Verbruikskosten gas</t>
  </si>
  <si>
    <t>Verbruikskosten warmte</t>
  </si>
  <si>
    <t>Verschil in verbruikskosten</t>
  </si>
  <si>
    <t>Verschil verbruikskosten</t>
  </si>
  <si>
    <t>Berekening gemiddelde gebruiksafhankelijke G1-tarief (Pg) 2020</t>
  </si>
  <si>
    <t xml:space="preserve">VR </t>
  </si>
  <si>
    <t>Categorie A</t>
  </si>
  <si>
    <t>Categorie B</t>
  </si>
  <si>
    <t>Categorie C</t>
  </si>
  <si>
    <t>Categorie D</t>
  </si>
  <si>
    <t>Verschil gebruikskosten</t>
  </si>
  <si>
    <t>Vaste kosten van de maximumprijs Vk 2020</t>
  </si>
  <si>
    <t>Variabele kosten van de maximumprijs Pw 2020</t>
  </si>
  <si>
    <t>Kosten koudeprijs 2020</t>
  </si>
  <si>
    <t>Aansluitingen</t>
  </si>
  <si>
    <t>#</t>
  </si>
  <si>
    <t>Meetkosten op basis van meettarieven</t>
  </si>
  <si>
    <t>Aanschafwaarde bij vervanging meest voorkomende afleverset</t>
  </si>
  <si>
    <t>Specifieke input vaste kosten categorie C</t>
  </si>
  <si>
    <t>Tot en met een vermogen van 3 kilowatt</t>
  </si>
  <si>
    <t>Gemiddelde levensduur cv-ketel van 1000Kw (in jaren)</t>
  </si>
  <si>
    <t>Verbruikskosten</t>
  </si>
  <si>
    <t>Input voor het variabele deel van de maximumprijs (Pw) zoals bedoeld in het Warmtebesluit (artikel 4)</t>
  </si>
  <si>
    <t>Particulier</t>
  </si>
  <si>
    <t>Coteq</t>
  </si>
  <si>
    <t>Enduris</t>
  </si>
  <si>
    <t>Enexis</t>
  </si>
  <si>
    <t>N.V. Rendo</t>
  </si>
  <si>
    <t>Stedin</t>
  </si>
  <si>
    <t>Westland</t>
  </si>
  <si>
    <t>Jaarlijkse afschrijving</t>
  </si>
  <si>
    <t>Restwaarde cv-ketel gemiddelde levensduur</t>
  </si>
  <si>
    <t>Gas cv-ketel</t>
  </si>
  <si>
    <t>Warmte afleverset</t>
  </si>
  <si>
    <t>Restwaarde afleverset gemiddelde levensduur</t>
  </si>
  <si>
    <t>Kapitaalslasten afleverset</t>
  </si>
  <si>
    <t>Kapitaalslasten cv-ketel</t>
  </si>
  <si>
    <t>Gebruikskosten cv-ketel Gas</t>
  </si>
  <si>
    <t>Gebruikskosten afleverset warmte</t>
  </si>
  <si>
    <t>Vaste kosten</t>
  </si>
  <si>
    <t>Verschil gebruikskosten 1000 kW</t>
  </si>
  <si>
    <t>De gegevens dienen als input voor de berekening van de gemiddelde van de vaste G1-tarieven voor gaslevering 2020 en als input voor de berekening van het gebruiksafhankelijk deel van de maximumprijs.</t>
  </si>
  <si>
    <t>De gegevens dienen als input voor de berekening van de gemiddelde jaarlijkse vaste kosten van het transport, de levering en de aansluitng van gas.</t>
  </si>
  <si>
    <t>Inputgegevens vaste deel van de particuliere maximumprijs (VKw) zoals bedoeld in het Warmtebesluit (artikel 3 Lid 1)</t>
  </si>
  <si>
    <t>Warmteregeling (paragraaf 2.3; artikel 3a)</t>
  </si>
  <si>
    <t>Warmteregeling artikel 2 lid 3b</t>
  </si>
  <si>
    <t>Vermogenskostenvoet</t>
  </si>
  <si>
    <t>Opslag per kilowatt &gt;3 kilowatt</t>
  </si>
  <si>
    <t>In dit tabblad wordt alle input ingevoerd die afkomstig zijn van de tien grootste gasleveranciers.</t>
  </si>
  <si>
    <t>In dit tabblad wordt alle input ingevoerd die afkomstig zijn van de netbeheerders.</t>
  </si>
  <si>
    <t>In dit tabblad wordt alle input ingevoerd ten behoeve van de berekening gebruikskosten cv-ketel en afleverset voor een particulier tot en met een vermogen van 100kW.</t>
  </si>
  <si>
    <t>In dit tabblad wordt alle input ingevoerd ten behoeve van de berekening gebruikskosten cv-ketel en afleverset voor een particulier tot en met een vermogen van 1000kW.</t>
  </si>
  <si>
    <t>Op dit tabblad worden de gebruiksonafhankelijke collectieve maximumprijzen berekend voor zowel de cv-ketel en de afleverset bij een vermogen van 1000Kw.</t>
  </si>
  <si>
    <t>In dit tabblad worden de onderdelen van het gebruiksafhankelijke deel van het maximumprijs voor de klanten berekend.</t>
  </si>
  <si>
    <t>CBS</t>
  </si>
  <si>
    <t>www.belastingdienst.nl.</t>
  </si>
  <si>
    <t>Gegevens die door ACM zijn ontvangen van gasleveranciers in het kader van artikel 44, tweede lid van de Gaswet.</t>
  </si>
  <si>
    <t>Warmteregeling artikel 2 lid 2a</t>
  </si>
  <si>
    <t>Warmteregeling artikel 2 lid 2b</t>
  </si>
  <si>
    <t>Warmtebesluit</t>
  </si>
  <si>
    <t>Warmteregeling</t>
  </si>
  <si>
    <t>Opslag extra vermogen &gt;3 kW</t>
  </si>
  <si>
    <t>Gemiddelde</t>
  </si>
  <si>
    <t>Factor particulier indien enkel WTW of RV</t>
  </si>
  <si>
    <t>Aanschafwaarde cv-ketel</t>
  </si>
  <si>
    <t>Aanschafwaarde afleverset</t>
  </si>
  <si>
    <t>Gemiddelde meettarieven voor G6 aansluiting</t>
  </si>
  <si>
    <t>Energetische waarde van aardgasgebruik in de gaswoning (energie g)</t>
  </si>
  <si>
    <t>Brandstofrendement van het warmteproces (η)</t>
  </si>
  <si>
    <t>Gemiddelde gebruiksafhankelijke G1-tarief 2020</t>
  </si>
  <si>
    <t>Variabele kosten van de maximumprijs 2020</t>
  </si>
  <si>
    <t>Inputgegevens particuliere verbruikskosten cv-ketel en afleverset tot en met 100kw</t>
  </si>
  <si>
    <t>Aanschafwaarde meest voorkomende cv-ketel</t>
  </si>
  <si>
    <t>Totaal</t>
  </si>
  <si>
    <t>De gemiddelde jaarlijkse vaste kosten van het transport</t>
  </si>
  <si>
    <t>Warmte</t>
  </si>
  <si>
    <t>Koude</t>
  </si>
  <si>
    <t>Jaarlijkse vaste kosten transport, levering en aansluiting</t>
  </si>
  <si>
    <t>Verschil verbruikskosten categorie B en D</t>
  </si>
  <si>
    <t>=&lt; 100 kW</t>
  </si>
  <si>
    <t>Warmteregeling artikel 2 lid 3a</t>
  </si>
  <si>
    <t>Warmteregeling artikel 3, lid 2.</t>
  </si>
  <si>
    <t>Warmteregeling artikel 3, lid 1.</t>
  </si>
  <si>
    <t>Gemiddelde per gasleverancier</t>
  </si>
  <si>
    <t>Warmteregeling artikel 2  lid 3d</t>
  </si>
  <si>
    <t>Gemiddelde jaarlijkse vaste kosten 1000kW aansluiting</t>
  </si>
  <si>
    <t>Opslag per kilowatt voor aansluiting boven 2 kilowatt</t>
  </si>
  <si>
    <t>Basistarief voor aansluitingen voor de levering van koude</t>
  </si>
  <si>
    <t>ΔGK: verschil in gebruikskosten</t>
  </si>
  <si>
    <t>Aandeel vaste kosten categorie B en D</t>
  </si>
  <si>
    <t>Vaste kosten van een aansluiting levering van warmte met een vermogen tot 1000 kW</t>
  </si>
  <si>
    <t>Opslag vaste kosten aansluiting levering van warmte met een vermogen tot 1000Kw</t>
  </si>
  <si>
    <t>Ok&gt;2kW: verschil in gebruikskosten</t>
  </si>
  <si>
    <t>Jaarlijkse vaste kosten van transport, de levering en de aansluiting</t>
  </si>
  <si>
    <t>Vaste kosten verbruik</t>
  </si>
  <si>
    <t>Variabele kosten verbruik</t>
  </si>
  <si>
    <t>Vaste kosten van transport, de levering en de aansluiting 2020</t>
  </si>
  <si>
    <t>Gewogen gemiddelde vaste G1-tarieven gaslevering</t>
  </si>
  <si>
    <t xml:space="preserve">Gewogen gemiddelde TOVT G6 aansluiting </t>
  </si>
  <si>
    <t>Gewogen gemiddelde PA G6 aansluiting</t>
  </si>
  <si>
    <t>Gewogen gemiddelde TAVT G6 aansluiting</t>
  </si>
  <si>
    <t>Vaste kosten van transport,  levering en de aansluiting 2020</t>
  </si>
  <si>
    <t>Vaste kosten van transport, levering en de aansluiting 2020</t>
  </si>
  <si>
    <t>Gewogen gemiddelde TOVT G6 aansluiting</t>
  </si>
  <si>
    <t>VKg = de gemiddelde jaarlijkse vaste kosten van het transport 2020</t>
  </si>
  <si>
    <t>Transportonafhankelijke verbruikerstarieven (TOVT) voor G6 aansluitingen</t>
  </si>
  <si>
    <t>Rekenvolumes TOTV voor G6 aansluitingen</t>
  </si>
  <si>
    <t>Transportafhankelijke verbruikerstarieven (TAVT)</t>
  </si>
  <si>
    <t>Rekencapaciteit voor G6 aansluitingen</t>
  </si>
  <si>
    <t>Rekenvolumes (RV) voor transportafhankelijke verbruikerstarieven G6 aansluitingen</t>
  </si>
  <si>
    <t>Periodieke aansluittarieven (PA) voor G6 aansluitingen</t>
  </si>
  <si>
    <t>Rekenvolumes (RV) voor periodieke aansluittarieven G6 aansluitingen</t>
  </si>
  <si>
    <t>Vaste G1-tarieven gaslevering éénjaarscontracten</t>
  </si>
  <si>
    <t>Totale aansluitingen vaste G1-tarieven gaslevering éénjaarscontracten</t>
  </si>
  <si>
    <t>Pg: gemiddelde gebruiksafhankelijke G1-tarief</t>
  </si>
  <si>
    <t>Jaarlijkse operationelekosten cv-ketel</t>
  </si>
  <si>
    <t>Jaarlijkse vermogenskosten</t>
  </si>
  <si>
    <t>Jaarlijkse operationele kosten afleverset</t>
  </si>
  <si>
    <t>Jaarlijkse operationele kosten cv-ketel</t>
  </si>
  <si>
    <t>Verschil vaste kosten van een aansluiting levering van warmte particulier en collectief</t>
  </si>
  <si>
    <t>De maximumprijs wordt opgebouwd uit het basistarief en opslagen</t>
  </si>
  <si>
    <t>Opslag duurzame energie per m3 0-170.000 m3 2020</t>
  </si>
  <si>
    <t>Specifieke input levering koude</t>
  </si>
  <si>
    <t>Factor prijspeil 2017 - 2020</t>
  </si>
  <si>
    <t>100 kW=&lt;1000 kW</t>
  </si>
  <si>
    <t>CW3</t>
  </si>
  <si>
    <t>CW4</t>
  </si>
  <si>
    <t>CW5</t>
  </si>
  <si>
    <t>CW6</t>
  </si>
  <si>
    <t>EUR, excl BTW</t>
  </si>
  <si>
    <t>Kosten per component</t>
  </si>
  <si>
    <t>Elektronische regeling</t>
  </si>
  <si>
    <t>Warmtewisselaar</t>
  </si>
  <si>
    <t xml:space="preserve">Nominale vermogenskostenvoet </t>
  </si>
  <si>
    <t>Jaarlijkse operationele kosten</t>
  </si>
  <si>
    <t>CW5 + CW6</t>
  </si>
  <si>
    <t>Aanschaf- en installatiekosten</t>
  </si>
  <si>
    <t>Huurtarieven</t>
  </si>
  <si>
    <t>Jaarlijkse afschrijvingslasten</t>
  </si>
  <si>
    <t>Gemiddelde resterende levensduur afleverset (in jaren)</t>
  </si>
  <si>
    <t>Gemiddelde restwaarde afleverset</t>
  </si>
  <si>
    <t>Vermogenskostenvergoeding</t>
  </si>
  <si>
    <t>GKw onderdeel a: kapitaalslasten afleverset</t>
  </si>
  <si>
    <t>EUR, incl BTW</t>
  </si>
  <si>
    <t>Inputgegevens collectieve verbruikskosten cv-ketel en afleverset 100 kW en 1000kw</t>
  </si>
  <si>
    <t>Nominale vermogenskostenvoet (WACC)</t>
  </si>
  <si>
    <t>Overige parameters benodigd voor berekening huurtarieven</t>
  </si>
  <si>
    <t>Jaarlijkse operationele kosten gecombineerde afleverset</t>
  </si>
  <si>
    <t>Jaarlijkse operationele kosten I, RV en I, WTW</t>
  </si>
  <si>
    <t>Elektronische regeling (ER)</t>
  </si>
  <si>
    <t>Warmtewisselaar (WW)</t>
  </si>
  <si>
    <t>Dit tabblad geeft de tariefopbouw weer voor de gecombineerde afleverset, de afleverset voor enkel ruimteverwarming (I, RV) en de afleverset voor enkel warm tapwater (I, WTW).</t>
  </si>
  <si>
    <t>Gecombineerde afleverset</t>
  </si>
  <si>
    <t>Enkel ruimteverwarming</t>
  </si>
  <si>
    <t>Enkel warm tapwater</t>
  </si>
  <si>
    <t>Dit tabblad geeft de basis huurtarieven weer voor een gecombineerde afleverset en een afleverset voor enkel ruimteverwarming of warm tapwater.</t>
  </si>
  <si>
    <t>De op- of afslag voor de aanvullende functionaliteiten zijn significant wanneer deze meer dan één euro per maand bedragen.</t>
  </si>
  <si>
    <t>Op basis van bovenstaand criterium wordt de elektronische regeling niet als een aanvullende functionaliteit vastgesteld.</t>
  </si>
  <si>
    <t>Voor zowel de gecombineerde afleverset als de afleverset voor enkel warm tapwater worden kosten per CW waarde opgenomen, voor een afleverset enkel ruimteverwarming geldt een opslag per kW</t>
  </si>
  <si>
    <t>Gezien voor enkel warm tapwater geen waarnemingen zijn ten behoeve van een op- of afslag per CW waarde, worden deze op- of afslagen gelijk gesteld aan die van een gecombineerde afleverset</t>
  </si>
  <si>
    <t>Enkel ruimteverwarming (25kW)</t>
  </si>
  <si>
    <t>Enkel warm tapwater (CW4)</t>
  </si>
  <si>
    <t>Gecombineerd en enkel warm tapwater</t>
  </si>
  <si>
    <t>Maximum huurtarieven</t>
  </si>
  <si>
    <t>Inputgegevens ten behoeve van huurtarieven afleversets</t>
  </si>
  <si>
    <t>Berekening huurtarieven afleversets en op- of afslagen</t>
  </si>
  <si>
    <t>I, RV (25kW)</t>
  </si>
  <si>
    <t>I, WTW (CW4)</t>
  </si>
  <si>
    <t>Op dit tabblad zijn ook de kosten voor een elektronische regeling (ER) en een warmtewisselaar (WW) opgenomen, van deze functionaliteiten worden vervolgens een huurtarief bepaald.</t>
  </si>
  <si>
    <t>Op- of afslagen functionaliteiten</t>
  </si>
  <si>
    <t>Opslag ER</t>
  </si>
  <si>
    <t>Opslag WW</t>
  </si>
  <si>
    <t>Opslag per kW &gt; 25kW</t>
  </si>
  <si>
    <t>Afleverset gecombineerd en enkel warm tapwater</t>
  </si>
  <si>
    <t>Afleverset enkel ruimteverwarming</t>
  </si>
  <si>
    <t>Overige functionaliteiten</t>
  </si>
  <si>
    <t>Dit tabblad geeft de aanschaf- en installatiekosten van een afleverset weer die voortkomen uit de aangeleverde informatie van warmteleveranciers. Daarnaast worden de kosten voor de warmtewisselaar en elektronische regeling weergegeven.</t>
  </si>
  <si>
    <t>Dit tabblad geeft de tariefopbouw weer voor de verschillende categorieen.</t>
  </si>
  <si>
    <t>De maximumprijs wordt opgebouwd uit het basistarief en opslagen.</t>
  </si>
  <si>
    <t>Energiebelasting per m3 0-170.000 m3 2020</t>
  </si>
  <si>
    <t>Voor 100 kW=&lt;1000 kW is er voor gas geen meettarief meegenomen, omdat dit al in de vaste kosten voor gas zit.</t>
  </si>
  <si>
    <r>
      <t xml:space="preserve">Besluit meettarieven gas </t>
    </r>
    <r>
      <rPr>
        <b/>
        <sz val="10"/>
        <rFont val="Arial"/>
        <family val="2"/>
      </rPr>
      <t>2020:</t>
    </r>
    <r>
      <rPr>
        <sz val="10"/>
        <rFont val="Arial"/>
        <family val="2"/>
      </rPr>
      <t xml:space="preserve"> www.acm.nl.</t>
    </r>
  </si>
  <si>
    <t>De gegevens dienen als input voor de berekening van het gebruiksafhankelijk deel van de maximumprijs.</t>
  </si>
  <si>
    <t>De gegevens dienen als input voor de berekening van de opslag voor collectievesystemen met een vermogen tussen de 100kW en 1000 kW.</t>
  </si>
  <si>
    <t>Tarievenbesluiten gas 2020, www.acm.nl.</t>
  </si>
  <si>
    <t>EUR, excl BTW /jaar</t>
  </si>
  <si>
    <t>Gemiddelde resterende levensduur waarde</t>
  </si>
  <si>
    <t>Vaste kosten categorie B en D</t>
  </si>
  <si>
    <t>Aanschaf- en installatiekosten I, RV en I,WTW</t>
  </si>
  <si>
    <t>Aanschaf- en installatiekosten gecombineerde afleverset</t>
  </si>
  <si>
    <t>Onderhoudskosten</t>
  </si>
  <si>
    <t>Op dit tabblad wordt de jaarlijkse vaste kosten van gas en het verschil in gebruikskosten berekend</t>
  </si>
  <si>
    <t>Op dit tabblad worden de waarden uit de warmteregeling omgezet naar het juiste prijspeil</t>
  </si>
  <si>
    <t xml:space="preserve">Panteia, “Inzicht in de kosten voor aanschaf en installatie nieuwe cv-combiketel: Een onderzoek onder Nederlandse consumenten.” Zoetermeer, 18 november 2019. </t>
  </si>
  <si>
    <t>Tarievenbesluit warmte 2020</t>
  </si>
  <si>
    <t>Intern rekenbestand ACM</t>
  </si>
  <si>
    <t>Ja</t>
  </si>
  <si>
    <t xml:space="preserve">De input van de gewogen gemiddelde aanschaf- en installatiekosten komen uit een intern rekenbestand. </t>
  </si>
  <si>
    <t>In dit rekenbestand is de aangeleverde kosteninformatie per warmteleveranciers verwerkt.</t>
  </si>
  <si>
    <t>Besluit meettarieven gas 2020: www.acm.nl.</t>
  </si>
  <si>
    <t>Maximum tarieven warmte 2020</t>
  </si>
  <si>
    <t>Opslag per kW</t>
  </si>
  <si>
    <t>EUR, excl BTW per jaar</t>
  </si>
  <si>
    <t>EUR, excl BTW per GJ</t>
  </si>
  <si>
    <t>Rapport Panteia</t>
  </si>
  <si>
    <t>Variabele kosten</t>
  </si>
  <si>
    <t>EUR, excl BTW per m3</t>
  </si>
  <si>
    <t>De elektronische regeling is niet significant op basis van 1 EUR per maand, deze wordt daarom niet aangemerkt als aanvullende functionaliteit.</t>
  </si>
  <si>
    <t>Factor ten behoeve van opslag categorie B en D</t>
  </si>
  <si>
    <t>Aanschafwaarde meest voorkomende cv-ketel van 1.000Kw</t>
  </si>
  <si>
    <t>Jaarlijkse operationelekosten cv-ketel van 1.000Kw</t>
  </si>
  <si>
    <t>Aanschafwaarde meest voorkomende afleverset van 1.000Kw</t>
  </si>
  <si>
    <t>Jaarlijkse operationelekosten afleverset van 1.000Kw</t>
  </si>
  <si>
    <t>Jaarlijkse operationele kosten cv ketel</t>
  </si>
  <si>
    <t>pp 2019</t>
  </si>
  <si>
    <t>pp 2020</t>
  </si>
  <si>
    <t>pp 2016-2018</t>
  </si>
  <si>
    <t>pp 2016-2019</t>
  </si>
  <si>
    <t>pp 2017</t>
  </si>
  <si>
    <t>Energiebelasting per m3 0-5000 m3</t>
  </si>
  <si>
    <t>Opslag duurzame energie per m3 0-170.000 m3</t>
  </si>
  <si>
    <t>Gewogen gemiddelde gebruiksafhankelijke G1-tarieven</t>
  </si>
  <si>
    <t>EUR, excl BTW per kW</t>
  </si>
  <si>
    <t>EUR, excl BTW per Gj</t>
  </si>
  <si>
    <t>EUR, excl BTW/ jaar</t>
  </si>
  <si>
    <t>EUR, excl BTW/ kW/ jaar</t>
  </si>
  <si>
    <t>Kosten overige aanvullende functionaliteiten</t>
  </si>
  <si>
    <t>Af- of opslag per kW &gt; 25kW</t>
  </si>
  <si>
    <t>Af- of opslag aanvullende functionaliteit</t>
  </si>
  <si>
    <t>Teruggave of bijdrage voor een aanvullende functionaliteit</t>
  </si>
  <si>
    <t>Huurtarief afleverset</t>
  </si>
  <si>
    <t>Teruggave of bijdrage/ op- of afslag</t>
  </si>
  <si>
    <t>Teruggave CW3</t>
  </si>
  <si>
    <t>Afslag CW3</t>
  </si>
  <si>
    <t>Bijdrage CW5</t>
  </si>
  <si>
    <t>Opslag elektronische regeling</t>
  </si>
  <si>
    <t>Bijdrage elektronische regeling</t>
  </si>
  <si>
    <t>Bijdrage warmtewisselaar</t>
  </si>
  <si>
    <t>Opslag warmtewisselaar</t>
  </si>
  <si>
    <t>Opslag kW</t>
  </si>
  <si>
    <t>Bijdrage per kW &gt; 25kW</t>
  </si>
  <si>
    <t>Opslag CW5</t>
  </si>
  <si>
    <t>Opslag CW6</t>
  </si>
  <si>
    <t>Vanwege een onlogisch verloop in de kosten van CW5 en CW6 worden deze categorieën samengevoegd tot een gewogen gemiddelde</t>
  </si>
  <si>
    <t xml:space="preserve">Vanwege een onlogisch verloop in de aanschaf- en installatiekosten tussen CW5 en CW6 is een gewogen gemiddelde bepaald van deze aanschaf- en installatiekosten. </t>
  </si>
  <si>
    <t>Dit resulteert in een gelijk tarief voor CW5 en CW6.</t>
  </si>
  <si>
    <t>Warmteregeling ACM, memorie van toelichting paragraaf 2.1.1</t>
  </si>
  <si>
    <t>Wijziging van enkele belastingwetten en enige andere wetten (Wet fiscale maatregelen Klimaatakkoord)</t>
  </si>
  <si>
    <t>Kosten per aanvullende functionaliteit</t>
  </si>
  <si>
    <t>Berekening leverings- en huurtarieven warmte 2020</t>
  </si>
  <si>
    <t>Tarievenbesluit "netbeheerder" gas 2020</t>
  </si>
  <si>
    <t>Tarievenbesluit meters RNB gas 2020</t>
  </si>
  <si>
    <t>Regeling van de Minister van Economische Zaken en Klimaat van 2 april 2019, nr. WJZ / 19065655, tot wijziging van de Warmteregeling (wegnemen knelpunten n.a.v. evaluatie Warmtewet)</t>
  </si>
  <si>
    <t>Besluit van 26 maart 2019 tot wijziging van het Warmtebesluit (wijzigingen ter uitvoering van de wet tot wijziging van de Warmtewet naar aanleiding van de evaluatie van de Warmtewet)</t>
  </si>
  <si>
    <t>www.belastingdienst.nl</t>
  </si>
  <si>
    <t>Wet fiscale maatregelen Klimaatakkoord</t>
  </si>
  <si>
    <t>EUR, incl BTW/jaar</t>
  </si>
  <si>
    <t>EUR, incl BTW/kW/jaar</t>
  </si>
  <si>
    <t>Resultaat huurtarieven</t>
  </si>
  <si>
    <t>Resultaat leveringstarieven</t>
  </si>
  <si>
    <t>n.v.t.</t>
  </si>
  <si>
    <t xml:space="preserve">Kosten per Gigajoule </t>
  </si>
  <si>
    <t>EUR, excl BTW/rekencap/jaar</t>
  </si>
  <si>
    <t xml:space="preserve">Inputgegevens warmteregeling &amp; ACM voor kosten cv-ketel en afleverset </t>
  </si>
  <si>
    <t>Alle tarieven zijn excl BTW</t>
  </si>
  <si>
    <t>EUR per jaar</t>
  </si>
  <si>
    <t>EUR per jaar per m3</t>
  </si>
  <si>
    <t>ACM/18/031910</t>
  </si>
  <si>
    <t>Indien gegevens van de tien grootste gasleveranciers niet beschikbaar zijn worden de gegevens van de gasleveranciers meegenomen die wél beschikbaar zijn</t>
  </si>
  <si>
    <t>De tarieven van de gasleveranciers worden niet openbaar gemaakt</t>
  </si>
  <si>
    <t>Dit bestand betreft bijlage 1 van het tarievenbesluit warmte 2020</t>
  </si>
  <si>
    <t>ACM/UIT/525371</t>
  </si>
  <si>
    <t xml:space="preserve">Rapport Brattle </t>
  </si>
  <si>
    <t>Rapport Brattle</t>
  </si>
  <si>
    <t xml:space="preserve">Brattle, "The WACC for Heating Companies and Heat Exchangers in the Netherlands", draft report of 18 July 2022. </t>
  </si>
  <si>
    <t>Ophalen gegevens collectieve afleverset</t>
  </si>
  <si>
    <t>a</t>
  </si>
  <si>
    <t>b</t>
  </si>
  <si>
    <t>Vermogen (kW, log)</t>
  </si>
  <si>
    <t>c</t>
  </si>
  <si>
    <t>WACC nominaal 2020</t>
  </si>
  <si>
    <t>d</t>
  </si>
  <si>
    <t>Afschrijvingstermijn</t>
  </si>
  <si>
    <t>Onderhoudskosten afleverset 1000kW</t>
  </si>
  <si>
    <t>Ingevolge artikel 2, derde lid, van de warmteregeling</t>
  </si>
  <si>
    <t>NB: functie voor kosten: EXP(a+b*LN(kW))</t>
  </si>
  <si>
    <t>Onderhoudskosten RV+WTW</t>
  </si>
  <si>
    <t>EUR/jr pp2020 excl. btw</t>
  </si>
  <si>
    <t>Onderhoudskosten RV</t>
  </si>
  <si>
    <t>Onderhoudskosten WTW</t>
  </si>
  <si>
    <t>Berekening capaciteitscategorieën aanschaf- en installatiekosten</t>
  </si>
  <si>
    <t>categorie vermogen</t>
  </si>
  <si>
    <t>kosten (pp 2016-2018)</t>
  </si>
  <si>
    <t>af-/opslag</t>
  </si>
  <si>
    <t>van</t>
  </si>
  <si>
    <t>t/m</t>
  </si>
  <si>
    <t>referentie</t>
  </si>
  <si>
    <t>kW</t>
  </si>
  <si>
    <t>EUR pp2016-2018 ex</t>
  </si>
  <si>
    <t>EUR pp2020 ex</t>
  </si>
  <si>
    <t>-</t>
  </si>
  <si>
    <t>= basistarief 100kW</t>
  </si>
  <si>
    <t>= tevens waarde voor 1000kW combi cv-ketel</t>
  </si>
  <si>
    <t>Berekening capaciteitscategorieën tarieven</t>
  </si>
  <si>
    <t>basistarief 100kW excl onderhoud</t>
  </si>
  <si>
    <t>Collectieve afleverset</t>
  </si>
  <si>
    <t>huurtarief</t>
  </si>
  <si>
    <t>EUR/jr</t>
  </si>
  <si>
    <t>basistarief 100kW RV+WTW</t>
  </si>
  <si>
    <t>basistarief 100kW RV</t>
  </si>
  <si>
    <t>basistarief 100kW WTW</t>
  </si>
  <si>
    <t>Afwijkend vermogen  ≤75kW</t>
  </si>
  <si>
    <t>eenmalige teruggave</t>
  </si>
  <si>
    <t>Afwijkend vermogen &gt;125kW</t>
  </si>
  <si>
    <t>eenmalige</t>
  </si>
  <si>
    <t>óf opslag</t>
  </si>
  <si>
    <t>bijdrage</t>
  </si>
  <si>
    <t xml:space="preserve">Op dit tabblad berekent de ACM de maximale huurtarieven voor collectieve afleversets. </t>
  </si>
  <si>
    <t>Resultaat huurtarieven collectieve afleverset</t>
  </si>
  <si>
    <t xml:space="preserve">Voor een toelichting op de berekeningswijze van de maximum huurtarieven, zie paragraaf 6.6 van het tarievenbesluit. </t>
  </si>
  <si>
    <t xml:space="preserve">Op de kostenvoet vreemd vermogen berekend door Brattle is nog een opslag van 0,15%-punt toegepast voor transactiekosten.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</si>
</sst>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quot;€&quot;\ * #,##0.00_-;_-&quot;€&quot;\ * #,##0.00\-;_-&quot;€&quot;\ * &quot;-&quot;??_-;_-@_-"/>
    <numFmt numFmtId="165" formatCode="_ * #,##0_ ;_ * \-#,##0_ ;_ * &quot;-&quot;??_ ;_ @_ "/>
    <numFmt numFmtId="166" formatCode="_ * #,##0.00000_ ;_ * \-#,##0.00000_ ;_ * &quot;-&quot;??_ ;_ @_ "/>
    <numFmt numFmtId="167" formatCode="_ * #,##0.000_ ;_ * \-#,##0.000_ ;_ * &quot;-&quot;??_ ;_ @_ "/>
    <numFmt numFmtId="168" formatCode="_ * #,##0.0000_ ;_ * \-#,##0.0000_ ;_ * &quot;-&quot;??_ ;_ @_ "/>
    <numFmt numFmtId="169" formatCode="0.000"/>
    <numFmt numFmtId="170" formatCode="_ * #,##0.0_ ;_ * \-#,##0.0_ ;_ * &quot;-&quot;??_ ;_ @_ "/>
    <numFmt numFmtId="171" formatCode="_ * #,##0.00_ ;_ * \-#,##0.00_ ;_ * &quot;-&quot;_ ;_ @_ "/>
    <numFmt numFmtId="172" formatCode="_ * #,##0.0_ ;_ * \-#,##0.0_ ;_ * &quot;-&quot;_ ;_ @_ "/>
    <numFmt numFmtId="173" formatCode="0.0"/>
    <numFmt numFmtId="174" formatCode="0.0000"/>
  </numFmts>
  <fonts count="42" x14ac:knownFonts="1">
    <font>
      <sz val="11"/>
      <color theme="1"/>
      <name val="Calibri"/>
      <family val="2"/>
      <scheme val="minor"/>
    </font>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b/>
      <sz val="14"/>
      <color rgb="FFFF0000"/>
      <name val="Arial"/>
      <family val="2"/>
    </font>
    <font>
      <u/>
      <sz val="11"/>
      <color theme="10"/>
      <name val="Calibri"/>
      <family val="2"/>
      <scheme val="minor"/>
    </font>
    <font>
      <b/>
      <i/>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name val="Arial"/>
      <family val="2"/>
    </font>
    <font>
      <sz val="10"/>
      <color indexed="8"/>
      <name val="MS Sans Serif"/>
      <family val="2"/>
    </font>
    <font>
      <sz val="10"/>
      <color theme="1"/>
      <name val="Calibri"/>
      <family val="2"/>
    </font>
    <font>
      <b/>
      <sz val="10"/>
      <color theme="1"/>
      <name val="Calibri"/>
      <family val="2"/>
    </font>
    <font>
      <i/>
      <sz val="10"/>
      <color theme="1"/>
      <name val="Arial"/>
      <family val="2"/>
    </font>
    <font>
      <sz val="10"/>
      <color indexed="8"/>
      <name val="Arial"/>
      <family val="2"/>
    </font>
    <font>
      <b/>
      <sz val="11"/>
      <color theme="1"/>
      <name val="Calibri"/>
      <family val="2"/>
      <scheme val="minor"/>
    </font>
    <font>
      <i/>
      <sz val="11"/>
      <color theme="1"/>
      <name val="Arial"/>
      <family val="2"/>
    </font>
    <font>
      <b/>
      <sz val="11"/>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rgb="FFE1FFE1"/>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81">
    <xf numFmtId="0" fontId="0" fillId="0" borderId="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10" fillId="5" borderId="1">
      <alignment vertical="top"/>
    </xf>
    <xf numFmtId="49" fontId="7" fillId="24" borderId="1">
      <alignment vertical="top"/>
    </xf>
    <xf numFmtId="49" fontId="7" fillId="0" borderId="0">
      <alignment vertical="top"/>
    </xf>
    <xf numFmtId="43" fontId="6" fillId="17" borderId="0">
      <alignment vertical="top"/>
    </xf>
    <xf numFmtId="43" fontId="6" fillId="16" borderId="0">
      <alignment vertical="top"/>
    </xf>
    <xf numFmtId="43" fontId="6" fillId="14" borderId="0">
      <alignment vertical="top"/>
    </xf>
    <xf numFmtId="43" fontId="6" fillId="7" borderId="0">
      <alignment vertical="top"/>
    </xf>
    <xf numFmtId="43" fontId="6" fillId="9" borderId="0">
      <alignment vertical="top"/>
    </xf>
    <xf numFmtId="43" fontId="6" fillId="18" borderId="0">
      <alignment vertical="top"/>
    </xf>
    <xf numFmtId="49" fontId="12" fillId="0" borderId="0">
      <alignment vertical="top"/>
    </xf>
    <xf numFmtId="49" fontId="11" fillId="0" borderId="0">
      <alignment vertical="top"/>
    </xf>
    <xf numFmtId="0" fontId="18" fillId="20" borderId="4" applyNumberFormat="0" applyAlignment="0" applyProtection="0"/>
    <xf numFmtId="0" fontId="19" fillId="21" borderId="5" applyNumberFormat="0" applyAlignment="0" applyProtection="0"/>
    <xf numFmtId="0" fontId="20" fillId="21" borderId="4" applyNumberFormat="0" applyAlignment="0" applyProtection="0"/>
    <xf numFmtId="0" fontId="21" fillId="0" borderId="6" applyNumberFormat="0" applyFill="0" applyAlignment="0" applyProtection="0"/>
    <xf numFmtId="0" fontId="15" fillId="22" borderId="7" applyNumberFormat="0" applyAlignment="0" applyProtection="0"/>
    <xf numFmtId="0" fontId="17" fillId="23" borderId="8" applyNumberFormat="0" applyFont="0" applyAlignment="0" applyProtection="0"/>
    <xf numFmtId="0" fontId="23"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16" fillId="0" borderId="0" applyNumberFormat="0" applyFill="0" applyBorder="0" applyAlignment="0" applyProtection="0"/>
    <xf numFmtId="0" fontId="29" fillId="0" borderId="0" applyNumberFormat="0" applyFill="0" applyBorder="0" applyAlignment="0" applyProtection="0"/>
    <xf numFmtId="0" fontId="30" fillId="0" borderId="12" applyNumberFormat="0" applyFill="0" applyAlignment="0" applyProtection="0"/>
    <xf numFmtId="0" fontId="3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31" fillId="44" borderId="0" applyNumberFormat="0" applyBorder="0" applyAlignment="0" applyProtection="0"/>
    <xf numFmtId="0" fontId="31"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31" fillId="48" borderId="0" applyNumberFormat="0" applyBorder="0" applyAlignment="0" applyProtection="0"/>
    <xf numFmtId="0" fontId="32" fillId="0" borderId="0" applyNumberFormat="0" applyFill="0" applyBorder="0" applyAlignment="0" applyProtection="0"/>
    <xf numFmtId="0" fontId="33" fillId="0" borderId="0"/>
    <xf numFmtId="0" fontId="6" fillId="0" borderId="0"/>
    <xf numFmtId="164" fontId="34" fillId="0" borderId="0" applyFont="0" applyFill="0" applyBorder="0" applyAlignment="0" applyProtection="0"/>
    <xf numFmtId="0" fontId="6" fillId="0" borderId="0"/>
    <xf numFmtId="0" fontId="17" fillId="0" borderId="0"/>
    <xf numFmtId="9" fontId="6" fillId="0" borderId="0" applyFont="0" applyFill="0" applyBorder="0" applyAlignment="0" applyProtection="0"/>
    <xf numFmtId="0" fontId="6" fillId="0" borderId="0"/>
    <xf numFmtId="0" fontId="2" fillId="0" borderId="0">
      <alignment vertical="top"/>
    </xf>
    <xf numFmtId="43" fontId="6" fillId="49" borderId="0" applyNumberFormat="0">
      <alignment vertical="top"/>
    </xf>
    <xf numFmtId="0" fontId="23" fillId="0" borderId="0" applyNumberFormat="0" applyFill="0" applyBorder="0" applyAlignment="0" applyProtection="0"/>
    <xf numFmtId="49" fontId="7" fillId="24" borderId="1">
      <alignment vertical="top"/>
    </xf>
    <xf numFmtId="43" fontId="35" fillId="0" borderId="0" applyFont="0" applyFill="0" applyBorder="0" applyAlignment="0" applyProtection="0"/>
    <xf numFmtId="41" fontId="6" fillId="51" borderId="0">
      <alignment vertical="top"/>
    </xf>
    <xf numFmtId="43" fontId="6" fillId="18" borderId="0">
      <alignment vertical="top"/>
    </xf>
    <xf numFmtId="41" fontId="6" fillId="18" borderId="0">
      <alignment vertical="top"/>
    </xf>
    <xf numFmtId="41" fontId="6" fillId="16" borderId="0">
      <alignment vertical="top"/>
    </xf>
    <xf numFmtId="0" fontId="35" fillId="0" borderId="0"/>
    <xf numFmtId="9" fontId="35" fillId="0" borderId="0" applyFont="0" applyFill="0" applyBorder="0" applyAlignment="0" applyProtection="0"/>
    <xf numFmtId="0" fontId="6" fillId="18" borderId="0">
      <alignment vertical="top"/>
    </xf>
    <xf numFmtId="43" fontId="6" fillId="16" borderId="0">
      <alignment vertical="top"/>
    </xf>
  </cellStyleXfs>
  <cellXfs count="231">
    <xf numFmtId="0" fontId="0" fillId="0" borderId="0" xfId="0"/>
    <xf numFmtId="0" fontId="7" fillId="0" borderId="0" xfId="4" applyFont="1">
      <alignment vertical="top"/>
    </xf>
    <xf numFmtId="0" fontId="6" fillId="0" borderId="0" xfId="4">
      <alignment vertical="top"/>
    </xf>
    <xf numFmtId="0" fontId="8" fillId="0" borderId="0" xfId="4" applyFont="1">
      <alignment vertical="top"/>
    </xf>
    <xf numFmtId="0" fontId="10" fillId="6" borderId="1" xfId="4" applyFont="1" applyFill="1" applyBorder="1">
      <alignment vertical="top"/>
    </xf>
    <xf numFmtId="0" fontId="11" fillId="0" borderId="0" xfId="4" applyFont="1">
      <alignment vertical="top"/>
    </xf>
    <xf numFmtId="0" fontId="12" fillId="0" borderId="0" xfId="4" applyFont="1">
      <alignment vertical="top"/>
    </xf>
    <xf numFmtId="0" fontId="6" fillId="0" borderId="2" xfId="4" applyBorder="1">
      <alignment vertical="top"/>
    </xf>
    <xf numFmtId="49" fontId="10" fillId="5" borderId="1" xfId="5">
      <alignment vertical="top"/>
    </xf>
    <xf numFmtId="49" fontId="7" fillId="24"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0" fillId="5" borderId="1" xfId="4" applyFont="1" applyFill="1" applyBorder="1">
      <alignment vertical="top"/>
    </xf>
    <xf numFmtId="0" fontId="9" fillId="5" borderId="1" xfId="4" applyFont="1" applyFill="1" applyBorder="1">
      <alignment vertical="top"/>
    </xf>
    <xf numFmtId="0" fontId="9" fillId="6" borderId="1" xfId="4" applyFont="1" applyFill="1" applyBorder="1">
      <alignment vertical="top"/>
    </xf>
    <xf numFmtId="0" fontId="12" fillId="0" borderId="0" xfId="4" applyFont="1" applyFill="1">
      <alignment vertical="top"/>
    </xf>
    <xf numFmtId="0" fontId="6" fillId="10" borderId="0" xfId="4" applyFill="1">
      <alignment vertical="top"/>
    </xf>
    <xf numFmtId="0" fontId="6" fillId="11" borderId="0" xfId="4" applyFill="1">
      <alignment vertical="top"/>
    </xf>
    <xf numFmtId="0" fontId="6" fillId="12" borderId="0" xfId="4" applyFill="1">
      <alignment vertical="top"/>
    </xf>
    <xf numFmtId="0" fontId="6" fillId="13" borderId="0" xfId="4" applyFill="1">
      <alignment vertical="top"/>
    </xf>
    <xf numFmtId="0" fontId="6" fillId="8" borderId="0" xfId="4" applyFill="1">
      <alignment vertical="top"/>
    </xf>
    <xf numFmtId="0" fontId="11" fillId="0" borderId="0" xfId="4" applyFont="1" applyFill="1">
      <alignment vertical="top"/>
    </xf>
    <xf numFmtId="1" fontId="6" fillId="14" borderId="0" xfId="4" applyNumberFormat="1" applyFill="1">
      <alignment vertical="top"/>
    </xf>
    <xf numFmtId="2" fontId="6" fillId="15" borderId="0" xfId="4" applyNumberFormat="1" applyFill="1">
      <alignment vertical="top"/>
    </xf>
    <xf numFmtId="1" fontId="6" fillId="0" borderId="0" xfId="4" applyNumberFormat="1" applyFill="1">
      <alignment vertical="top"/>
    </xf>
    <xf numFmtId="1" fontId="11" fillId="0" borderId="0" xfId="4" applyNumberFormat="1" applyFont="1" applyFill="1">
      <alignment vertical="top"/>
    </xf>
    <xf numFmtId="1" fontId="8" fillId="0" borderId="0" xfId="4" applyNumberFormat="1" applyFont="1" applyFill="1" applyBorder="1">
      <alignment vertical="top"/>
    </xf>
    <xf numFmtId="0" fontId="8" fillId="10" borderId="2" xfId="4" applyFont="1" applyFill="1" applyBorder="1">
      <alignment vertical="top"/>
    </xf>
    <xf numFmtId="0" fontId="14" fillId="0" borderId="0" xfId="4" applyFont="1">
      <alignment vertical="top"/>
    </xf>
    <xf numFmtId="0" fontId="14" fillId="0" borderId="0" xfId="4" applyFont="1" applyFill="1">
      <alignment vertical="top"/>
    </xf>
    <xf numFmtId="0" fontId="15" fillId="6" borderId="1" xfId="4" applyFont="1" applyFill="1" applyBorder="1">
      <alignment vertical="top"/>
    </xf>
    <xf numFmtId="49" fontId="8" fillId="24" borderId="2" xfId="6" applyFont="1" applyBorder="1">
      <alignment vertical="top"/>
    </xf>
    <xf numFmtId="0" fontId="10" fillId="5" borderId="1" xfId="5" applyNumberFormat="1">
      <alignment vertical="top"/>
    </xf>
    <xf numFmtId="0" fontId="16" fillId="0" borderId="0" xfId="4" applyFont="1">
      <alignment vertical="top"/>
    </xf>
    <xf numFmtId="0" fontId="8" fillId="10" borderId="0" xfId="4" applyFont="1" applyFill="1">
      <alignment vertical="top"/>
    </xf>
    <xf numFmtId="0" fontId="8" fillId="12" borderId="0" xfId="4" applyFont="1" applyFill="1">
      <alignment vertical="top"/>
    </xf>
    <xf numFmtId="0" fontId="8" fillId="13" borderId="0" xfId="4" applyFont="1" applyFill="1">
      <alignment vertical="top"/>
    </xf>
    <xf numFmtId="0" fontId="6" fillId="19" borderId="0" xfId="4" applyFill="1">
      <alignment vertical="top"/>
    </xf>
    <xf numFmtId="49" fontId="8" fillId="24" borderId="0" xfId="6" applyFont="1" applyBorder="1">
      <alignment vertical="top"/>
    </xf>
    <xf numFmtId="0" fontId="6" fillId="0" borderId="0" xfId="4" applyFont="1">
      <alignment vertical="top"/>
    </xf>
    <xf numFmtId="49" fontId="6" fillId="24" borderId="2" xfId="6" applyFont="1" applyBorder="1">
      <alignment vertical="top"/>
    </xf>
    <xf numFmtId="0" fontId="22" fillId="6" borderId="1" xfId="4" applyFont="1" applyFill="1" applyBorder="1">
      <alignment vertical="top"/>
    </xf>
    <xf numFmtId="0" fontId="6" fillId="0" borderId="2" xfId="4" applyFont="1" applyBorder="1">
      <alignment vertical="top"/>
    </xf>
    <xf numFmtId="0" fontId="8" fillId="0" borderId="0" xfId="4" applyFont="1" applyFill="1" applyBorder="1" applyAlignment="1">
      <alignment horizontal="left" vertical="top" wrapText="1"/>
    </xf>
    <xf numFmtId="49" fontId="7" fillId="0" borderId="0" xfId="7">
      <alignment vertical="top"/>
    </xf>
    <xf numFmtId="49" fontId="11" fillId="0" borderId="0" xfId="15">
      <alignment vertical="top"/>
    </xf>
    <xf numFmtId="43" fontId="6" fillId="7" borderId="0" xfId="11">
      <alignment vertical="top"/>
    </xf>
    <xf numFmtId="9" fontId="6" fillId="7" borderId="0" xfId="66" applyFill="1" applyAlignment="1">
      <alignment vertical="top"/>
    </xf>
    <xf numFmtId="43" fontId="6" fillId="0" borderId="0" xfId="4" applyNumberFormat="1">
      <alignment vertical="top"/>
    </xf>
    <xf numFmtId="43" fontId="6" fillId="17" borderId="0" xfId="8">
      <alignment vertical="top"/>
    </xf>
    <xf numFmtId="43" fontId="6" fillId="16" borderId="0" xfId="9">
      <alignment vertical="top"/>
    </xf>
    <xf numFmtId="43" fontId="6" fillId="18" borderId="0" xfId="13">
      <alignment vertical="top"/>
    </xf>
    <xf numFmtId="166" fontId="6" fillId="7" borderId="0" xfId="11" applyNumberFormat="1">
      <alignment vertical="top"/>
    </xf>
    <xf numFmtId="0" fontId="6" fillId="0" borderId="0" xfId="62" applyFont="1" applyFill="1" applyBorder="1"/>
    <xf numFmtId="10" fontId="6" fillId="7" borderId="0" xfId="66" applyNumberFormat="1" applyFill="1" applyAlignment="1">
      <alignment vertical="top"/>
    </xf>
    <xf numFmtId="9" fontId="6" fillId="18" borderId="0" xfId="66" applyFill="1" applyAlignment="1">
      <alignment vertical="top"/>
    </xf>
    <xf numFmtId="168" fontId="6" fillId="7" borderId="0" xfId="11" applyNumberFormat="1">
      <alignment vertical="top"/>
    </xf>
    <xf numFmtId="168" fontId="6" fillId="18" borderId="0" xfId="13" applyNumberFormat="1">
      <alignment vertical="top"/>
    </xf>
    <xf numFmtId="167" fontId="6" fillId="16" borderId="0" xfId="9" applyNumberFormat="1">
      <alignment vertical="top"/>
    </xf>
    <xf numFmtId="169" fontId="6" fillId="0" borderId="0" xfId="62" applyNumberFormat="1" applyFont="1" applyFill="1" applyBorder="1" applyAlignment="1">
      <alignment vertical="center"/>
    </xf>
    <xf numFmtId="169" fontId="6" fillId="0" borderId="0" xfId="62" applyNumberFormat="1" applyFont="1" applyFill="1" applyBorder="1" applyAlignment="1">
      <alignment vertical="center"/>
    </xf>
    <xf numFmtId="9" fontId="6" fillId="7" borderId="0" xfId="11" applyNumberFormat="1">
      <alignment vertical="top"/>
    </xf>
    <xf numFmtId="0" fontId="2" fillId="0" borderId="0" xfId="68">
      <alignment vertical="top"/>
    </xf>
    <xf numFmtId="165" fontId="6" fillId="7" borderId="0" xfId="11" applyNumberFormat="1">
      <alignment vertical="top"/>
    </xf>
    <xf numFmtId="0" fontId="6" fillId="0" borderId="0" xfId="61" applyFont="1"/>
    <xf numFmtId="43" fontId="6" fillId="49" borderId="0" xfId="69">
      <alignment vertical="top"/>
    </xf>
    <xf numFmtId="43" fontId="6" fillId="49" borderId="0" xfId="69" applyNumberFormat="1">
      <alignment vertical="top"/>
    </xf>
    <xf numFmtId="165" fontId="6" fillId="18" borderId="0" xfId="13" applyNumberFormat="1">
      <alignment vertical="top"/>
    </xf>
    <xf numFmtId="165" fontId="6" fillId="0" borderId="0" xfId="4" applyNumberFormat="1">
      <alignment vertical="top"/>
    </xf>
    <xf numFmtId="170" fontId="6" fillId="16" borderId="0" xfId="9" applyNumberFormat="1">
      <alignment vertical="top"/>
    </xf>
    <xf numFmtId="0" fontId="16" fillId="0" borderId="0" xfId="4" applyFont="1" applyFill="1">
      <alignment vertical="top"/>
    </xf>
    <xf numFmtId="43" fontId="6" fillId="0" borderId="0" xfId="10" applyFill="1">
      <alignment vertical="top"/>
    </xf>
    <xf numFmtId="43" fontId="6" fillId="0" borderId="0" xfId="11" applyFill="1">
      <alignment vertical="top"/>
    </xf>
    <xf numFmtId="2" fontId="6" fillId="16" borderId="0" xfId="9" applyNumberFormat="1">
      <alignment vertical="top"/>
    </xf>
    <xf numFmtId="0" fontId="6" fillId="0" borderId="0" xfId="62"/>
    <xf numFmtId="49" fontId="7" fillId="0" borderId="0" xfId="6" applyFill="1" applyBorder="1">
      <alignment vertical="top"/>
    </xf>
    <xf numFmtId="49" fontId="7" fillId="24" borderId="1" xfId="6" applyBorder="1">
      <alignment vertical="top"/>
    </xf>
    <xf numFmtId="0" fontId="6" fillId="50" borderId="0" xfId="4" applyFill="1">
      <alignment vertical="top"/>
    </xf>
    <xf numFmtId="43" fontId="6" fillId="50" borderId="0" xfId="13" applyFill="1">
      <alignment vertical="top"/>
    </xf>
    <xf numFmtId="49" fontId="7" fillId="24" borderId="1" xfId="71" applyFont="1">
      <alignment vertical="top"/>
    </xf>
    <xf numFmtId="0" fontId="0" fillId="50" borderId="0" xfId="0" applyFill="1"/>
    <xf numFmtId="0" fontId="2" fillId="50" borderId="0" xfId="0" applyFont="1" applyFill="1"/>
    <xf numFmtId="0" fontId="2" fillId="50" borderId="13" xfId="0" applyFont="1" applyFill="1" applyBorder="1" applyAlignment="1">
      <alignment vertical="center"/>
    </xf>
    <xf numFmtId="0" fontId="36" fillId="50" borderId="13" xfId="0" applyFont="1" applyFill="1" applyBorder="1" applyAlignment="1">
      <alignment vertical="center"/>
    </xf>
    <xf numFmtId="0" fontId="2" fillId="50" borderId="0" xfId="0" applyFont="1" applyFill="1" applyBorder="1" applyAlignment="1">
      <alignment vertical="top"/>
    </xf>
    <xf numFmtId="0" fontId="2" fillId="50" borderId="0" xfId="0" applyFont="1" applyFill="1" applyBorder="1" applyAlignment="1">
      <alignment vertical="center"/>
    </xf>
    <xf numFmtId="0" fontId="2" fillId="50" borderId="0" xfId="0" applyFont="1" applyFill="1" applyBorder="1"/>
    <xf numFmtId="0" fontId="30" fillId="50" borderId="0" xfId="0" applyFont="1" applyFill="1" applyBorder="1" applyAlignment="1">
      <alignment vertical="center"/>
    </xf>
    <xf numFmtId="165" fontId="6" fillId="50" borderId="0" xfId="72" applyNumberFormat="1" applyFont="1" applyFill="1" applyBorder="1" applyAlignment="1">
      <alignment vertical="top"/>
    </xf>
    <xf numFmtId="0" fontId="23" fillId="50" borderId="0" xfId="70" applyFill="1" applyBorder="1" applyAlignment="1">
      <alignment vertical="center"/>
    </xf>
    <xf numFmtId="2" fontId="6" fillId="18" borderId="0" xfId="13" applyNumberFormat="1">
      <alignment vertical="top"/>
    </xf>
    <xf numFmtId="0" fontId="15" fillId="50" borderId="0" xfId="0" applyFont="1" applyFill="1" applyBorder="1" applyAlignment="1">
      <alignment vertical="center"/>
    </xf>
    <xf numFmtId="1" fontId="2" fillId="50" borderId="0" xfId="0" applyNumberFormat="1" applyFont="1" applyFill="1" applyBorder="1"/>
    <xf numFmtId="171" fontId="6" fillId="16" borderId="0" xfId="76" applyNumberFormat="1">
      <alignment vertical="top"/>
    </xf>
    <xf numFmtId="49" fontId="7" fillId="50" borderId="0" xfId="71" applyFont="1" applyFill="1" applyBorder="1">
      <alignment vertical="top"/>
    </xf>
    <xf numFmtId="49" fontId="6" fillId="50" borderId="0" xfId="71" applyFont="1" applyFill="1" applyBorder="1">
      <alignment vertical="top"/>
    </xf>
    <xf numFmtId="41" fontId="6" fillId="16" borderId="0" xfId="76" applyNumberFormat="1">
      <alignment vertical="top"/>
    </xf>
    <xf numFmtId="0" fontId="37" fillId="50" borderId="0" xfId="0" applyFont="1" applyFill="1" applyBorder="1" applyAlignment="1">
      <alignment horizontal="left" vertical="center"/>
    </xf>
    <xf numFmtId="171" fontId="6" fillId="16" borderId="3" xfId="76" applyNumberFormat="1" applyBorder="1">
      <alignment vertical="top"/>
    </xf>
    <xf numFmtId="0" fontId="31" fillId="50" borderId="0" xfId="0" applyFont="1" applyFill="1" applyBorder="1" applyAlignment="1">
      <alignment vertical="center"/>
    </xf>
    <xf numFmtId="171" fontId="38" fillId="50" borderId="0" xfId="62" applyNumberFormat="1" applyFont="1" applyFill="1" applyBorder="1"/>
    <xf numFmtId="2" fontId="6" fillId="50" borderId="0" xfId="4" applyNumberFormat="1" applyFill="1">
      <alignment vertical="top"/>
    </xf>
    <xf numFmtId="2" fontId="6" fillId="17" borderId="0" xfId="72" applyNumberFormat="1" applyFont="1" applyFill="1" applyAlignment="1">
      <alignment vertical="top"/>
    </xf>
    <xf numFmtId="165" fontId="0" fillId="50" borderId="0" xfId="0" applyNumberFormat="1" applyFill="1"/>
    <xf numFmtId="49" fontId="7" fillId="50" borderId="0" xfId="71" applyFill="1" applyBorder="1">
      <alignment vertical="top"/>
    </xf>
    <xf numFmtId="0" fontId="39" fillId="50" borderId="0" xfId="0" applyFont="1" applyFill="1"/>
    <xf numFmtId="49" fontId="7" fillId="24" borderId="1" xfId="71" applyBorder="1">
      <alignment vertical="top"/>
    </xf>
    <xf numFmtId="49" fontId="7" fillId="24" borderId="1" xfId="71" applyFont="1" applyBorder="1">
      <alignment vertical="top"/>
    </xf>
    <xf numFmtId="49" fontId="24" fillId="24" borderId="1" xfId="71" applyFont="1" applyBorder="1">
      <alignment vertical="top"/>
    </xf>
    <xf numFmtId="49" fontId="24" fillId="24" borderId="1" xfId="71" applyFont="1">
      <alignment vertical="top"/>
    </xf>
    <xf numFmtId="43" fontId="6" fillId="14" borderId="0" xfId="10">
      <alignment vertical="top"/>
    </xf>
    <xf numFmtId="0" fontId="6" fillId="49" borderId="0" xfId="69" applyNumberFormat="1">
      <alignment vertical="top"/>
    </xf>
    <xf numFmtId="43" fontId="6" fillId="50" borderId="0" xfId="69" applyFill="1">
      <alignment vertical="top"/>
    </xf>
    <xf numFmtId="49" fontId="7" fillId="24" borderId="14" xfId="71" applyFont="1" applyBorder="1">
      <alignment vertical="top"/>
    </xf>
    <xf numFmtId="0" fontId="0" fillId="50" borderId="0" xfId="0" applyFill="1" applyBorder="1"/>
    <xf numFmtId="41" fontId="6" fillId="50" borderId="0" xfId="73" applyFill="1" applyBorder="1">
      <alignment vertical="top"/>
    </xf>
    <xf numFmtId="0" fontId="0" fillId="50" borderId="14" xfId="0" applyFill="1" applyBorder="1"/>
    <xf numFmtId="165" fontId="6" fillId="50" borderId="14" xfId="9" applyNumberFormat="1" applyFill="1" applyBorder="1">
      <alignment vertical="top"/>
    </xf>
    <xf numFmtId="43" fontId="6" fillId="18" borderId="0" xfId="66" applyNumberFormat="1" applyFill="1" applyAlignment="1">
      <alignment vertical="top"/>
    </xf>
    <xf numFmtId="43" fontId="6" fillId="18" borderId="0" xfId="72" applyFont="1" applyFill="1" applyAlignment="1">
      <alignment vertical="top"/>
    </xf>
    <xf numFmtId="0" fontId="30" fillId="50" borderId="0" xfId="0" applyFont="1" applyFill="1"/>
    <xf numFmtId="43" fontId="6" fillId="50" borderId="0" xfId="66" applyNumberFormat="1" applyFill="1" applyAlignment="1">
      <alignment vertical="top"/>
    </xf>
    <xf numFmtId="0" fontId="2" fillId="50" borderId="14" xfId="0" applyFont="1" applyFill="1" applyBorder="1"/>
    <xf numFmtId="2" fontId="6" fillId="50" borderId="0" xfId="72" applyNumberFormat="1" applyFont="1" applyFill="1" applyAlignment="1">
      <alignment vertical="top"/>
    </xf>
    <xf numFmtId="2" fontId="2" fillId="50" borderId="0" xfId="0" applyNumberFormat="1" applyFont="1" applyFill="1" applyBorder="1"/>
    <xf numFmtId="2" fontId="6" fillId="18" borderId="0" xfId="75" applyNumberFormat="1">
      <alignment vertical="top"/>
    </xf>
    <xf numFmtId="41" fontId="6" fillId="50" borderId="0" xfId="73" applyFill="1">
      <alignment vertical="top"/>
    </xf>
    <xf numFmtId="165" fontId="6" fillId="50" borderId="0" xfId="9" applyNumberFormat="1" applyFill="1">
      <alignment vertical="top"/>
    </xf>
    <xf numFmtId="166" fontId="6" fillId="18" borderId="0" xfId="13" applyNumberFormat="1">
      <alignment vertical="top"/>
    </xf>
    <xf numFmtId="43" fontId="6" fillId="0" borderId="0" xfId="13" applyFill="1">
      <alignment vertical="top"/>
    </xf>
    <xf numFmtId="43" fontId="6" fillId="0" borderId="0" xfId="69" applyFill="1">
      <alignment vertical="top"/>
    </xf>
    <xf numFmtId="43" fontId="6" fillId="18" borderId="0" xfId="13" applyNumberFormat="1">
      <alignment vertical="top"/>
    </xf>
    <xf numFmtId="168" fontId="6" fillId="0" borderId="0" xfId="4" applyNumberFormat="1">
      <alignment vertical="top"/>
    </xf>
    <xf numFmtId="10" fontId="6" fillId="18" borderId="0" xfId="66" applyNumberFormat="1" applyFill="1" applyAlignment="1">
      <alignment vertical="top"/>
    </xf>
    <xf numFmtId="165" fontId="6" fillId="0" borderId="0" xfId="13" applyNumberFormat="1" applyFill="1">
      <alignment vertical="top"/>
    </xf>
    <xf numFmtId="170" fontId="6" fillId="18" borderId="0" xfId="13" applyNumberFormat="1">
      <alignment vertical="top"/>
    </xf>
    <xf numFmtId="172" fontId="6" fillId="16" borderId="0" xfId="76" applyNumberFormat="1">
      <alignment vertical="top"/>
    </xf>
    <xf numFmtId="0" fontId="7" fillId="0" borderId="0" xfId="4" applyFont="1" applyFill="1">
      <alignment vertical="top"/>
    </xf>
    <xf numFmtId="169" fontId="7" fillId="0" borderId="0" xfId="62" applyNumberFormat="1" applyFont="1" applyFill="1" applyBorder="1" applyAlignment="1">
      <alignment vertical="center"/>
    </xf>
    <xf numFmtId="43" fontId="6" fillId="0" borderId="0" xfId="8" applyFill="1">
      <alignment vertical="top"/>
    </xf>
    <xf numFmtId="0" fontId="0" fillId="0" borderId="0" xfId="0" applyFill="1"/>
    <xf numFmtId="173" fontId="6" fillId="0" borderId="0" xfId="13" applyNumberFormat="1" applyFill="1">
      <alignment vertical="top"/>
    </xf>
    <xf numFmtId="41" fontId="6" fillId="0" borderId="0" xfId="73" applyNumberFormat="1" applyFill="1">
      <alignment vertical="top"/>
    </xf>
    <xf numFmtId="165" fontId="6" fillId="0" borderId="0" xfId="9" applyNumberFormat="1" applyFill="1">
      <alignment vertical="top"/>
    </xf>
    <xf numFmtId="165" fontId="6" fillId="0" borderId="0" xfId="69" applyNumberFormat="1" applyFill="1">
      <alignment vertical="top"/>
    </xf>
    <xf numFmtId="171" fontId="6" fillId="0" borderId="0" xfId="4" applyNumberFormat="1">
      <alignment vertical="top"/>
    </xf>
    <xf numFmtId="171" fontId="7" fillId="24" borderId="1" xfId="71" applyNumberFormat="1" applyBorder="1">
      <alignment vertical="top"/>
    </xf>
    <xf numFmtId="171" fontId="0" fillId="50" borderId="0" xfId="0" applyNumberFormat="1" applyFill="1"/>
    <xf numFmtId="0" fontId="2" fillId="0" borderId="0" xfId="0" applyFont="1" applyFill="1"/>
    <xf numFmtId="0" fontId="2" fillId="0" borderId="0" xfId="0" applyFont="1" applyFill="1" applyBorder="1"/>
    <xf numFmtId="49" fontId="7" fillId="0" borderId="0" xfId="71" applyFont="1" applyFill="1" applyBorder="1">
      <alignment vertical="top"/>
    </xf>
    <xf numFmtId="0" fontId="2" fillId="0" borderId="0" xfId="0" applyFont="1"/>
    <xf numFmtId="43" fontId="6" fillId="14" borderId="0" xfId="10" applyFont="1">
      <alignment vertical="top"/>
    </xf>
    <xf numFmtId="171" fontId="6" fillId="0" borderId="0" xfId="73" applyNumberFormat="1" applyFont="1" applyFill="1">
      <alignment vertical="top"/>
    </xf>
    <xf numFmtId="43" fontId="6" fillId="0" borderId="0" xfId="9" applyFill="1">
      <alignment vertical="top"/>
    </xf>
    <xf numFmtId="9" fontId="6" fillId="0" borderId="0" xfId="11" applyNumberFormat="1" applyFill="1">
      <alignment vertical="top"/>
    </xf>
    <xf numFmtId="0" fontId="2" fillId="0" borderId="0" xfId="4" applyFont="1">
      <alignment vertical="top"/>
    </xf>
    <xf numFmtId="43" fontId="16" fillId="0" borderId="0" xfId="10" applyFont="1" applyFill="1">
      <alignment vertical="top"/>
    </xf>
    <xf numFmtId="43" fontId="6" fillId="0" borderId="0" xfId="72" applyFont="1" applyAlignment="1">
      <alignment vertical="top"/>
    </xf>
    <xf numFmtId="165" fontId="6" fillId="0" borderId="0" xfId="72" applyNumberFormat="1" applyFont="1" applyAlignment="1">
      <alignment vertical="top"/>
    </xf>
    <xf numFmtId="10" fontId="6" fillId="0" borderId="0" xfId="66" applyNumberFormat="1" applyFill="1" applyAlignment="1">
      <alignment vertical="top"/>
    </xf>
    <xf numFmtId="49" fontId="7" fillId="24" borderId="1" xfId="6" applyFont="1">
      <alignment vertical="top"/>
    </xf>
    <xf numFmtId="49" fontId="7" fillId="24" borderId="1" xfId="6" applyFont="1" applyBorder="1">
      <alignment vertical="top"/>
    </xf>
    <xf numFmtId="49" fontId="7" fillId="0" borderId="0" xfId="6" applyFont="1" applyFill="1" applyBorder="1">
      <alignment vertical="top"/>
    </xf>
    <xf numFmtId="0" fontId="15" fillId="5" borderId="1" xfId="5" applyNumberFormat="1" applyFont="1">
      <alignment vertical="top"/>
    </xf>
    <xf numFmtId="43" fontId="6" fillId="0" borderId="0" xfId="13" applyNumberFormat="1" applyFill="1">
      <alignment vertical="top"/>
    </xf>
    <xf numFmtId="0" fontId="6" fillId="0" borderId="0" xfId="0" applyFont="1"/>
    <xf numFmtId="0" fontId="6" fillId="0" borderId="0" xfId="4" applyFont="1" applyFill="1">
      <alignment vertical="top"/>
    </xf>
    <xf numFmtId="0" fontId="6" fillId="0" borderId="0" xfId="69" applyNumberFormat="1" applyFill="1">
      <alignment vertical="top"/>
    </xf>
    <xf numFmtId="0" fontId="6" fillId="0" borderId="2" xfId="4" applyBorder="1" applyAlignment="1">
      <alignment vertical="top" wrapText="1"/>
    </xf>
    <xf numFmtId="0" fontId="6" fillId="0" borderId="0" xfId="4" applyAlignment="1">
      <alignment vertical="top" wrapText="1"/>
    </xf>
    <xf numFmtId="0" fontId="2" fillId="0" borderId="2" xfId="0" applyFont="1" applyBorder="1" applyAlignment="1">
      <alignment wrapText="1"/>
    </xf>
    <xf numFmtId="0" fontId="6" fillId="0" borderId="0" xfId="4" applyBorder="1">
      <alignment vertical="top"/>
    </xf>
    <xf numFmtId="166" fontId="6" fillId="7" borderId="0" xfId="11" applyNumberFormat="1" applyFont="1">
      <alignment vertical="top"/>
    </xf>
    <xf numFmtId="49" fontId="7" fillId="0" borderId="0" xfId="71" applyFill="1" applyBorder="1">
      <alignment vertical="top"/>
    </xf>
    <xf numFmtId="43" fontId="6" fillId="0" borderId="0" xfId="66" applyNumberFormat="1" applyFill="1" applyAlignment="1">
      <alignment vertical="top"/>
    </xf>
    <xf numFmtId="43" fontId="6" fillId="0" borderId="0" xfId="72" applyFont="1" applyFill="1" applyAlignment="1">
      <alignment vertical="top"/>
    </xf>
    <xf numFmtId="170" fontId="6" fillId="16" borderId="0" xfId="9" applyNumberFormat="1" applyFont="1">
      <alignment vertical="top"/>
    </xf>
    <xf numFmtId="10" fontId="6" fillId="7" borderId="0" xfId="66" applyNumberFormat="1" applyFont="1" applyFill="1" applyAlignment="1">
      <alignment vertical="top"/>
    </xf>
    <xf numFmtId="0" fontId="6" fillId="50" borderId="0" xfId="0" applyFont="1" applyFill="1"/>
    <xf numFmtId="0" fontId="6" fillId="50" borderId="0" xfId="0" applyFont="1" applyFill="1" applyBorder="1" applyAlignment="1">
      <alignment horizontal="left" vertical="top" indent="1"/>
    </xf>
    <xf numFmtId="0" fontId="6" fillId="50" borderId="0" xfId="0" applyFont="1" applyFill="1" applyBorder="1" applyAlignment="1">
      <alignment vertical="top"/>
    </xf>
    <xf numFmtId="0" fontId="7" fillId="50" borderId="0" xfId="0" applyFont="1" applyFill="1" applyBorder="1" applyAlignment="1">
      <alignment vertical="top"/>
    </xf>
    <xf numFmtId="165" fontId="6" fillId="50" borderId="0" xfId="72" applyNumberFormat="1" applyFont="1" applyFill="1" applyBorder="1" applyAlignment="1">
      <alignment horizontal="left" vertical="top" indent="1"/>
    </xf>
    <xf numFmtId="0" fontId="6" fillId="0" borderId="2" xfId="4" applyFont="1" applyBorder="1" applyAlignment="1">
      <alignment vertical="top" wrapText="1"/>
    </xf>
    <xf numFmtId="49" fontId="7" fillId="24" borderId="1" xfId="71">
      <alignment vertical="top"/>
    </xf>
    <xf numFmtId="0" fontId="1" fillId="0" borderId="0" xfId="77" applyFont="1"/>
    <xf numFmtId="0" fontId="1" fillId="50" borderId="0" xfId="77" applyFont="1" applyFill="1"/>
    <xf numFmtId="0" fontId="1" fillId="0" borderId="0" xfId="77" applyFont="1" applyAlignment="1">
      <alignment horizontal="right"/>
    </xf>
    <xf numFmtId="174" fontId="1" fillId="7" borderId="0" xfId="77" applyNumberFormat="1" applyFont="1" applyFill="1"/>
    <xf numFmtId="10" fontId="1" fillId="7" borderId="0" xfId="77" applyNumberFormat="1" applyFont="1" applyFill="1"/>
    <xf numFmtId="1" fontId="1" fillId="7" borderId="0" xfId="77" applyNumberFormat="1" applyFont="1" applyFill="1"/>
    <xf numFmtId="9" fontId="1" fillId="7" borderId="0" xfId="78" applyFont="1" applyFill="1"/>
    <xf numFmtId="1" fontId="6" fillId="50" borderId="0" xfId="79" applyNumberFormat="1" applyFill="1">
      <alignment vertical="top"/>
    </xf>
    <xf numFmtId="0" fontId="40" fillId="0" borderId="0" xfId="77" applyFont="1"/>
    <xf numFmtId="3" fontId="1" fillId="0" borderId="0" xfId="77" applyNumberFormat="1" applyFont="1"/>
    <xf numFmtId="43" fontId="6" fillId="18" borderId="0" xfId="74">
      <alignment vertical="top"/>
    </xf>
    <xf numFmtId="3" fontId="1" fillId="50" borderId="0" xfId="77" applyNumberFormat="1" applyFont="1" applyFill="1"/>
    <xf numFmtId="0" fontId="41" fillId="0" borderId="0" xfId="77" applyFont="1"/>
    <xf numFmtId="0" fontId="41" fillId="0" borderId="0" xfId="77" applyFont="1" applyAlignment="1">
      <alignment horizontal="right"/>
    </xf>
    <xf numFmtId="0" fontId="1" fillId="7" borderId="0" xfId="77" applyFont="1" applyFill="1"/>
    <xf numFmtId="1" fontId="1" fillId="16" borderId="0" xfId="77" applyNumberFormat="1" applyFont="1" applyFill="1"/>
    <xf numFmtId="4" fontId="1" fillId="16" borderId="0" xfId="77" applyNumberFormat="1" applyFont="1" applyFill="1"/>
    <xf numFmtId="3" fontId="1" fillId="16" borderId="0" xfId="77" applyNumberFormat="1" applyFont="1" applyFill="1"/>
    <xf numFmtId="0" fontId="1" fillId="16" borderId="0" xfId="77" applyFont="1" applyFill="1"/>
    <xf numFmtId="0" fontId="30" fillId="50" borderId="0" xfId="77" applyFont="1" applyFill="1"/>
    <xf numFmtId="0" fontId="1" fillId="16" borderId="15" xfId="77" applyFont="1" applyFill="1" applyBorder="1"/>
    <xf numFmtId="0" fontId="1" fillId="7" borderId="1" xfId="77" applyFont="1" applyFill="1" applyBorder="1"/>
    <xf numFmtId="1" fontId="41" fillId="16" borderId="1" xfId="77" applyNumberFormat="1" applyFont="1" applyFill="1" applyBorder="1"/>
    <xf numFmtId="43" fontId="6" fillId="16" borderId="1" xfId="80" applyBorder="1">
      <alignment vertical="top"/>
    </xf>
    <xf numFmtId="0" fontId="1" fillId="0" borderId="16" xfId="77" applyFont="1" applyBorder="1" applyAlignment="1">
      <alignment horizontal="right"/>
    </xf>
    <xf numFmtId="0" fontId="1" fillId="0" borderId="0" xfId="77" quotePrefix="1" applyFont="1"/>
    <xf numFmtId="4" fontId="1" fillId="16" borderId="1" xfId="77" applyNumberFormat="1" applyFont="1" applyFill="1" applyBorder="1"/>
    <xf numFmtId="3" fontId="1" fillId="16" borderId="16" xfId="77" applyNumberFormat="1" applyFont="1" applyFill="1" applyBorder="1"/>
    <xf numFmtId="1" fontId="1" fillId="0" borderId="0" xfId="77" applyNumberFormat="1" applyFont="1"/>
    <xf numFmtId="2" fontId="1" fillId="17" borderId="17" xfId="77" applyNumberFormat="1" applyFont="1" applyFill="1" applyBorder="1"/>
    <xf numFmtId="10" fontId="6" fillId="0" borderId="0" xfId="78" applyNumberFormat="1" applyFont="1" applyAlignment="1">
      <alignment vertical="top"/>
    </xf>
    <xf numFmtId="2" fontId="1" fillId="50" borderId="0" xfId="77" applyNumberFormat="1" applyFont="1" applyFill="1"/>
    <xf numFmtId="0" fontId="41" fillId="14" borderId="0" xfId="77" applyFont="1" applyFill="1"/>
    <xf numFmtId="0" fontId="1" fillId="14" borderId="0" xfId="77" applyFont="1" applyFill="1"/>
    <xf numFmtId="0" fontId="41" fillId="14" borderId="14" xfId="77" applyFont="1" applyFill="1" applyBorder="1"/>
    <xf numFmtId="0" fontId="1" fillId="14" borderId="14" xfId="77" applyFont="1" applyFill="1" applyBorder="1"/>
    <xf numFmtId="43" fontId="6" fillId="17" borderId="0" xfId="80" applyFill="1">
      <alignment vertical="top"/>
    </xf>
    <xf numFmtId="0" fontId="41" fillId="14" borderId="0" xfId="77" applyFont="1" applyFill="1" applyAlignment="1">
      <alignment horizontal="left"/>
    </xf>
    <xf numFmtId="0" fontId="41" fillId="14" borderId="0" xfId="77" applyFont="1" applyFill="1" applyAlignment="1">
      <alignment horizontal="right"/>
    </xf>
    <xf numFmtId="0" fontId="41" fillId="14" borderId="14" xfId="77" applyFont="1" applyFill="1" applyBorder="1" applyAlignment="1">
      <alignment horizontal="right"/>
    </xf>
    <xf numFmtId="43" fontId="6" fillId="17" borderId="3" xfId="80" applyFill="1" applyBorder="1">
      <alignment vertical="top"/>
    </xf>
    <xf numFmtId="10" fontId="6" fillId="0" borderId="0" xfId="66" applyNumberFormat="1" applyAlignment="1">
      <alignment vertical="top"/>
    </xf>
    <xf numFmtId="10" fontId="0" fillId="50" borderId="0" xfId="66" applyNumberFormat="1" applyFont="1" applyFill="1"/>
    <xf numFmtId="10" fontId="2" fillId="50" borderId="0" xfId="66" applyNumberFormat="1" applyFont="1" applyFill="1"/>
  </cellXfs>
  <cellStyles count="81">
    <cellStyle name="_x000d__x000a_JournalTemplate=C:\COMFO\CTALK\JOURSTD.TPL_x000d__x000a_LbStateAddress=3 3 0 251 1 89 2 311_x000d__x000a_LbStateJou" xfId="62" xr:uid="{00000000-0005-0000-0000-000000000000}"/>
    <cellStyle name="_x000d__x000a_JournalTemplate=C:\COMFO\CTALK\JOURSTD.TPL_x000d__x000a_LbStateAddress=3 3 0 251 1 89 2 311_x000d__x000a_LbStateJou 3" xfId="64" xr:uid="{00000000-0005-0000-0000-000001000000}"/>
    <cellStyle name="_kop1 Bladtitel" xfId="5" xr:uid="{00000000-0005-0000-0000-000002000000}"/>
    <cellStyle name="_kop2 Bloktitel" xfId="6" xr:uid="{00000000-0005-0000-0000-000003000000}"/>
    <cellStyle name="_kop2 Bloktitel 2" xfId="71" xr:uid="{00000000-0005-0000-0000-000004000000}"/>
    <cellStyle name="_kop3 Subkop" xfId="7" xr:uid="{00000000-0005-0000-0000-000005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F000000}"/>
    <cellStyle name="Cel Berekening" xfId="9" xr:uid="{00000000-0005-0000-0000-000020000000}"/>
    <cellStyle name="Cel Berekening 2 2" xfId="80" xr:uid="{4DE76D74-F2F1-446D-B549-B1E94454898C}"/>
    <cellStyle name="Cel Berekening 2 3" xfId="76" xr:uid="{00000000-0005-0000-0000-000021000000}"/>
    <cellStyle name="Cel Bijzonderheid" xfId="10" xr:uid="{00000000-0005-0000-0000-000022000000}"/>
    <cellStyle name="Cel Input" xfId="11" xr:uid="{00000000-0005-0000-0000-000023000000}"/>
    <cellStyle name="Cel Input 2 3" xfId="73" xr:uid="{00000000-0005-0000-0000-000024000000}"/>
    <cellStyle name="Cel n.v.t. (leeg)" xfId="69" xr:uid="{00000000-0005-0000-0000-000025000000}"/>
    <cellStyle name="Cel PM extern" xfId="12" xr:uid="{00000000-0005-0000-0000-000026000000}"/>
    <cellStyle name="Cel Verwijzing" xfId="13" xr:uid="{00000000-0005-0000-0000-000027000000}"/>
    <cellStyle name="Cel Verwijzing 2" xfId="79" xr:uid="{08B45E97-15AE-41D3-B015-098C30B55752}"/>
    <cellStyle name="Cel Verwijzing 2 2" xfId="74" xr:uid="{00000000-0005-0000-0000-000028000000}"/>
    <cellStyle name="Cel Verwijzing 2 3" xfId="75" xr:uid="{00000000-0005-0000-0000-000029000000}"/>
    <cellStyle name="Controlecel" xfId="20" builtinId="23" hidden="1"/>
    <cellStyle name="Euro" xfId="63" xr:uid="{00000000-0005-0000-0000-00002B000000}"/>
    <cellStyle name="Gekoppelde cel" xfId="19" builtinId="24" hidden="1"/>
    <cellStyle name="Gevolgde hyperlink" xfId="60" builtinId="9" hidden="1"/>
    <cellStyle name="Goed" xfId="1" builtinId="26" hidden="1"/>
    <cellStyle name="Hyperlink" xfId="22" builtinId="8" hidden="1"/>
    <cellStyle name="Hyperlink" xfId="70" builtinId="8"/>
    <cellStyle name="Invoer" xfId="16" builtinId="20" hidden="1"/>
    <cellStyle name="Komma" xfId="23" builtinId="3" hidden="1"/>
    <cellStyle name="Komma" xfId="72"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C000000}"/>
    <cellStyle name="Procent" xfId="27" builtinId="5" hidden="1"/>
    <cellStyle name="Procent" xfId="66" builtinId="5"/>
    <cellStyle name="Procent 2" xfId="78" xr:uid="{4935601C-0043-4E8D-9B7E-916C9690DB0C}"/>
    <cellStyle name="Standaard" xfId="0" builtinId="0"/>
    <cellStyle name="Standaard 2" xfId="65" xr:uid="{00000000-0005-0000-0000-000040000000}"/>
    <cellStyle name="Standaard 3" xfId="61" xr:uid="{00000000-0005-0000-0000-000041000000}"/>
    <cellStyle name="Standaard 4" xfId="67" xr:uid="{00000000-0005-0000-0000-000042000000}"/>
    <cellStyle name="Standaard 5" xfId="68" xr:uid="{00000000-0005-0000-0000-000043000000}"/>
    <cellStyle name="Standaard 6" xfId="77" xr:uid="{DEA6026B-D2DC-4BAA-87EB-F02A1E8671A6}"/>
    <cellStyle name="Standaard ACM-DE" xfId="4" xr:uid="{00000000-0005-0000-0000-000044000000}"/>
    <cellStyle name="Titel" xfId="28" builtinId="15" hidden="1"/>
    <cellStyle name="Toelichting" xfId="15" xr:uid="{00000000-0005-0000-0000-000046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CCFFFF"/>
      <color rgb="FFFFFFCC"/>
      <color rgb="FFCCFFCC"/>
      <color rgb="FFFFCC99"/>
      <color rgb="FFCCC8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19</xdr:row>
      <xdr:rowOff>6349</xdr:rowOff>
    </xdr:from>
    <xdr:to>
      <xdr:col>3</xdr:col>
      <xdr:colOff>1799585</xdr:colOff>
      <xdr:row>23</xdr:row>
      <xdr:rowOff>136174</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2857500" y="3096682"/>
          <a:ext cx="1799585"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Maximum tarieven warmteleveranciers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1</xdr:col>
      <xdr:colOff>998192</xdr:colOff>
      <xdr:row>10</xdr:row>
      <xdr:rowOff>63500</xdr:rowOff>
    </xdr:from>
    <xdr:to>
      <xdr:col>3</xdr:col>
      <xdr:colOff>125735</xdr:colOff>
      <xdr:row>15</xdr:row>
      <xdr:rowOff>34574</xdr:rowOff>
    </xdr:to>
    <xdr:sp macro="" textlink="">
      <xdr:nvSpPr>
        <xdr:cNvPr id="3" name="Stroomdiagram: Proces 2">
          <a:extLst>
            <a:ext uri="{FF2B5EF4-FFF2-40B4-BE49-F238E27FC236}">
              <a16:creationId xmlns:a16="http://schemas.microsoft.com/office/drawing/2014/main" id="{00000000-0008-0000-0100-000003000000}"/>
            </a:ext>
          </a:extLst>
        </xdr:cNvPr>
        <xdr:cNvSpPr/>
      </xdr:nvSpPr>
      <xdr:spPr>
        <a:xfrm>
          <a:off x="1188692" y="1725083"/>
          <a:ext cx="1794543"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Intern rekenbestand ACM</a:t>
          </a:r>
        </a:p>
      </xdr:txBody>
    </xdr:sp>
    <xdr:clientData/>
  </xdr:twoCellAnchor>
  <xdr:twoCellAnchor>
    <xdr:from>
      <xdr:col>2</xdr:col>
      <xdr:colOff>614881</xdr:colOff>
      <xdr:row>15</xdr:row>
      <xdr:rowOff>34574</xdr:rowOff>
    </xdr:from>
    <xdr:to>
      <xdr:col>3</xdr:col>
      <xdr:colOff>899793</xdr:colOff>
      <xdr:row>19</xdr:row>
      <xdr:rowOff>6349</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3" idx="2"/>
          <a:endCxn id="2" idx="0"/>
        </xdr:cNvCxnSpPr>
      </xdr:nvCxnSpPr>
      <xdr:spPr>
        <a:xfrm>
          <a:off x="2085964" y="2489907"/>
          <a:ext cx="1671329" cy="606775"/>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2621676</xdr:colOff>
      <xdr:row>19</xdr:row>
      <xdr:rowOff>6349</xdr:rowOff>
    </xdr:from>
    <xdr:to>
      <xdr:col>4</xdr:col>
      <xdr:colOff>627386</xdr:colOff>
      <xdr:row>23</xdr:row>
      <xdr:rowOff>136173</xdr:rowOff>
    </xdr:to>
    <xdr:sp macro="" textlink="">
      <xdr:nvSpPr>
        <xdr:cNvPr id="5" name="Stroomdiagram: Proces 4">
          <a:extLst>
            <a:ext uri="{FF2B5EF4-FFF2-40B4-BE49-F238E27FC236}">
              <a16:creationId xmlns:a16="http://schemas.microsoft.com/office/drawing/2014/main" id="{00000000-0008-0000-0100-000005000000}"/>
            </a:ext>
          </a:extLst>
        </xdr:cNvPr>
        <xdr:cNvSpPr/>
      </xdr:nvSpPr>
      <xdr:spPr>
        <a:xfrm>
          <a:off x="5479176" y="3096682"/>
          <a:ext cx="1794543"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Rapport Panteia</a:t>
          </a:r>
        </a:p>
      </xdr:txBody>
    </xdr:sp>
    <xdr:clientData/>
  </xdr:twoCellAnchor>
  <xdr:twoCellAnchor>
    <xdr:from>
      <xdr:col>1</xdr:col>
      <xdr:colOff>181160</xdr:colOff>
      <xdr:row>19</xdr:row>
      <xdr:rowOff>6349</xdr:rowOff>
    </xdr:from>
    <xdr:to>
      <xdr:col>2</xdr:col>
      <xdr:colOff>695120</xdr:colOff>
      <xdr:row>23</xdr:row>
      <xdr:rowOff>136173</xdr:rowOff>
    </xdr:to>
    <xdr:sp macro="" textlink="">
      <xdr:nvSpPr>
        <xdr:cNvPr id="6" name="Stroomdiagram: Proces 5">
          <a:extLst>
            <a:ext uri="{FF2B5EF4-FFF2-40B4-BE49-F238E27FC236}">
              <a16:creationId xmlns:a16="http://schemas.microsoft.com/office/drawing/2014/main" id="{00000000-0008-0000-0100-000006000000}"/>
            </a:ext>
          </a:extLst>
        </xdr:cNvPr>
        <xdr:cNvSpPr/>
      </xdr:nvSpPr>
      <xdr:spPr>
        <a:xfrm>
          <a:off x="371660" y="3096682"/>
          <a:ext cx="1794543"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Rapport Europe Economics</a:t>
          </a:r>
        </a:p>
      </xdr:txBody>
    </xdr:sp>
    <xdr:clientData/>
  </xdr:twoCellAnchor>
  <xdr:twoCellAnchor>
    <xdr:from>
      <xdr:col>2</xdr:col>
      <xdr:colOff>695120</xdr:colOff>
      <xdr:row>21</xdr:row>
      <xdr:rowOff>71261</xdr:rowOff>
    </xdr:from>
    <xdr:to>
      <xdr:col>3</xdr:col>
      <xdr:colOff>0</xdr:colOff>
      <xdr:row>21</xdr:row>
      <xdr:rowOff>71262</xdr:rowOff>
    </xdr:to>
    <xdr:cxnSp macro="">
      <xdr:nvCxnSpPr>
        <xdr:cNvPr id="7" name="Rechte verbindingslijn met pijl 6">
          <a:extLst>
            <a:ext uri="{FF2B5EF4-FFF2-40B4-BE49-F238E27FC236}">
              <a16:creationId xmlns:a16="http://schemas.microsoft.com/office/drawing/2014/main" id="{00000000-0008-0000-0100-000007000000}"/>
            </a:ext>
          </a:extLst>
        </xdr:cNvPr>
        <xdr:cNvCxnSpPr>
          <a:stCxn id="6" idx="3"/>
          <a:endCxn id="2" idx="1"/>
        </xdr:cNvCxnSpPr>
      </xdr:nvCxnSpPr>
      <xdr:spPr>
        <a:xfrm>
          <a:off x="2166203" y="3479094"/>
          <a:ext cx="691297" cy="1"/>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1799585</xdr:colOff>
      <xdr:row>21</xdr:row>
      <xdr:rowOff>71261</xdr:rowOff>
    </xdr:from>
    <xdr:to>
      <xdr:col>3</xdr:col>
      <xdr:colOff>2621676</xdr:colOff>
      <xdr:row>21</xdr:row>
      <xdr:rowOff>71262</xdr:rowOff>
    </xdr:to>
    <xdr:cxnSp macro="">
      <xdr:nvCxnSpPr>
        <xdr:cNvPr id="10" name="Rechte verbindingslijn met pijl 9">
          <a:extLst>
            <a:ext uri="{FF2B5EF4-FFF2-40B4-BE49-F238E27FC236}">
              <a16:creationId xmlns:a16="http://schemas.microsoft.com/office/drawing/2014/main" id="{00000000-0008-0000-0100-00000A000000}"/>
            </a:ext>
          </a:extLst>
        </xdr:cNvPr>
        <xdr:cNvCxnSpPr>
          <a:stCxn id="5" idx="1"/>
          <a:endCxn id="2" idx="3"/>
        </xdr:cNvCxnSpPr>
      </xdr:nvCxnSpPr>
      <xdr:spPr>
        <a:xfrm flipH="1">
          <a:off x="4657085" y="3479094"/>
          <a:ext cx="822091" cy="1"/>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1457509</xdr:colOff>
      <xdr:row>10</xdr:row>
      <xdr:rowOff>46567</xdr:rowOff>
    </xdr:from>
    <xdr:to>
      <xdr:col>3</xdr:col>
      <xdr:colOff>3252052</xdr:colOff>
      <xdr:row>15</xdr:row>
      <xdr:rowOff>17641</xdr:rowOff>
    </xdr:to>
    <xdr:sp macro="" textlink="">
      <xdr:nvSpPr>
        <xdr:cNvPr id="17" name="Stroomdiagram: Proces 16">
          <a:extLst>
            <a:ext uri="{FF2B5EF4-FFF2-40B4-BE49-F238E27FC236}">
              <a16:creationId xmlns:a16="http://schemas.microsoft.com/office/drawing/2014/main" id="{00000000-0008-0000-0100-000011000000}"/>
            </a:ext>
          </a:extLst>
        </xdr:cNvPr>
        <xdr:cNvSpPr/>
      </xdr:nvSpPr>
      <xdr:spPr>
        <a:xfrm>
          <a:off x="4315009" y="1708150"/>
          <a:ext cx="1794543"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Benodigde externe gegevens (i.e. warmteregeling en -besluit)</a:t>
          </a:r>
        </a:p>
      </xdr:txBody>
    </xdr:sp>
    <xdr:clientData/>
  </xdr:twoCellAnchor>
  <xdr:twoCellAnchor>
    <xdr:from>
      <xdr:col>3</xdr:col>
      <xdr:colOff>899793</xdr:colOff>
      <xdr:row>15</xdr:row>
      <xdr:rowOff>17641</xdr:rowOff>
    </xdr:from>
    <xdr:to>
      <xdr:col>3</xdr:col>
      <xdr:colOff>2354781</xdr:colOff>
      <xdr:row>19</xdr:row>
      <xdr:rowOff>6349</xdr:rowOff>
    </xdr:to>
    <xdr:cxnSp macro="">
      <xdr:nvCxnSpPr>
        <xdr:cNvPr id="18" name="Rechte verbindingslijn met pijl 17">
          <a:extLst>
            <a:ext uri="{FF2B5EF4-FFF2-40B4-BE49-F238E27FC236}">
              <a16:creationId xmlns:a16="http://schemas.microsoft.com/office/drawing/2014/main" id="{00000000-0008-0000-0100-000012000000}"/>
            </a:ext>
          </a:extLst>
        </xdr:cNvPr>
        <xdr:cNvCxnSpPr>
          <a:stCxn id="17" idx="2"/>
          <a:endCxn id="2" idx="0"/>
        </xdr:cNvCxnSpPr>
      </xdr:nvCxnSpPr>
      <xdr:spPr>
        <a:xfrm flipH="1">
          <a:off x="3757293" y="2472974"/>
          <a:ext cx="1454988" cy="623708"/>
        </a:xfrm>
        <a:prstGeom prst="straightConnector1">
          <a:avLst/>
        </a:prstGeom>
        <a:noFill/>
        <a:ln w="19050" cap="flat" cmpd="sng" algn="ctr">
          <a:solidFill>
            <a:srgbClr val="5F1F7A"/>
          </a:solidFill>
          <a:prstDash val="solid"/>
          <a:tailEnd type="arrow"/>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cal_BHemesse\Temp\~ddc\INT\Berekeningen%20RDW%202016%20tot%20en%20met%202018%20-%20nieuwe%20huurtarieven%20collectieve%20afleversets%20na%20herstel%20WACC%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ranciers"/>
      <sheetName val="Input --&gt;"/>
      <sheetName val="A. Aansluitingen"/>
      <sheetName val="A2. Meerlengte Warmtestad"/>
      <sheetName val="B. Afsluitingen"/>
      <sheetName val="C. Afleversets aantallen"/>
      <sheetName val="D. Afleversets onderhoudskosten"/>
      <sheetName val="E. Afleversets ouderdom"/>
      <sheetName val="F. Afleversets A&amp;I"/>
      <sheetName val="Aanpassingen --&gt;"/>
      <sheetName val="A. wijz. Aansluitingen"/>
      <sheetName val="B. wijz. Afsluitingen"/>
      <sheetName val="D. wijz. Afleversets onderhoud"/>
      <sheetName val="Berekeningen --&gt;"/>
      <sheetName val="A. idx. Aansluitingen"/>
      <sheetName val="B. idx. Afsluitingen"/>
      <sheetName val="C. idx. Afleversets aantallen"/>
      <sheetName val="D. idx. Afleversets onderhoud"/>
      <sheetName val="E. idx. Afleversets ouderdom"/>
      <sheetName val="F. idx. Afleversets A&amp;I"/>
      <sheetName val="Variabelen --&gt;"/>
      <sheetName val="CPI"/>
      <sheetName val="Resultaat --&gt;"/>
      <sheetName val="Onderhoudskosten"/>
      <sheetName val="Resultaat afleverset"/>
      <sheetName val="Afleverset gecombineerd"/>
      <sheetName val="Input ruimteverwarming"/>
      <sheetName val="Afleverset ruimteverwarming"/>
      <sheetName val="Aan- en afsluitingen --&gt;"/>
      <sheetName val="Input aansluitingen"/>
      <sheetName val="Kosten aansluitingen"/>
      <sheetName val="Input afsluitingen"/>
      <sheetName val="Kosten afsluitingen"/>
      <sheetName val="Resultaat aan- en afsluitingen"/>
      <sheetName val="Collectief --&gt;"/>
      <sheetName val="Afleverset collectief"/>
      <sheetName val="Cv-ketel collecti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6">
          <cell r="P16">
            <v>1.0160279999999999</v>
          </cell>
          <cell r="Q16">
            <v>1.014</v>
          </cell>
        </row>
        <row r="17">
          <cell r="J17">
            <v>1.1566327253257414</v>
          </cell>
          <cell r="Q17">
            <v>1.0352939999999999</v>
          </cell>
        </row>
        <row r="18">
          <cell r="P18">
            <v>1.0664107964639997</v>
          </cell>
          <cell r="Q18">
            <v>1.0642822320000001</v>
          </cell>
          <cell r="R18">
            <v>1.049588</v>
          </cell>
          <cell r="S18">
            <v>1.028</v>
          </cell>
        </row>
      </sheetData>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pageSetUpPr fitToPage="1"/>
  </sheetPr>
  <dimension ref="B2:D33"/>
  <sheetViews>
    <sheetView showGridLines="0" zoomScaleNormal="100" workbookViewId="0">
      <pane ySplit="3" topLeftCell="A4" activePane="bottomLeft" state="frozen"/>
      <selection pane="bottomLeft"/>
    </sheetView>
  </sheetViews>
  <sheetFormatPr defaultRowHeight="12.75" x14ac:dyDescent="0.25"/>
  <cols>
    <col min="1" max="1" width="2.85546875" style="2" customWidth="1"/>
    <col min="2" max="2" width="39.85546875" style="2" customWidth="1"/>
    <col min="3" max="3" width="91.85546875" style="2" customWidth="1"/>
    <col min="4" max="16384" width="9.140625" style="2"/>
  </cols>
  <sheetData>
    <row r="2" spans="2:3" s="14" customFormat="1" ht="18" x14ac:dyDescent="0.25">
      <c r="B2" s="13" t="s">
        <v>298</v>
      </c>
    </row>
    <row r="6" spans="2:3" x14ac:dyDescent="0.25">
      <c r="B6" s="3"/>
    </row>
    <row r="13" spans="2:3" s="9" customFormat="1" x14ac:dyDescent="0.25">
      <c r="B13" s="9" t="s">
        <v>1</v>
      </c>
    </row>
    <row r="14" spans="2:3" s="10" customFormat="1" x14ac:dyDescent="0.25"/>
    <row r="15" spans="2:3" x14ac:dyDescent="0.25">
      <c r="B15" s="11" t="s">
        <v>2</v>
      </c>
      <c r="C15" s="12" t="s">
        <v>365</v>
      </c>
    </row>
    <row r="16" spans="2:3" x14ac:dyDescent="0.25">
      <c r="B16" s="11" t="s">
        <v>3</v>
      </c>
      <c r="C16" s="12" t="s">
        <v>347</v>
      </c>
    </row>
    <row r="17" spans="2:3" x14ac:dyDescent="0.25">
      <c r="B17" s="11" t="s">
        <v>4</v>
      </c>
      <c r="C17" s="12"/>
    </row>
    <row r="18" spans="2:3" x14ac:dyDescent="0.25">
      <c r="B18" s="11" t="s">
        <v>5</v>
      </c>
      <c r="C18" s="12" t="s">
        <v>292</v>
      </c>
    </row>
    <row r="19" spans="2:3" x14ac:dyDescent="0.25">
      <c r="B19" s="11" t="s">
        <v>6</v>
      </c>
      <c r="C19" s="12"/>
    </row>
    <row r="20" spans="2:3" x14ac:dyDescent="0.25">
      <c r="B20" s="11" t="s">
        <v>7</v>
      </c>
      <c r="C20" s="12" t="s">
        <v>369</v>
      </c>
    </row>
    <row r="21" spans="2:3" x14ac:dyDescent="0.25">
      <c r="B21" s="11" t="s">
        <v>8</v>
      </c>
      <c r="C21" s="12" t="s">
        <v>293</v>
      </c>
    </row>
    <row r="22" spans="2:3" x14ac:dyDescent="0.25">
      <c r="B22" s="11" t="s">
        <v>9</v>
      </c>
      <c r="C22" s="12" t="s">
        <v>368</v>
      </c>
    </row>
    <row r="25" spans="2:3" s="9" customFormat="1" x14ac:dyDescent="0.25">
      <c r="B25" s="9" t="s">
        <v>10</v>
      </c>
    </row>
    <row r="27" spans="2:3" x14ac:dyDescent="0.25">
      <c r="B27" s="11" t="s">
        <v>11</v>
      </c>
      <c r="C27" s="12" t="s">
        <v>294</v>
      </c>
    </row>
    <row r="28" spans="2:3" x14ac:dyDescent="0.25">
      <c r="B28" s="11" t="s">
        <v>12</v>
      </c>
      <c r="C28" s="12" t="s">
        <v>294</v>
      </c>
    </row>
    <row r="29" spans="2:3" ht="25.5" x14ac:dyDescent="0.25">
      <c r="B29" s="11" t="s">
        <v>13</v>
      </c>
      <c r="C29" s="12" t="s">
        <v>294</v>
      </c>
    </row>
    <row r="30" spans="2:3" x14ac:dyDescent="0.25">
      <c r="B30" s="11" t="s">
        <v>14</v>
      </c>
      <c r="C30" s="12"/>
    </row>
    <row r="31" spans="2:3" x14ac:dyDescent="0.25">
      <c r="B31" s="11" t="s">
        <v>9</v>
      </c>
      <c r="C31" s="12"/>
    </row>
    <row r="33" spans="2:4" x14ac:dyDescent="0.25">
      <c r="B33" s="44"/>
      <c r="C33" s="44"/>
      <c r="D33" s="6"/>
    </row>
  </sheetData>
  <pageMargins left="0.74803149606299213" right="0.74803149606299213" top="0.98425196850393704" bottom="0.98425196850393704" header="0.51181102362204722" footer="0.51181102362204722"/>
  <pageSetup paperSize="9" scale="7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
  <sheetViews>
    <sheetView showGridLines="0" zoomScaleNormal="100" workbookViewId="0"/>
  </sheetViews>
  <sheetFormatPr defaultRowHeight="12.75" x14ac:dyDescent="0.25"/>
  <cols>
    <col min="1" max="16384" width="9.140625" style="38"/>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Q76"/>
  <sheetViews>
    <sheetView showGridLines="0" zoomScale="85" zoomScaleNormal="85" workbookViewId="0">
      <pane xSplit="6" ySplit="13" topLeftCell="G14" activePane="bottomRight" state="frozen"/>
      <selection pane="topRight"/>
      <selection pane="bottomLeft"/>
      <selection pane="bottomRight" activeCell="I28" sqref="I28"/>
    </sheetView>
  </sheetViews>
  <sheetFormatPr defaultRowHeight="12.75" x14ac:dyDescent="0.2"/>
  <cols>
    <col min="1" max="1" width="4" style="2" customWidth="1"/>
    <col min="2" max="2" width="52.42578125" style="2" customWidth="1"/>
    <col min="3" max="4" width="4.5703125" style="2" customWidth="1"/>
    <col min="5" max="5" width="21.7109375" style="2" bestFit="1" customWidth="1"/>
    <col min="6" max="6" width="12.42578125" style="152" bestFit="1" customWidth="1"/>
    <col min="7" max="8" width="2.7109375" style="2" customWidth="1"/>
    <col min="9" max="9" width="13.42578125" style="2" bestFit="1" customWidth="1"/>
    <col min="10" max="10" width="14.42578125" style="2" customWidth="1"/>
    <col min="11" max="11" width="40.5703125" style="2" bestFit="1" customWidth="1"/>
    <col min="12" max="12" width="2.7109375" style="2" customWidth="1"/>
    <col min="13" max="13" width="13.7109375" style="2" customWidth="1"/>
    <col min="14" max="14" width="2.7109375" style="2" customWidth="1"/>
    <col min="15" max="29" width="13.7109375" style="2" customWidth="1"/>
    <col min="30" max="16384" width="9.140625" style="2"/>
  </cols>
  <sheetData>
    <row r="1" spans="1:17" x14ac:dyDescent="0.2">
      <c r="A1" s="10"/>
    </row>
    <row r="2" spans="1:17" s="33" customFormat="1" ht="18" x14ac:dyDescent="0.25">
      <c r="B2" s="33" t="s">
        <v>361</v>
      </c>
      <c r="F2" s="165"/>
    </row>
    <row r="3" spans="1:17" x14ac:dyDescent="0.2">
      <c r="Q3" s="45"/>
    </row>
    <row r="4" spans="1:17" x14ac:dyDescent="0.2">
      <c r="B4" s="45" t="s">
        <v>32</v>
      </c>
      <c r="C4" s="1"/>
      <c r="D4" s="1"/>
      <c r="I4" s="63"/>
      <c r="Q4" s="40"/>
    </row>
    <row r="5" spans="1:17" x14ac:dyDescent="0.2">
      <c r="A5" s="10"/>
      <c r="B5" s="40" t="s">
        <v>148</v>
      </c>
      <c r="C5" s="40"/>
      <c r="D5" s="40"/>
      <c r="Q5" s="40"/>
    </row>
    <row r="6" spans="1:17" x14ac:dyDescent="0.2">
      <c r="A6" s="10"/>
      <c r="B6" s="40" t="s">
        <v>280</v>
      </c>
      <c r="C6" s="40"/>
      <c r="D6" s="40"/>
      <c r="Q6" s="46"/>
    </row>
    <row r="7" spans="1:17" x14ac:dyDescent="0.2">
      <c r="B7" s="40"/>
      <c r="C7" s="40"/>
      <c r="D7" s="40"/>
      <c r="Q7" s="5"/>
    </row>
    <row r="8" spans="1:17" x14ac:dyDescent="0.2">
      <c r="B8" s="40" t="s">
        <v>149</v>
      </c>
      <c r="C8" s="40"/>
      <c r="D8" s="40"/>
      <c r="Q8" s="5"/>
    </row>
    <row r="9" spans="1:17" x14ac:dyDescent="0.2">
      <c r="B9" s="40" t="s">
        <v>281</v>
      </c>
      <c r="C9" s="40"/>
      <c r="D9" s="40"/>
      <c r="Q9" s="1"/>
    </row>
    <row r="10" spans="1:17" x14ac:dyDescent="0.2">
      <c r="Q10" s="40"/>
    </row>
    <row r="11" spans="1:17" x14ac:dyDescent="0.2">
      <c r="Q11" s="40"/>
    </row>
    <row r="12" spans="1:17" s="9" customFormat="1" x14ac:dyDescent="0.25">
      <c r="B12" s="9" t="s">
        <v>49</v>
      </c>
      <c r="E12" s="9" t="s">
        <v>30</v>
      </c>
      <c r="F12" s="162"/>
      <c r="K12" s="9" t="s">
        <v>50</v>
      </c>
      <c r="M12" s="9" t="s">
        <v>51</v>
      </c>
    </row>
    <row r="15" spans="1:17" s="9" customFormat="1" x14ac:dyDescent="0.25">
      <c r="B15" s="9" t="s">
        <v>70</v>
      </c>
      <c r="F15" s="162"/>
      <c r="I15" s="9" t="s">
        <v>31</v>
      </c>
    </row>
    <row r="17" spans="1:13" x14ac:dyDescent="0.2">
      <c r="A17" s="1"/>
      <c r="B17" s="1" t="s">
        <v>71</v>
      </c>
    </row>
    <row r="18" spans="1:13" x14ac:dyDescent="0.2">
      <c r="A18" s="138"/>
      <c r="B18" s="2" t="s">
        <v>72</v>
      </c>
      <c r="E18" s="2" t="s">
        <v>81</v>
      </c>
      <c r="I18" s="48">
        <v>0.21</v>
      </c>
      <c r="K18" s="2" t="s">
        <v>153</v>
      </c>
    </row>
    <row r="19" spans="1:13" x14ac:dyDescent="0.2">
      <c r="A19" s="138"/>
      <c r="B19" s="2" t="s">
        <v>277</v>
      </c>
      <c r="E19" s="2" t="s">
        <v>227</v>
      </c>
      <c r="F19" s="152" t="s">
        <v>313</v>
      </c>
      <c r="I19" s="174">
        <v>0.33312999999999998</v>
      </c>
      <c r="J19" s="71"/>
      <c r="K19" s="173" t="s">
        <v>353</v>
      </c>
      <c r="M19" s="34"/>
    </row>
    <row r="20" spans="1:13" x14ac:dyDescent="0.2">
      <c r="A20" s="10"/>
      <c r="B20" s="2" t="s">
        <v>219</v>
      </c>
      <c r="E20" s="2" t="s">
        <v>227</v>
      </c>
      <c r="F20" s="152" t="s">
        <v>313</v>
      </c>
      <c r="I20" s="53">
        <v>7.7499999999999999E-2</v>
      </c>
      <c r="J20" s="10"/>
      <c r="K20" s="173" t="s">
        <v>353</v>
      </c>
      <c r="M20" s="34"/>
    </row>
    <row r="21" spans="1:13" x14ac:dyDescent="0.2">
      <c r="A21" s="10"/>
      <c r="K21" s="173"/>
    </row>
    <row r="22" spans="1:13" x14ac:dyDescent="0.2">
      <c r="A22" s="138"/>
      <c r="B22" s="1" t="s">
        <v>94</v>
      </c>
    </row>
    <row r="23" spans="1:13" x14ac:dyDescent="0.2">
      <c r="A23" s="10"/>
      <c r="B23" s="2" t="s">
        <v>95</v>
      </c>
      <c r="C23" s="34"/>
      <c r="E23" s="2" t="s">
        <v>81</v>
      </c>
      <c r="I23" s="55">
        <v>1.4E-2</v>
      </c>
      <c r="K23" s="72" t="s">
        <v>152</v>
      </c>
    </row>
    <row r="24" spans="1:13" x14ac:dyDescent="0.2">
      <c r="A24" s="10"/>
      <c r="B24" s="2" t="s">
        <v>96</v>
      </c>
      <c r="C24" s="34"/>
      <c r="E24" s="2" t="s">
        <v>81</v>
      </c>
      <c r="I24" s="55">
        <v>2.1000000000000001E-2</v>
      </c>
      <c r="K24" s="72" t="s">
        <v>152</v>
      </c>
    </row>
    <row r="25" spans="1:13" x14ac:dyDescent="0.2">
      <c r="A25" s="10"/>
      <c r="B25" s="2" t="s">
        <v>97</v>
      </c>
      <c r="C25" s="34"/>
      <c r="E25" s="2" t="s">
        <v>81</v>
      </c>
      <c r="I25" s="55">
        <v>2.8000000000000001E-2</v>
      </c>
      <c r="K25" s="72" t="s">
        <v>152</v>
      </c>
    </row>
    <row r="26" spans="1:13" x14ac:dyDescent="0.2">
      <c r="A26" s="10"/>
      <c r="B26" s="40" t="s">
        <v>221</v>
      </c>
      <c r="C26" s="34"/>
      <c r="D26" s="34"/>
      <c r="E26" s="40" t="s">
        <v>113</v>
      </c>
      <c r="I26" s="51">
        <f>(1+I23)*(1+I24)*(1+I25)</f>
        <v>1.0642822320000001</v>
      </c>
      <c r="K26" s="72"/>
    </row>
    <row r="27" spans="1:13" x14ac:dyDescent="0.2">
      <c r="A27" s="10"/>
    </row>
    <row r="28" spans="1:13" x14ac:dyDescent="0.2">
      <c r="A28" s="10"/>
      <c r="B28" s="2" t="s">
        <v>144</v>
      </c>
      <c r="E28" s="2" t="s">
        <v>81</v>
      </c>
      <c r="I28" s="179">
        <v>3.7900000000000003E-2</v>
      </c>
      <c r="J28" s="40"/>
      <c r="K28" s="40" t="s">
        <v>370</v>
      </c>
      <c r="M28" s="2" t="s">
        <v>418</v>
      </c>
    </row>
    <row r="29" spans="1:13" x14ac:dyDescent="0.2">
      <c r="A29" s="10"/>
    </row>
    <row r="30" spans="1:13" x14ac:dyDescent="0.2">
      <c r="A30" s="10"/>
      <c r="B30" s="2" t="s">
        <v>85</v>
      </c>
      <c r="I30" s="53">
        <v>3.517E-2</v>
      </c>
      <c r="J30" s="10"/>
      <c r="K30" s="72" t="s">
        <v>179</v>
      </c>
    </row>
    <row r="32" spans="1:13" s="9" customFormat="1" x14ac:dyDescent="0.25">
      <c r="B32" s="9" t="s">
        <v>75</v>
      </c>
      <c r="F32" s="162"/>
    </row>
    <row r="34" spans="1:13" x14ac:dyDescent="0.2">
      <c r="A34" s="10"/>
      <c r="B34" s="2" t="s">
        <v>76</v>
      </c>
      <c r="E34" s="2" t="s">
        <v>113</v>
      </c>
      <c r="I34" s="47">
        <v>0.79</v>
      </c>
      <c r="K34" s="72" t="s">
        <v>180</v>
      </c>
    </row>
    <row r="35" spans="1:13" x14ac:dyDescent="0.2">
      <c r="A35" s="10"/>
      <c r="B35" s="2" t="s">
        <v>77</v>
      </c>
      <c r="E35" s="2" t="s">
        <v>113</v>
      </c>
      <c r="I35" s="47">
        <v>0.21</v>
      </c>
      <c r="K35" s="72" t="s">
        <v>180</v>
      </c>
    </row>
    <row r="36" spans="1:13" x14ac:dyDescent="0.2">
      <c r="A36" s="10"/>
      <c r="B36" s="2" t="s">
        <v>78</v>
      </c>
      <c r="E36" s="2" t="s">
        <v>113</v>
      </c>
      <c r="I36" s="47">
        <v>0.94</v>
      </c>
      <c r="K36" s="72" t="s">
        <v>180</v>
      </c>
    </row>
    <row r="37" spans="1:13" x14ac:dyDescent="0.2">
      <c r="A37" s="10"/>
      <c r="B37" s="2" t="s">
        <v>79</v>
      </c>
      <c r="E37" s="2" t="s">
        <v>113</v>
      </c>
      <c r="I37" s="47">
        <v>0.68</v>
      </c>
      <c r="K37" s="72" t="s">
        <v>180</v>
      </c>
    </row>
    <row r="38" spans="1:13" x14ac:dyDescent="0.2">
      <c r="A38" s="10"/>
    </row>
    <row r="39" spans="1:13" x14ac:dyDescent="0.2">
      <c r="A39" s="10"/>
      <c r="B39" s="2" t="s">
        <v>306</v>
      </c>
      <c r="E39" s="2" t="s">
        <v>113</v>
      </c>
      <c r="I39" s="47">
        <v>0.5</v>
      </c>
    </row>
    <row r="41" spans="1:13" s="9" customFormat="1" x14ac:dyDescent="0.25">
      <c r="B41" s="9" t="s">
        <v>169</v>
      </c>
      <c r="F41" s="162"/>
    </row>
    <row r="43" spans="1:13" x14ac:dyDescent="0.2">
      <c r="A43" s="10"/>
      <c r="B43" s="2" t="s">
        <v>170</v>
      </c>
      <c r="E43" s="2" t="s">
        <v>227</v>
      </c>
      <c r="F43" s="152" t="s">
        <v>315</v>
      </c>
      <c r="I43" s="47">
        <v>1547.5</v>
      </c>
      <c r="J43" s="10"/>
      <c r="K43" s="152" t="s">
        <v>302</v>
      </c>
    </row>
    <row r="44" spans="1:13" x14ac:dyDescent="0.2">
      <c r="A44" s="10"/>
      <c r="B44" s="2" t="s">
        <v>311</v>
      </c>
      <c r="E44" s="2" t="s">
        <v>227</v>
      </c>
      <c r="F44" s="152" t="s">
        <v>312</v>
      </c>
      <c r="I44" s="47">
        <v>173.12</v>
      </c>
      <c r="J44" s="10"/>
      <c r="K44" s="152" t="s">
        <v>302</v>
      </c>
      <c r="M44" s="34"/>
    </row>
    <row r="45" spans="1:13" x14ac:dyDescent="0.2">
      <c r="A45" s="10"/>
      <c r="B45" s="2" t="s">
        <v>115</v>
      </c>
      <c r="E45" s="2" t="s">
        <v>227</v>
      </c>
      <c r="F45" s="152" t="s">
        <v>314</v>
      </c>
      <c r="I45" s="132">
        <f>'Gegevens t.b.v. huurtarieven'!J18</f>
        <v>951.42609528891717</v>
      </c>
      <c r="J45" s="10"/>
      <c r="K45" s="71"/>
    </row>
    <row r="46" spans="1:13" x14ac:dyDescent="0.2">
      <c r="A46" s="10"/>
      <c r="B46" s="2" t="s">
        <v>215</v>
      </c>
      <c r="E46" s="2" t="s">
        <v>227</v>
      </c>
      <c r="F46" s="152" t="s">
        <v>313</v>
      </c>
      <c r="I46" s="132">
        <f>'Gegevens t.b.v. huurtarieven'!H19</f>
        <v>24.638620679616817</v>
      </c>
      <c r="J46" s="10"/>
      <c r="K46" s="71"/>
    </row>
    <row r="48" spans="1:13" x14ac:dyDescent="0.2">
      <c r="B48" s="2" t="s">
        <v>73</v>
      </c>
      <c r="E48" s="2" t="s">
        <v>80</v>
      </c>
      <c r="I48" s="64">
        <v>15</v>
      </c>
      <c r="J48" s="10"/>
      <c r="K48" s="168" t="s">
        <v>344</v>
      </c>
    </row>
    <row r="49" spans="1:13" x14ac:dyDescent="0.2">
      <c r="B49" s="2" t="s">
        <v>74</v>
      </c>
      <c r="E49" s="2" t="s">
        <v>80</v>
      </c>
      <c r="I49" s="64">
        <v>15</v>
      </c>
      <c r="J49" s="10"/>
      <c r="K49" s="168" t="s">
        <v>344</v>
      </c>
    </row>
    <row r="51" spans="1:13" x14ac:dyDescent="0.2">
      <c r="B51" s="1" t="s">
        <v>114</v>
      </c>
    </row>
    <row r="52" spans="1:13" x14ac:dyDescent="0.2">
      <c r="A52" s="10"/>
      <c r="B52" s="75" t="s">
        <v>164</v>
      </c>
      <c r="E52" s="40" t="s">
        <v>227</v>
      </c>
      <c r="F52" s="152" t="s">
        <v>313</v>
      </c>
      <c r="I52" s="47">
        <v>22.01</v>
      </c>
      <c r="K52" s="40" t="s">
        <v>279</v>
      </c>
      <c r="M52" s="34"/>
    </row>
    <row r="54" spans="1:13" s="9" customFormat="1" x14ac:dyDescent="0.25">
      <c r="B54" s="9" t="s">
        <v>242</v>
      </c>
      <c r="F54" s="162"/>
    </row>
    <row r="55" spans="1:13" x14ac:dyDescent="0.2">
      <c r="A55" s="10"/>
    </row>
    <row r="56" spans="1:13" x14ac:dyDescent="0.2">
      <c r="A56" s="10"/>
      <c r="B56" s="2" t="s">
        <v>307</v>
      </c>
      <c r="E56" s="2" t="s">
        <v>90</v>
      </c>
      <c r="F56" s="152" t="s">
        <v>316</v>
      </c>
      <c r="I56" s="64">
        <v>64667.588984673639</v>
      </c>
      <c r="J56" s="10"/>
      <c r="K56" s="40" t="s">
        <v>293</v>
      </c>
    </row>
    <row r="57" spans="1:13" x14ac:dyDescent="0.2">
      <c r="A57" s="10"/>
      <c r="B57" s="2" t="s">
        <v>308</v>
      </c>
      <c r="E57" s="2" t="s">
        <v>81</v>
      </c>
      <c r="F57" s="152" t="s">
        <v>316</v>
      </c>
      <c r="I57" s="62">
        <v>0.03</v>
      </c>
      <c r="J57" s="10"/>
      <c r="K57" s="40" t="s">
        <v>143</v>
      </c>
    </row>
    <row r="58" spans="1:13" x14ac:dyDescent="0.2">
      <c r="A58" s="10"/>
      <c r="B58" s="2" t="s">
        <v>309</v>
      </c>
      <c r="E58" s="2" t="s">
        <v>90</v>
      </c>
      <c r="F58" s="152" t="s">
        <v>314</v>
      </c>
      <c r="I58" s="64">
        <v>34634.163938980382</v>
      </c>
      <c r="J58" s="10"/>
      <c r="K58" s="40" t="s">
        <v>293</v>
      </c>
    </row>
    <row r="59" spans="1:13" x14ac:dyDescent="0.2">
      <c r="A59" s="10"/>
      <c r="B59" s="2" t="s">
        <v>310</v>
      </c>
      <c r="E59" s="2" t="s">
        <v>81</v>
      </c>
      <c r="F59" s="152" t="s">
        <v>314</v>
      </c>
      <c r="I59" s="62">
        <v>0.02</v>
      </c>
      <c r="J59" s="10"/>
      <c r="K59" s="2" t="s">
        <v>182</v>
      </c>
    </row>
    <row r="60" spans="1:13" x14ac:dyDescent="0.2">
      <c r="A60" s="10"/>
      <c r="I60" s="156"/>
      <c r="J60" s="10"/>
    </row>
    <row r="61" spans="1:13" x14ac:dyDescent="0.2">
      <c r="B61" s="2" t="s">
        <v>118</v>
      </c>
      <c r="E61" s="2" t="s">
        <v>80</v>
      </c>
      <c r="I61" s="64">
        <v>15</v>
      </c>
      <c r="J61" s="10"/>
      <c r="K61" s="168" t="s">
        <v>344</v>
      </c>
    </row>
    <row r="62" spans="1:13" x14ac:dyDescent="0.2">
      <c r="B62" s="2" t="s">
        <v>74</v>
      </c>
      <c r="E62" s="2" t="s">
        <v>80</v>
      </c>
      <c r="I62" s="64">
        <v>15</v>
      </c>
      <c r="J62" s="10"/>
      <c r="K62" s="168" t="s">
        <v>344</v>
      </c>
    </row>
    <row r="64" spans="1:13" x14ac:dyDescent="0.2">
      <c r="A64" s="10"/>
      <c r="B64" s="72" t="s">
        <v>183</v>
      </c>
      <c r="E64" s="2" t="s">
        <v>227</v>
      </c>
      <c r="F64" s="152" t="s">
        <v>316</v>
      </c>
      <c r="H64" s="10"/>
      <c r="I64" s="47">
        <v>3874</v>
      </c>
      <c r="K64" s="40" t="s">
        <v>178</v>
      </c>
    </row>
    <row r="65" spans="1:11" ht="12" customHeight="1" x14ac:dyDescent="0.2"/>
    <row r="66" spans="1:11" s="9" customFormat="1" x14ac:dyDescent="0.25">
      <c r="B66" s="9" t="s">
        <v>116</v>
      </c>
      <c r="F66" s="162"/>
    </row>
    <row r="68" spans="1:11" x14ac:dyDescent="0.2">
      <c r="B68" s="45" t="s">
        <v>173</v>
      </c>
    </row>
    <row r="69" spans="1:11" x14ac:dyDescent="0.2">
      <c r="A69" s="10"/>
      <c r="B69" s="40" t="s">
        <v>117</v>
      </c>
      <c r="E69" s="2" t="s">
        <v>354</v>
      </c>
      <c r="F69" s="152" t="s">
        <v>316</v>
      </c>
      <c r="I69" s="47">
        <v>245.27</v>
      </c>
      <c r="K69" s="2" t="s">
        <v>155</v>
      </c>
    </row>
    <row r="70" spans="1:11" x14ac:dyDescent="0.2">
      <c r="A70" s="10"/>
      <c r="B70" s="40" t="s">
        <v>145</v>
      </c>
      <c r="E70" s="2" t="s">
        <v>355</v>
      </c>
      <c r="F70" s="152" t="s">
        <v>316</v>
      </c>
      <c r="I70" s="47">
        <v>62.06</v>
      </c>
      <c r="K70" s="2" t="s">
        <v>156</v>
      </c>
    </row>
    <row r="72" spans="1:11" s="77" customFormat="1" x14ac:dyDescent="0.25">
      <c r="B72" s="77" t="s">
        <v>220</v>
      </c>
      <c r="F72" s="163"/>
    </row>
    <row r="73" spans="1:11" s="76" customFormat="1" x14ac:dyDescent="0.25">
      <c r="F73" s="164"/>
    </row>
    <row r="74" spans="1:11" x14ac:dyDescent="0.2">
      <c r="B74" s="45" t="s">
        <v>174</v>
      </c>
    </row>
    <row r="75" spans="1:11" x14ac:dyDescent="0.2">
      <c r="A75" s="10"/>
      <c r="B75" s="2" t="s">
        <v>185</v>
      </c>
      <c r="E75" s="2" t="s">
        <v>354</v>
      </c>
      <c r="F75" s="152" t="s">
        <v>316</v>
      </c>
      <c r="I75" s="47">
        <v>222.5</v>
      </c>
      <c r="K75" s="2" t="s">
        <v>142</v>
      </c>
    </row>
    <row r="76" spans="1:11" x14ac:dyDescent="0.2">
      <c r="A76" s="10"/>
      <c r="B76" s="2" t="s">
        <v>184</v>
      </c>
      <c r="E76" s="2" t="s">
        <v>355</v>
      </c>
      <c r="F76" s="152" t="s">
        <v>316</v>
      </c>
      <c r="I76" s="47">
        <v>54.11</v>
      </c>
      <c r="J76" s="71"/>
      <c r="K76" s="2" t="s">
        <v>142</v>
      </c>
    </row>
  </sheetData>
  <pageMargins left="0.70866141732283472" right="0.70866141732283472" top="0.74803149606299213" bottom="0.74803149606299213" header="0.31496062992125984" footer="0.31496062992125984"/>
  <pageSetup paperSize="9"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pageSetUpPr fitToPage="1"/>
  </sheetPr>
  <dimension ref="A1:Z26"/>
  <sheetViews>
    <sheetView showGridLines="0" zoomScaleNormal="100" workbookViewId="0">
      <pane xSplit="6" ySplit="14" topLeftCell="G15" activePane="bottomRight" state="frozen"/>
      <selection pane="topRight"/>
      <selection pane="bottomLeft"/>
      <selection pane="bottomRight"/>
    </sheetView>
  </sheetViews>
  <sheetFormatPr defaultRowHeight="12.75" x14ac:dyDescent="0.25"/>
  <cols>
    <col min="1" max="1" width="4" style="2" customWidth="1"/>
    <col min="2" max="2" width="54.42578125" style="2" customWidth="1"/>
    <col min="3" max="5" width="4.5703125" style="2" customWidth="1"/>
    <col min="6" max="6" width="17.710937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3.42578125" style="2" bestFit="1" customWidth="1"/>
    <col min="13" max="21" width="13.42578125" style="2" customWidth="1"/>
    <col min="22" max="22" width="19.140625" style="2" bestFit="1" customWidth="1"/>
    <col min="23" max="23" width="2.7109375" style="2" customWidth="1"/>
    <col min="24" max="24" width="17.140625" style="2" customWidth="1"/>
    <col min="25" max="25" width="2.7109375" style="2" customWidth="1"/>
    <col min="26" max="26" width="13.7109375" style="2" customWidth="1"/>
    <col min="27" max="27" width="2.7109375" style="2" customWidth="1"/>
    <col min="28" max="42" width="13.7109375" style="2" customWidth="1"/>
    <col min="43" max="16384" width="9.140625" style="2"/>
  </cols>
  <sheetData>
    <row r="1" spans="1:26" x14ac:dyDescent="0.25">
      <c r="A1" s="10"/>
    </row>
    <row r="2" spans="1:26" s="33" customFormat="1" ht="18" x14ac:dyDescent="0.25">
      <c r="A2" s="8"/>
      <c r="B2" s="33" t="s">
        <v>141</v>
      </c>
    </row>
    <row r="4" spans="1:26" x14ac:dyDescent="0.25">
      <c r="B4" s="1" t="s">
        <v>32</v>
      </c>
      <c r="C4" s="1"/>
      <c r="D4" s="1"/>
    </row>
    <row r="5" spans="1:26" x14ac:dyDescent="0.25">
      <c r="B5" s="40" t="s">
        <v>146</v>
      </c>
      <c r="C5" s="1"/>
      <c r="D5" s="1"/>
    </row>
    <row r="6" spans="1:26" x14ac:dyDescent="0.25">
      <c r="B6" s="40" t="s">
        <v>366</v>
      </c>
      <c r="C6" s="1"/>
      <c r="D6" s="1"/>
    </row>
    <row r="7" spans="1:26" x14ac:dyDescent="0.25">
      <c r="B7" s="40" t="s">
        <v>139</v>
      </c>
      <c r="C7" s="1"/>
      <c r="D7" s="1"/>
    </row>
    <row r="8" spans="1:26" x14ac:dyDescent="0.25">
      <c r="B8" s="40"/>
      <c r="C8" s="1"/>
      <c r="D8" s="1"/>
    </row>
    <row r="9" spans="1:26" x14ac:dyDescent="0.25">
      <c r="B9" s="5" t="s">
        <v>33</v>
      </c>
      <c r="C9" s="3"/>
      <c r="D9" s="3"/>
      <c r="H9" s="34"/>
    </row>
    <row r="10" spans="1:26" x14ac:dyDescent="0.25">
      <c r="B10" s="40" t="s">
        <v>362</v>
      </c>
      <c r="C10" s="3"/>
      <c r="D10" s="3"/>
    </row>
    <row r="11" spans="1:26" x14ac:dyDescent="0.25">
      <c r="B11" s="40" t="s">
        <v>367</v>
      </c>
      <c r="C11" s="3"/>
      <c r="D11" s="3"/>
    </row>
    <row r="13" spans="1:26" s="9" customFormat="1" x14ac:dyDescent="0.25">
      <c r="B13" s="9" t="s">
        <v>49</v>
      </c>
      <c r="F13" s="9" t="s">
        <v>30</v>
      </c>
      <c r="H13" s="9" t="s">
        <v>31</v>
      </c>
      <c r="J13" s="9" t="s">
        <v>160</v>
      </c>
      <c r="X13" s="9" t="s">
        <v>50</v>
      </c>
      <c r="Z13" s="9" t="s">
        <v>51</v>
      </c>
    </row>
    <row r="16" spans="1:26" s="9" customFormat="1" x14ac:dyDescent="0.25">
      <c r="B16" s="9" t="s">
        <v>202</v>
      </c>
    </row>
    <row r="18" spans="2:26" x14ac:dyDescent="0.25">
      <c r="B18" s="1" t="s">
        <v>121</v>
      </c>
      <c r="L18" s="1"/>
      <c r="M18" s="1"/>
      <c r="N18" s="1"/>
      <c r="O18" s="1"/>
      <c r="P18" s="1"/>
      <c r="Q18" s="1"/>
      <c r="R18" s="1"/>
      <c r="S18" s="1"/>
      <c r="T18" s="1"/>
      <c r="U18" s="1"/>
    </row>
    <row r="19" spans="2:26" x14ac:dyDescent="0.2">
      <c r="B19" s="40" t="s">
        <v>210</v>
      </c>
      <c r="F19" s="2" t="s">
        <v>363</v>
      </c>
      <c r="L19" s="66"/>
      <c r="M19" s="66"/>
      <c r="N19" s="66"/>
      <c r="O19" s="66"/>
      <c r="P19" s="66"/>
      <c r="Q19" s="66"/>
      <c r="R19" s="66"/>
      <c r="S19" s="66"/>
      <c r="T19" s="66"/>
      <c r="U19" s="66"/>
      <c r="X19" s="34"/>
      <c r="Z19" s="65" t="s">
        <v>154</v>
      </c>
    </row>
    <row r="20" spans="2:26" x14ac:dyDescent="0.25">
      <c r="B20" s="40" t="s">
        <v>211</v>
      </c>
      <c r="F20" s="2" t="s">
        <v>112</v>
      </c>
      <c r="J20" s="51">
        <v>51.922740307499595</v>
      </c>
      <c r="L20" s="66"/>
      <c r="M20" s="66"/>
      <c r="N20" s="66"/>
      <c r="O20" s="66"/>
      <c r="P20" s="66"/>
      <c r="Q20" s="66"/>
      <c r="R20" s="66"/>
      <c r="S20" s="66"/>
      <c r="T20" s="66"/>
      <c r="U20" s="66"/>
    </row>
    <row r="23" spans="2:26" s="9" customFormat="1" x14ac:dyDescent="0.25">
      <c r="B23" s="9" t="s">
        <v>120</v>
      </c>
    </row>
    <row r="24" spans="2:26" customFormat="1" ht="15" x14ac:dyDescent="0.25"/>
    <row r="25" spans="2:26" x14ac:dyDescent="0.25">
      <c r="B25" s="1" t="s">
        <v>86</v>
      </c>
      <c r="L25" s="1"/>
      <c r="M25" s="1"/>
    </row>
    <row r="26" spans="2:26" x14ac:dyDescent="0.25">
      <c r="B26" s="40" t="s">
        <v>181</v>
      </c>
      <c r="F26" s="2" t="s">
        <v>364</v>
      </c>
      <c r="J26" s="74">
        <v>0.24867897989431262</v>
      </c>
      <c r="L26" s="66"/>
      <c r="M26" s="66"/>
      <c r="N26" s="66"/>
      <c r="O26" s="66"/>
      <c r="P26" s="66"/>
      <c r="Q26" s="66"/>
      <c r="R26" s="66"/>
      <c r="S26" s="66"/>
      <c r="T26" s="66"/>
      <c r="U26" s="66"/>
    </row>
  </sheetData>
  <pageMargins left="0.70866141732283472" right="0.70866141732283472" top="0.74803149606299213" bottom="0.74803149606299213" header="0.31496062992125984" footer="0.31496062992125984"/>
  <pageSetup paperSize="9"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pageSetUpPr fitToPage="1"/>
  </sheetPr>
  <dimension ref="A2:X32"/>
  <sheetViews>
    <sheetView showGridLines="0" zoomScaleNormal="100" workbookViewId="0">
      <pane xSplit="6" ySplit="11" topLeftCell="G12" activePane="bottomRight" state="frozen"/>
      <selection pane="topRight"/>
      <selection pane="bottomLeft"/>
      <selection pane="bottomRight"/>
    </sheetView>
  </sheetViews>
  <sheetFormatPr defaultRowHeight="12.75" x14ac:dyDescent="0.25"/>
  <cols>
    <col min="1" max="1" width="4" style="2" customWidth="1"/>
    <col min="2" max="2" width="66.140625" style="2" customWidth="1"/>
    <col min="3" max="5" width="4.5703125" style="2" customWidth="1"/>
    <col min="6" max="6" width="17.710937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140625" style="2" bestFit="1" customWidth="1"/>
    <col min="14" max="15" width="15.85546875" style="2" bestFit="1" customWidth="1"/>
    <col min="16" max="16" width="14.140625" style="2" bestFit="1" customWidth="1"/>
    <col min="17" max="17" width="15.85546875" style="2" bestFit="1" customWidth="1"/>
    <col min="18" max="18" width="13" style="2" bestFit="1" customWidth="1"/>
    <col min="19" max="19" width="14.7109375" style="2" customWidth="1"/>
    <col min="20" max="20" width="19.140625" style="2" bestFit="1" customWidth="1"/>
    <col min="21" max="21" width="2.7109375" style="2" customWidth="1"/>
    <col min="22" max="22" width="17.140625" style="2"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1:24" s="33" customFormat="1" ht="18" x14ac:dyDescent="0.25">
      <c r="B2" s="33" t="s">
        <v>141</v>
      </c>
    </row>
    <row r="4" spans="1:24" x14ac:dyDescent="0.25">
      <c r="A4" s="10"/>
      <c r="B4" s="1" t="s">
        <v>32</v>
      </c>
      <c r="C4" s="1"/>
      <c r="D4" s="1"/>
    </row>
    <row r="5" spans="1:24" x14ac:dyDescent="0.25">
      <c r="A5" s="10"/>
      <c r="B5" s="40" t="s">
        <v>147</v>
      </c>
      <c r="C5" s="1"/>
      <c r="D5" s="1"/>
    </row>
    <row r="6" spans="1:24" x14ac:dyDescent="0.25">
      <c r="A6" s="10"/>
      <c r="B6" s="40" t="s">
        <v>140</v>
      </c>
      <c r="C6" s="3"/>
      <c r="D6" s="3"/>
      <c r="H6" s="34"/>
    </row>
    <row r="7" spans="1:24" x14ac:dyDescent="0.25">
      <c r="B7" s="40"/>
      <c r="C7" s="3"/>
      <c r="D7" s="3"/>
      <c r="H7" s="34"/>
    </row>
    <row r="8" spans="1:24" x14ac:dyDescent="0.25">
      <c r="B8" s="5" t="s">
        <v>33</v>
      </c>
      <c r="C8" s="3"/>
      <c r="D8" s="3"/>
      <c r="H8" s="34"/>
    </row>
    <row r="10" spans="1:24" s="9" customFormat="1" x14ac:dyDescent="0.25">
      <c r="B10" s="9" t="s">
        <v>49</v>
      </c>
      <c r="F10" s="9" t="s">
        <v>30</v>
      </c>
      <c r="H10" s="9" t="s">
        <v>31</v>
      </c>
      <c r="J10" s="9" t="s">
        <v>160</v>
      </c>
      <c r="L10" s="9" t="s">
        <v>122</v>
      </c>
      <c r="M10" s="9" t="s">
        <v>123</v>
      </c>
      <c r="N10" s="9" t="s">
        <v>124</v>
      </c>
      <c r="O10" s="9" t="s">
        <v>83</v>
      </c>
      <c r="P10" s="9" t="s">
        <v>125</v>
      </c>
      <c r="Q10" s="9" t="s">
        <v>126</v>
      </c>
      <c r="R10" s="9" t="s">
        <v>127</v>
      </c>
      <c r="V10" s="9" t="s">
        <v>50</v>
      </c>
      <c r="X10" s="9" t="s">
        <v>51</v>
      </c>
    </row>
    <row r="13" spans="1:24" s="9" customFormat="1" x14ac:dyDescent="0.25">
      <c r="B13" s="9" t="s">
        <v>202</v>
      </c>
    </row>
    <row r="15" spans="1:24" x14ac:dyDescent="0.25">
      <c r="B15" s="1" t="s">
        <v>121</v>
      </c>
    </row>
    <row r="16" spans="1:24" x14ac:dyDescent="0.25">
      <c r="A16" s="10"/>
      <c r="B16" s="40" t="s">
        <v>203</v>
      </c>
      <c r="F16" s="2" t="s">
        <v>300</v>
      </c>
      <c r="H16" s="10"/>
      <c r="L16" s="57">
        <v>18</v>
      </c>
      <c r="M16" s="57">
        <v>18</v>
      </c>
      <c r="N16" s="57">
        <v>18</v>
      </c>
      <c r="O16" s="57">
        <v>18.007200000000001</v>
      </c>
      <c r="P16" s="57">
        <v>18</v>
      </c>
      <c r="Q16" s="57">
        <v>18</v>
      </c>
      <c r="R16" s="57">
        <v>18</v>
      </c>
      <c r="V16" s="40" t="s">
        <v>282</v>
      </c>
    </row>
    <row r="17" spans="1:18" x14ac:dyDescent="0.25">
      <c r="A17" s="10"/>
      <c r="B17" s="40" t="s">
        <v>204</v>
      </c>
      <c r="F17" s="2" t="s">
        <v>113</v>
      </c>
      <c r="J17" s="51">
        <f>SUMPRODUCT(L16:R16,L17:R17)/SUM(L17:R17)</f>
        <v>18.002510883206796</v>
      </c>
      <c r="L17" s="64">
        <v>138211.38059177471</v>
      </c>
      <c r="M17" s="64">
        <v>188011.04723781827</v>
      </c>
      <c r="N17" s="64">
        <v>2236998.1643496188</v>
      </c>
      <c r="O17" s="64">
        <v>2463085.7065084148</v>
      </c>
      <c r="P17" s="64">
        <v>102272.37998887508</v>
      </c>
      <c r="Q17" s="64">
        <v>1883064.4949132442</v>
      </c>
      <c r="R17" s="64">
        <v>51296.687121787989</v>
      </c>
    </row>
    <row r="18" spans="1:18" x14ac:dyDescent="0.25">
      <c r="B18" s="40"/>
      <c r="L18" s="133"/>
      <c r="M18" s="133"/>
      <c r="N18" s="133"/>
      <c r="O18" s="133"/>
      <c r="P18" s="133"/>
      <c r="Q18" s="133"/>
      <c r="R18" s="133"/>
    </row>
    <row r="19" spans="1:18" x14ac:dyDescent="0.25">
      <c r="A19" s="10"/>
      <c r="B19" s="40" t="s">
        <v>205</v>
      </c>
      <c r="F19" s="2" t="s">
        <v>360</v>
      </c>
      <c r="L19" s="57">
        <v>24.9696</v>
      </c>
      <c r="M19" s="57">
        <v>25.921200000000006</v>
      </c>
      <c r="N19" s="57">
        <v>25.163499999999999</v>
      </c>
      <c r="O19" s="57">
        <v>31.219799999999999</v>
      </c>
      <c r="P19" s="57">
        <v>30.5</v>
      </c>
      <c r="Q19" s="57">
        <v>28.565000000000001</v>
      </c>
      <c r="R19" s="57">
        <v>21.1724</v>
      </c>
    </row>
    <row r="20" spans="1:18" x14ac:dyDescent="0.25">
      <c r="A20" s="10"/>
      <c r="B20" s="40" t="s">
        <v>206</v>
      </c>
      <c r="F20" s="40" t="s">
        <v>113</v>
      </c>
      <c r="L20" s="64">
        <v>3</v>
      </c>
      <c r="M20" s="64">
        <v>3</v>
      </c>
      <c r="N20" s="64">
        <v>3</v>
      </c>
      <c r="O20" s="64">
        <v>3</v>
      </c>
      <c r="P20" s="64">
        <v>3</v>
      </c>
      <c r="Q20" s="64">
        <v>3</v>
      </c>
      <c r="R20" s="64">
        <v>3</v>
      </c>
    </row>
    <row r="21" spans="1:18" x14ac:dyDescent="0.25">
      <c r="A21" s="10"/>
      <c r="B21" s="40" t="s">
        <v>207</v>
      </c>
      <c r="F21" s="2" t="s">
        <v>113</v>
      </c>
      <c r="J21" s="51">
        <f>SUMPRODUCT(L19:R19,L20:R20,L21:R21)/SUM(L21:R21)</f>
        <v>84.629481213718449</v>
      </c>
      <c r="L21" s="64">
        <v>468922.33627533697</v>
      </c>
      <c r="M21" s="64">
        <v>603938.88779902353</v>
      </c>
      <c r="N21" s="64">
        <v>7287448.7222530572</v>
      </c>
      <c r="O21" s="64">
        <v>7787861.7505840249</v>
      </c>
      <c r="P21" s="64">
        <v>338952.20358401537</v>
      </c>
      <c r="Q21" s="64">
        <v>5732172.2473380528</v>
      </c>
      <c r="R21" s="64">
        <v>163677.22711687637</v>
      </c>
    </row>
    <row r="22" spans="1:18" x14ac:dyDescent="0.25">
      <c r="B22" s="40"/>
      <c r="L22" s="133"/>
      <c r="M22" s="133"/>
      <c r="N22" s="133"/>
      <c r="O22" s="133"/>
      <c r="P22" s="133"/>
      <c r="Q22" s="133"/>
      <c r="R22" s="133"/>
    </row>
    <row r="23" spans="1:18" x14ac:dyDescent="0.25">
      <c r="A23" s="10"/>
      <c r="B23" s="40" t="s">
        <v>208</v>
      </c>
      <c r="F23" s="2" t="s">
        <v>300</v>
      </c>
      <c r="L23" s="57">
        <v>28.9176</v>
      </c>
      <c r="M23" s="57">
        <v>28.4496</v>
      </c>
      <c r="N23" s="57">
        <v>29.59</v>
      </c>
      <c r="O23" s="57">
        <v>31.915199999999999</v>
      </c>
      <c r="P23" s="57">
        <v>29.95</v>
      </c>
      <c r="Q23" s="57">
        <v>28.17</v>
      </c>
      <c r="R23" s="57">
        <v>26.2</v>
      </c>
    </row>
    <row r="24" spans="1:18" x14ac:dyDescent="0.25">
      <c r="A24" s="10"/>
      <c r="B24" s="40" t="s">
        <v>209</v>
      </c>
      <c r="F24" s="2" t="s">
        <v>113</v>
      </c>
      <c r="J24" s="51">
        <f>SUMPRODUCT(L23:R23,L24:R24)/SUM(L24:R24)</f>
        <v>29.958673758502535</v>
      </c>
      <c r="L24" s="64">
        <v>135413.53846153847</v>
      </c>
      <c r="M24" s="64">
        <v>184701.58903101986</v>
      </c>
      <c r="N24" s="64">
        <v>2193850.4095087429</v>
      </c>
      <c r="O24" s="64">
        <v>2420637.6595494323</v>
      </c>
      <c r="P24" s="64">
        <v>100226.24666666666</v>
      </c>
      <c r="Q24" s="64">
        <v>1854844.0428774992</v>
      </c>
      <c r="R24" s="64">
        <v>50268.267924158346</v>
      </c>
    </row>
    <row r="29" spans="1:18" x14ac:dyDescent="0.25">
      <c r="M29" s="160"/>
      <c r="N29" s="159"/>
      <c r="O29" s="159"/>
    </row>
    <row r="30" spans="1:18" x14ac:dyDescent="0.25">
      <c r="M30" s="160"/>
      <c r="N30" s="159"/>
      <c r="O30" s="159"/>
    </row>
    <row r="31" spans="1:18" x14ac:dyDescent="0.25">
      <c r="M31" s="160"/>
      <c r="N31" s="159"/>
      <c r="O31" s="159"/>
    </row>
    <row r="32" spans="1:18" x14ac:dyDescent="0.25">
      <c r="M32" s="159"/>
    </row>
  </sheetData>
  <pageMargins left="0.70866141732283472" right="0.70866141732283472" top="0.74803149606299213" bottom="0.74803149606299213" header="0.31496062992125984" footer="0.31496062992125984"/>
  <pageSetup paperSize="9" scale="4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
  <sheetViews>
    <sheetView showGridLines="0" zoomScaleNormal="100" workbookViewId="0"/>
  </sheetViews>
  <sheetFormatPr defaultRowHeight="12.75" x14ac:dyDescent="0.25"/>
  <cols>
    <col min="1" max="16384" width="9.140625" style="38"/>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2:R116"/>
  <sheetViews>
    <sheetView showGridLines="0" zoomScaleNormal="100" workbookViewId="0">
      <pane xSplit="6" ySplit="14" topLeftCell="G15" activePane="bottomRight" state="frozen"/>
      <selection pane="topRight"/>
      <selection pane="bottomLeft"/>
      <selection pane="bottomRight"/>
    </sheetView>
  </sheetViews>
  <sheetFormatPr defaultRowHeight="12.75" x14ac:dyDescent="0.2"/>
  <cols>
    <col min="1" max="1" width="4.5703125" style="2" customWidth="1"/>
    <col min="2" max="2" width="41.42578125" style="2" customWidth="1"/>
    <col min="3" max="4" width="4.5703125" style="2" customWidth="1"/>
    <col min="5" max="5" width="20.5703125" style="2" customWidth="1"/>
    <col min="6" max="6" width="20.28515625" style="15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2" customWidth="1"/>
    <col min="14" max="14" width="14.7109375" style="2" bestFit="1" customWidth="1"/>
    <col min="15" max="17" width="2.7109375" style="2" customWidth="1"/>
    <col min="18" max="32" width="13.7109375" style="2" customWidth="1"/>
    <col min="33" max="16384" width="9.140625" style="2"/>
  </cols>
  <sheetData>
    <row r="2" spans="1:18" s="33" customFormat="1" ht="18" x14ac:dyDescent="0.25">
      <c r="B2" s="33" t="s">
        <v>192</v>
      </c>
      <c r="F2" s="165"/>
    </row>
    <row r="4" spans="1:18" x14ac:dyDescent="0.2">
      <c r="B4" s="1" t="s">
        <v>63</v>
      </c>
      <c r="C4" s="1"/>
      <c r="D4" s="1"/>
    </row>
    <row r="5" spans="1:18" x14ac:dyDescent="0.2">
      <c r="A5" s="10"/>
      <c r="B5" s="40" t="s">
        <v>289</v>
      </c>
      <c r="C5" s="1"/>
      <c r="D5" s="1"/>
    </row>
    <row r="6" spans="1:18" x14ac:dyDescent="0.2">
      <c r="A6" s="10"/>
      <c r="B6" s="40" t="s">
        <v>84</v>
      </c>
      <c r="C6" s="3"/>
      <c r="D6" s="3"/>
      <c r="H6" s="34"/>
    </row>
    <row r="7" spans="1:18" x14ac:dyDescent="0.2">
      <c r="A7" s="10"/>
      <c r="B7" s="40" t="s">
        <v>150</v>
      </c>
      <c r="C7" s="3"/>
      <c r="D7" s="3"/>
      <c r="H7" s="34"/>
    </row>
    <row r="8" spans="1:18" x14ac:dyDescent="0.2">
      <c r="A8" s="10"/>
      <c r="B8" s="40" t="s">
        <v>290</v>
      </c>
      <c r="C8" s="3"/>
      <c r="D8" s="3"/>
      <c r="H8" s="34"/>
    </row>
    <row r="9" spans="1:18" x14ac:dyDescent="0.2">
      <c r="B9" s="40"/>
      <c r="C9" s="3"/>
      <c r="D9" s="3"/>
      <c r="H9" s="34"/>
    </row>
    <row r="10" spans="1:18" x14ac:dyDescent="0.2">
      <c r="B10" s="5" t="s">
        <v>33</v>
      </c>
      <c r="C10" s="3"/>
      <c r="D10" s="3"/>
      <c r="H10" s="34"/>
    </row>
    <row r="11" spans="1:18" x14ac:dyDescent="0.2">
      <c r="B11" s="5" t="s">
        <v>0</v>
      </c>
      <c r="C11" s="3"/>
      <c r="D11" s="3"/>
    </row>
    <row r="13" spans="1:18" s="9" customFormat="1" x14ac:dyDescent="0.25">
      <c r="B13" s="9" t="s">
        <v>49</v>
      </c>
      <c r="E13" s="9" t="s">
        <v>30</v>
      </c>
      <c r="F13" s="162"/>
      <c r="H13" s="9" t="s">
        <v>31</v>
      </c>
      <c r="J13" s="9" t="s">
        <v>53</v>
      </c>
      <c r="L13" s="9" t="s">
        <v>177</v>
      </c>
      <c r="N13" s="9" t="s">
        <v>222</v>
      </c>
      <c r="R13" s="9" t="s">
        <v>51</v>
      </c>
    </row>
    <row r="16" spans="1:18" s="9" customFormat="1" x14ac:dyDescent="0.25">
      <c r="B16" s="9" t="s">
        <v>52</v>
      </c>
      <c r="F16" s="162"/>
    </row>
    <row r="19" spans="1:12" x14ac:dyDescent="0.2">
      <c r="B19" s="1" t="s">
        <v>71</v>
      </c>
    </row>
    <row r="20" spans="1:12" x14ac:dyDescent="0.2">
      <c r="A20" s="10"/>
      <c r="B20" s="54" t="s">
        <v>243</v>
      </c>
      <c r="E20" s="2" t="s">
        <v>81</v>
      </c>
      <c r="H20" s="134">
        <f>'Gegevens warmteregeling &amp; ACM'!I28</f>
        <v>3.7900000000000003E-2</v>
      </c>
    </row>
    <row r="21" spans="1:12" x14ac:dyDescent="0.2">
      <c r="A21" s="10"/>
      <c r="B21" s="2" t="s">
        <v>97</v>
      </c>
      <c r="C21" s="34"/>
      <c r="E21" s="2" t="s">
        <v>81</v>
      </c>
      <c r="H21" s="134">
        <f>'Gegevens warmteregeling &amp; ACM'!I25</f>
        <v>2.8000000000000001E-2</v>
      </c>
      <c r="I21" s="161"/>
      <c r="K21" s="72"/>
    </row>
    <row r="22" spans="1:12" x14ac:dyDescent="0.2">
      <c r="A22" s="10"/>
      <c r="B22" s="54" t="s">
        <v>221</v>
      </c>
      <c r="E22" s="2" t="s">
        <v>113</v>
      </c>
      <c r="H22" s="52">
        <f>'Gegevens warmteregeling &amp; ACM'!I26</f>
        <v>1.0642822320000001</v>
      </c>
    </row>
    <row r="23" spans="1:12" x14ac:dyDescent="0.2">
      <c r="A23" s="10"/>
      <c r="B23" s="2" t="s">
        <v>72</v>
      </c>
      <c r="E23" s="2" t="s">
        <v>81</v>
      </c>
      <c r="H23" s="56">
        <f>'Gegevens warmteregeling &amp; ACM'!I18</f>
        <v>0.21</v>
      </c>
    </row>
    <row r="24" spans="1:12" x14ac:dyDescent="0.2">
      <c r="A24" s="10"/>
      <c r="B24" s="2" t="s">
        <v>161</v>
      </c>
      <c r="E24" s="2" t="s">
        <v>113</v>
      </c>
      <c r="H24" s="52">
        <v>0.5</v>
      </c>
    </row>
    <row r="25" spans="1:12" x14ac:dyDescent="0.2">
      <c r="A25" s="10"/>
      <c r="B25" s="1"/>
    </row>
    <row r="26" spans="1:12" x14ac:dyDescent="0.2">
      <c r="A26" s="10"/>
      <c r="B26" s="1" t="s">
        <v>194</v>
      </c>
    </row>
    <row r="27" spans="1:12" x14ac:dyDescent="0.2">
      <c r="A27" s="10"/>
      <c r="B27" s="2" t="s">
        <v>195</v>
      </c>
      <c r="E27" s="2" t="s">
        <v>283</v>
      </c>
      <c r="F27" s="152" t="s">
        <v>313</v>
      </c>
      <c r="L27" s="52">
        <f>Gasleveranciers!J20</f>
        <v>51.922740307499595</v>
      </c>
    </row>
    <row r="28" spans="1:12" x14ac:dyDescent="0.2">
      <c r="A28" s="10"/>
    </row>
    <row r="29" spans="1:12" x14ac:dyDescent="0.2">
      <c r="A29" s="10"/>
      <c r="B29" s="1" t="s">
        <v>194</v>
      </c>
    </row>
    <row r="30" spans="1:12" x14ac:dyDescent="0.2">
      <c r="A30" s="10"/>
      <c r="B30" s="2" t="s">
        <v>196</v>
      </c>
      <c r="E30" s="2" t="s">
        <v>283</v>
      </c>
      <c r="F30" s="152" t="s">
        <v>313</v>
      </c>
      <c r="L30" s="52">
        <f>Netbeheer!J17</f>
        <v>18.002510883206796</v>
      </c>
    </row>
    <row r="31" spans="1:12" x14ac:dyDescent="0.2">
      <c r="A31" s="10"/>
      <c r="B31" s="2" t="s">
        <v>198</v>
      </c>
      <c r="E31" s="2" t="s">
        <v>283</v>
      </c>
      <c r="F31" s="152" t="s">
        <v>313</v>
      </c>
      <c r="L31" s="52">
        <f>Netbeheer!J21</f>
        <v>84.629481213718449</v>
      </c>
    </row>
    <row r="32" spans="1:12" x14ac:dyDescent="0.2">
      <c r="A32" s="10"/>
      <c r="B32" s="2" t="s">
        <v>197</v>
      </c>
      <c r="E32" s="2" t="s">
        <v>283</v>
      </c>
      <c r="F32" s="152" t="s">
        <v>313</v>
      </c>
      <c r="L32" s="52">
        <f>Netbeheer!J24</f>
        <v>29.958673758502535</v>
      </c>
    </row>
    <row r="33" spans="1:14" x14ac:dyDescent="0.2">
      <c r="A33" s="10"/>
    </row>
    <row r="34" spans="1:14" x14ac:dyDescent="0.2">
      <c r="A34" s="10"/>
      <c r="B34" s="1" t="s">
        <v>88</v>
      </c>
    </row>
    <row r="35" spans="1:14" x14ac:dyDescent="0.2">
      <c r="A35" s="10"/>
      <c r="B35" s="2" t="s">
        <v>162</v>
      </c>
      <c r="E35" s="2" t="s">
        <v>227</v>
      </c>
      <c r="F35" s="152" t="s">
        <v>315</v>
      </c>
      <c r="L35" s="132">
        <f>'Gegevens warmteregeling &amp; ACM'!I43</f>
        <v>1547.5</v>
      </c>
      <c r="M35" s="69"/>
    </row>
    <row r="36" spans="1:14" x14ac:dyDescent="0.2">
      <c r="A36" s="10"/>
      <c r="B36" s="2" t="s">
        <v>216</v>
      </c>
      <c r="E36" s="2" t="s">
        <v>227</v>
      </c>
      <c r="F36" s="167" t="s">
        <v>312</v>
      </c>
      <c r="L36" s="132">
        <f>'Gegevens warmteregeling &amp; ACM'!I44</f>
        <v>173.12</v>
      </c>
      <c r="M36" s="69"/>
    </row>
    <row r="37" spans="1:14" x14ac:dyDescent="0.2">
      <c r="A37" s="10"/>
      <c r="B37" s="2" t="s">
        <v>162</v>
      </c>
      <c r="E37" s="2" t="s">
        <v>227</v>
      </c>
      <c r="F37" s="152" t="s">
        <v>316</v>
      </c>
      <c r="H37" s="166"/>
      <c r="M37" s="69"/>
      <c r="N37" s="132">
        <f>'Gegevens warmteregeling &amp; ACM'!I56</f>
        <v>64667.588984673639</v>
      </c>
    </row>
    <row r="38" spans="1:14" x14ac:dyDescent="0.2">
      <c r="A38" s="10"/>
      <c r="B38" s="2" t="s">
        <v>213</v>
      </c>
      <c r="E38" s="2" t="s">
        <v>227</v>
      </c>
      <c r="F38" s="152" t="s">
        <v>316</v>
      </c>
      <c r="H38" s="166"/>
      <c r="M38" s="69"/>
      <c r="N38" s="56">
        <f>'Gegevens warmteregeling &amp; ACM'!I57</f>
        <v>0.03</v>
      </c>
    </row>
    <row r="39" spans="1:14" x14ac:dyDescent="0.2">
      <c r="A39" s="10"/>
      <c r="B39" s="2" t="s">
        <v>92</v>
      </c>
      <c r="E39" s="2" t="s">
        <v>91</v>
      </c>
      <c r="H39" s="68">
        <f>'Gegevens warmteregeling &amp; ACM'!I48</f>
        <v>15</v>
      </c>
      <c r="M39" s="69"/>
      <c r="N39" s="135"/>
    </row>
    <row r="40" spans="1:14" x14ac:dyDescent="0.2">
      <c r="A40" s="10"/>
      <c r="B40" s="2" t="s">
        <v>284</v>
      </c>
      <c r="E40" s="2" t="s">
        <v>113</v>
      </c>
      <c r="H40" s="132">
        <v>0.5</v>
      </c>
      <c r="M40" s="69"/>
      <c r="N40" s="135"/>
    </row>
    <row r="41" spans="1:14" x14ac:dyDescent="0.2">
      <c r="A41" s="10"/>
      <c r="L41" s="69"/>
      <c r="M41" s="69"/>
      <c r="N41" s="69"/>
    </row>
    <row r="42" spans="1:14" x14ac:dyDescent="0.2">
      <c r="A42" s="10"/>
      <c r="B42" s="1" t="s">
        <v>89</v>
      </c>
      <c r="L42" s="69"/>
      <c r="M42" s="69"/>
      <c r="N42" s="69"/>
    </row>
    <row r="43" spans="1:14" x14ac:dyDescent="0.2">
      <c r="A43" s="10"/>
      <c r="B43" s="2" t="s">
        <v>163</v>
      </c>
      <c r="E43" s="2" t="s">
        <v>227</v>
      </c>
      <c r="F43" s="152" t="s">
        <v>314</v>
      </c>
      <c r="L43" s="132">
        <f>'Gegevens warmteregeling &amp; ACM'!I45</f>
        <v>951.42609528891717</v>
      </c>
      <c r="M43" s="69"/>
    </row>
    <row r="44" spans="1:14" x14ac:dyDescent="0.2">
      <c r="A44" s="10"/>
      <c r="B44" s="2" t="s">
        <v>215</v>
      </c>
      <c r="E44" s="2" t="s">
        <v>227</v>
      </c>
      <c r="F44" s="152" t="s">
        <v>313</v>
      </c>
      <c r="L44" s="132">
        <f>'Gegevens warmteregeling &amp; ACM'!I46</f>
        <v>24.638620679616817</v>
      </c>
      <c r="M44" s="69"/>
    </row>
    <row r="45" spans="1:14" x14ac:dyDescent="0.2">
      <c r="A45" s="10"/>
      <c r="B45" s="2" t="s">
        <v>163</v>
      </c>
      <c r="E45" s="2" t="s">
        <v>227</v>
      </c>
      <c r="F45" s="152" t="s">
        <v>314</v>
      </c>
      <c r="L45" s="166"/>
      <c r="M45" s="69"/>
      <c r="N45" s="132">
        <f>'Gegevens warmteregeling &amp; ACM'!I58</f>
        <v>34634.163938980382</v>
      </c>
    </row>
    <row r="46" spans="1:14" x14ac:dyDescent="0.2">
      <c r="A46" s="10"/>
      <c r="B46" s="2" t="s">
        <v>215</v>
      </c>
      <c r="E46" s="2" t="s">
        <v>227</v>
      </c>
      <c r="F46" s="152" t="s">
        <v>316</v>
      </c>
      <c r="L46" s="166"/>
      <c r="M46" s="69"/>
      <c r="N46" s="56">
        <f>'Gegevens warmteregeling &amp; ACM'!I59</f>
        <v>0.02</v>
      </c>
    </row>
    <row r="47" spans="1:14" x14ac:dyDescent="0.2">
      <c r="A47" s="10"/>
      <c r="B47" s="2" t="s">
        <v>93</v>
      </c>
      <c r="E47" s="2" t="s">
        <v>91</v>
      </c>
      <c r="H47" s="68">
        <f>'Gegevens warmteregeling &amp; ACM'!I49</f>
        <v>15</v>
      </c>
      <c r="M47" s="69"/>
      <c r="N47" s="135"/>
    </row>
    <row r="48" spans="1:14" x14ac:dyDescent="0.2">
      <c r="A48" s="10"/>
      <c r="B48" s="2" t="s">
        <v>284</v>
      </c>
      <c r="E48" s="2" t="s">
        <v>113</v>
      </c>
      <c r="H48" s="132">
        <v>0.5</v>
      </c>
      <c r="M48" s="69"/>
      <c r="N48" s="135"/>
    </row>
    <row r="49" spans="1:14" x14ac:dyDescent="0.2">
      <c r="A49" s="10"/>
      <c r="L49" s="69"/>
      <c r="M49" s="69"/>
      <c r="N49" s="69"/>
    </row>
    <row r="50" spans="1:14" x14ac:dyDescent="0.2">
      <c r="A50" s="10"/>
      <c r="B50" s="54" t="s">
        <v>164</v>
      </c>
      <c r="E50" s="2" t="s">
        <v>227</v>
      </c>
      <c r="F50" s="152" t="s">
        <v>313</v>
      </c>
      <c r="L50" s="52">
        <f>'Gegevens warmteregeling &amp; ACM'!I52</f>
        <v>22.01</v>
      </c>
      <c r="N50" s="52">
        <f>'Gegevens warmteregeling &amp; ACM'!I52</f>
        <v>22.01</v>
      </c>
    </row>
    <row r="51" spans="1:14" x14ac:dyDescent="0.2">
      <c r="A51" s="10"/>
      <c r="B51" s="72" t="s">
        <v>183</v>
      </c>
      <c r="E51" s="2" t="s">
        <v>227</v>
      </c>
      <c r="F51" s="152" t="s">
        <v>316</v>
      </c>
      <c r="L51" s="69"/>
      <c r="M51" s="69"/>
      <c r="N51" s="52">
        <f>'Gegevens warmteregeling &amp; ACM'!I64</f>
        <v>3874</v>
      </c>
    </row>
    <row r="52" spans="1:14" x14ac:dyDescent="0.2">
      <c r="A52" s="10"/>
      <c r="B52" s="72"/>
      <c r="L52" s="69"/>
      <c r="M52" s="69"/>
      <c r="N52" s="79"/>
    </row>
    <row r="53" spans="1:14" x14ac:dyDescent="0.2">
      <c r="A53" s="10"/>
      <c r="B53" s="45" t="s">
        <v>173</v>
      </c>
      <c r="L53" s="69"/>
      <c r="M53" s="69"/>
      <c r="N53" s="79"/>
    </row>
    <row r="54" spans="1:14" x14ac:dyDescent="0.2">
      <c r="A54" s="10"/>
      <c r="B54" s="40" t="s">
        <v>117</v>
      </c>
      <c r="E54" s="2" t="s">
        <v>241</v>
      </c>
      <c r="F54" s="152" t="s">
        <v>316</v>
      </c>
      <c r="L54" s="132">
        <f>'Gegevens warmteregeling &amp; ACM'!I69</f>
        <v>245.27</v>
      </c>
      <c r="M54" s="69"/>
      <c r="N54" s="79"/>
    </row>
    <row r="55" spans="1:14" x14ac:dyDescent="0.2">
      <c r="A55" s="10"/>
      <c r="B55" s="40" t="s">
        <v>145</v>
      </c>
      <c r="E55" s="2" t="s">
        <v>241</v>
      </c>
      <c r="F55" s="152" t="s">
        <v>316</v>
      </c>
      <c r="L55" s="132">
        <f>'Gegevens warmteregeling &amp; ACM'!I70</f>
        <v>62.06</v>
      </c>
      <c r="M55" s="69"/>
      <c r="N55" s="79"/>
    </row>
    <row r="56" spans="1:14" x14ac:dyDescent="0.2">
      <c r="A56" s="10"/>
      <c r="B56" s="72"/>
      <c r="L56" s="69"/>
      <c r="M56" s="69"/>
      <c r="N56" s="79"/>
    </row>
    <row r="57" spans="1:14" x14ac:dyDescent="0.2">
      <c r="A57" s="10"/>
      <c r="B57" s="45" t="s">
        <v>174</v>
      </c>
      <c r="L57" s="69"/>
      <c r="M57" s="69"/>
      <c r="N57" s="79"/>
    </row>
    <row r="58" spans="1:14" x14ac:dyDescent="0.2">
      <c r="A58" s="10"/>
      <c r="B58" s="2" t="s">
        <v>185</v>
      </c>
      <c r="E58" s="2" t="s">
        <v>241</v>
      </c>
      <c r="F58" s="152" t="s">
        <v>316</v>
      </c>
      <c r="L58" s="52">
        <f>'Gegevens warmteregeling &amp; ACM'!I75</f>
        <v>222.5</v>
      </c>
      <c r="M58" s="69"/>
      <c r="N58" s="79"/>
    </row>
    <row r="59" spans="1:14" x14ac:dyDescent="0.2">
      <c r="A59" s="10"/>
      <c r="B59" s="2" t="s">
        <v>184</v>
      </c>
      <c r="E59" s="2" t="s">
        <v>241</v>
      </c>
      <c r="F59" s="152" t="s">
        <v>316</v>
      </c>
      <c r="L59" s="52">
        <f>'Gegevens warmteregeling &amp; ACM'!I76</f>
        <v>54.11</v>
      </c>
    </row>
    <row r="61" spans="1:14" s="9" customFormat="1" x14ac:dyDescent="0.25">
      <c r="B61" s="9" t="s">
        <v>87</v>
      </c>
      <c r="F61" s="162"/>
    </row>
    <row r="63" spans="1:14" x14ac:dyDescent="0.2">
      <c r="B63" s="1" t="s">
        <v>199</v>
      </c>
    </row>
    <row r="64" spans="1:14" x14ac:dyDescent="0.2">
      <c r="A64" s="10"/>
      <c r="B64" s="2" t="s">
        <v>195</v>
      </c>
      <c r="E64" s="2" t="s">
        <v>322</v>
      </c>
      <c r="F64" s="152" t="s">
        <v>313</v>
      </c>
      <c r="L64" s="51">
        <f>L27</f>
        <v>51.922740307499595</v>
      </c>
    </row>
    <row r="65" spans="1:14" x14ac:dyDescent="0.2">
      <c r="A65" s="10"/>
    </row>
    <row r="66" spans="1:14" x14ac:dyDescent="0.2">
      <c r="A66" s="10"/>
      <c r="B66" s="1" t="s">
        <v>200</v>
      </c>
    </row>
    <row r="67" spans="1:14" x14ac:dyDescent="0.2">
      <c r="A67" s="10"/>
      <c r="B67" s="2" t="s">
        <v>201</v>
      </c>
      <c r="E67" s="2" t="s">
        <v>322</v>
      </c>
      <c r="F67" s="152" t="s">
        <v>313</v>
      </c>
      <c r="L67" s="51">
        <f>L30</f>
        <v>18.002510883206796</v>
      </c>
    </row>
    <row r="68" spans="1:14" x14ac:dyDescent="0.2">
      <c r="A68" s="10"/>
      <c r="B68" s="2" t="s">
        <v>198</v>
      </c>
      <c r="E68" s="2" t="s">
        <v>322</v>
      </c>
      <c r="F68" s="152" t="s">
        <v>313</v>
      </c>
      <c r="L68" s="51">
        <f>L31</f>
        <v>84.629481213718449</v>
      </c>
    </row>
    <row r="69" spans="1:14" x14ac:dyDescent="0.2">
      <c r="A69" s="10"/>
      <c r="B69" s="2" t="s">
        <v>197</v>
      </c>
      <c r="E69" s="2" t="s">
        <v>322</v>
      </c>
      <c r="F69" s="152" t="s">
        <v>313</v>
      </c>
      <c r="K69" s="49"/>
      <c r="L69" s="51">
        <f>L32</f>
        <v>29.958673758502535</v>
      </c>
      <c r="M69" s="49"/>
      <c r="N69" s="10"/>
    </row>
    <row r="70" spans="1:14" x14ac:dyDescent="0.2">
      <c r="A70" s="10"/>
      <c r="B70" s="61" t="s">
        <v>175</v>
      </c>
      <c r="E70" s="2" t="s">
        <v>322</v>
      </c>
      <c r="F70" s="152" t="s">
        <v>313</v>
      </c>
      <c r="K70" s="49"/>
      <c r="L70" s="50">
        <f>SUM(L64:L69)</f>
        <v>184.51340616292737</v>
      </c>
      <c r="M70" s="49"/>
      <c r="N70" s="73"/>
    </row>
    <row r="71" spans="1:14" x14ac:dyDescent="0.2">
      <c r="A71" s="10"/>
      <c r="B71" s="61"/>
      <c r="K71" s="49"/>
      <c r="L71" s="140"/>
      <c r="M71" s="49"/>
      <c r="N71" s="73"/>
    </row>
    <row r="72" spans="1:14" x14ac:dyDescent="0.2">
      <c r="A72" s="10"/>
      <c r="B72" s="139" t="s">
        <v>285</v>
      </c>
      <c r="K72" s="49"/>
      <c r="L72" s="140"/>
      <c r="M72" s="49"/>
      <c r="N72" s="73"/>
    </row>
    <row r="73" spans="1:14" x14ac:dyDescent="0.2">
      <c r="A73" s="10"/>
      <c r="B73" s="61" t="s">
        <v>175</v>
      </c>
      <c r="E73" s="2" t="s">
        <v>322</v>
      </c>
      <c r="F73" s="152" t="s">
        <v>313</v>
      </c>
      <c r="K73" s="49"/>
      <c r="L73" s="50">
        <f>L70*H24</f>
        <v>92.256703081463684</v>
      </c>
      <c r="M73" s="49"/>
      <c r="N73" s="73"/>
    </row>
    <row r="75" spans="1:14" s="9" customFormat="1" x14ac:dyDescent="0.25">
      <c r="B75" s="9" t="s">
        <v>98</v>
      </c>
      <c r="F75" s="162"/>
    </row>
    <row r="77" spans="1:14" x14ac:dyDescent="0.2">
      <c r="B77" s="1" t="s">
        <v>135</v>
      </c>
      <c r="L77" s="1"/>
    </row>
    <row r="78" spans="1:14" x14ac:dyDescent="0.2">
      <c r="B78" s="40" t="s">
        <v>162</v>
      </c>
      <c r="E78" s="2" t="s">
        <v>227</v>
      </c>
      <c r="F78" s="152" t="s">
        <v>315</v>
      </c>
      <c r="L78" s="52">
        <f>L35</f>
        <v>1547.5</v>
      </c>
      <c r="N78" s="52">
        <f>N37</f>
        <v>64667.588984673639</v>
      </c>
    </row>
    <row r="79" spans="1:14" x14ac:dyDescent="0.2">
      <c r="A79" s="10"/>
      <c r="B79" s="2" t="s">
        <v>128</v>
      </c>
      <c r="E79" s="2" t="s">
        <v>227</v>
      </c>
      <c r="F79" s="152" t="s">
        <v>315</v>
      </c>
      <c r="L79" s="51">
        <f>L35/H39</f>
        <v>103.16666666666667</v>
      </c>
      <c r="N79" s="51">
        <f>N37/H39</f>
        <v>4311.1725989782426</v>
      </c>
    </row>
    <row r="80" spans="1:14" x14ac:dyDescent="0.2">
      <c r="A80" s="10"/>
      <c r="B80" s="2" t="s">
        <v>129</v>
      </c>
      <c r="E80" s="2" t="s">
        <v>227</v>
      </c>
      <c r="F80" s="152" t="s">
        <v>315</v>
      </c>
      <c r="L80" s="51">
        <f>L78*H40</f>
        <v>773.75</v>
      </c>
      <c r="N80" s="51">
        <f>N78*H40</f>
        <v>32333.79449233682</v>
      </c>
    </row>
    <row r="81" spans="1:14" x14ac:dyDescent="0.2">
      <c r="A81" s="10"/>
      <c r="B81" s="40" t="s">
        <v>214</v>
      </c>
      <c r="E81" s="2" t="s">
        <v>227</v>
      </c>
      <c r="F81" s="152" t="s">
        <v>315</v>
      </c>
      <c r="L81" s="51">
        <f>L80*H20</f>
        <v>29.325125000000003</v>
      </c>
      <c r="N81" s="51">
        <f>H20*N80</f>
        <v>1225.4508112595656</v>
      </c>
    </row>
    <row r="82" spans="1:14" x14ac:dyDescent="0.2">
      <c r="A82" s="10"/>
      <c r="B82" s="40" t="s">
        <v>134</v>
      </c>
      <c r="E82" s="2" t="s">
        <v>227</v>
      </c>
      <c r="F82" s="152" t="s">
        <v>315</v>
      </c>
      <c r="L82" s="51">
        <f>L79+L81</f>
        <v>132.49179166666667</v>
      </c>
      <c r="N82" s="51">
        <f>N79+N81</f>
        <v>5536.6234102378085</v>
      </c>
    </row>
    <row r="83" spans="1:14" x14ac:dyDescent="0.2">
      <c r="A83" s="71"/>
      <c r="B83" s="2" t="s">
        <v>216</v>
      </c>
      <c r="E83" s="2" t="s">
        <v>227</v>
      </c>
      <c r="F83" s="152" t="s">
        <v>313</v>
      </c>
      <c r="L83" s="52">
        <f>L36*(1+H21)</f>
        <v>177.96736000000001</v>
      </c>
      <c r="N83" s="94">
        <f>N37*N38*H22</f>
        <v>2064.736978280012</v>
      </c>
    </row>
    <row r="84" spans="1:14" x14ac:dyDescent="0.2">
      <c r="A84" s="71"/>
      <c r="L84" s="72"/>
      <c r="N84" s="72"/>
    </row>
    <row r="85" spans="1:14" x14ac:dyDescent="0.2">
      <c r="A85" s="71"/>
      <c r="B85" s="1" t="s">
        <v>137</v>
      </c>
      <c r="L85" s="72"/>
      <c r="N85" s="72"/>
    </row>
    <row r="86" spans="1:14" x14ac:dyDescent="0.2">
      <c r="A86" s="71"/>
      <c r="B86" s="72" t="s">
        <v>183</v>
      </c>
      <c r="E86" s="2" t="s">
        <v>227</v>
      </c>
      <c r="F86" s="152" t="s">
        <v>313</v>
      </c>
      <c r="L86" s="72"/>
      <c r="N86" s="51">
        <f>N51*H22</f>
        <v>4123.0293667679998</v>
      </c>
    </row>
    <row r="88" spans="1:14" s="9" customFormat="1" x14ac:dyDescent="0.25">
      <c r="B88" s="9" t="s">
        <v>99</v>
      </c>
      <c r="F88" s="162"/>
    </row>
    <row r="90" spans="1:14" x14ac:dyDescent="0.2">
      <c r="A90" s="10"/>
      <c r="B90" s="1" t="s">
        <v>136</v>
      </c>
      <c r="L90" s="1"/>
    </row>
    <row r="91" spans="1:14" x14ac:dyDescent="0.2">
      <c r="A91" s="10"/>
      <c r="B91" s="2" t="s">
        <v>163</v>
      </c>
      <c r="E91" s="2" t="s">
        <v>227</v>
      </c>
      <c r="F91" s="152" t="s">
        <v>314</v>
      </c>
      <c r="L91" s="52">
        <f>L43</f>
        <v>951.42609528891717</v>
      </c>
      <c r="N91" s="52">
        <f>N45</f>
        <v>34634.163938980382</v>
      </c>
    </row>
    <row r="92" spans="1:14" x14ac:dyDescent="0.2">
      <c r="A92" s="10"/>
      <c r="B92" s="2" t="s">
        <v>128</v>
      </c>
      <c r="E92" s="2" t="s">
        <v>227</v>
      </c>
      <c r="F92" s="152" t="s">
        <v>314</v>
      </c>
      <c r="L92" s="51">
        <f>L91/H47</f>
        <v>63.428406352594479</v>
      </c>
      <c r="N92" s="51">
        <f>N91/H47</f>
        <v>2308.9442625986921</v>
      </c>
    </row>
    <row r="93" spans="1:14" x14ac:dyDescent="0.2">
      <c r="A93" s="10"/>
      <c r="B93" s="2" t="s">
        <v>132</v>
      </c>
      <c r="E93" s="2" t="s">
        <v>227</v>
      </c>
      <c r="F93" s="152" t="s">
        <v>314</v>
      </c>
      <c r="L93" s="51">
        <f>L91*H48</f>
        <v>475.71304764445858</v>
      </c>
      <c r="N93" s="51">
        <f>N91*H48</f>
        <v>17317.081969490191</v>
      </c>
    </row>
    <row r="94" spans="1:14" x14ac:dyDescent="0.2">
      <c r="A94" s="10"/>
      <c r="B94" s="40" t="s">
        <v>214</v>
      </c>
      <c r="E94" s="2" t="s">
        <v>227</v>
      </c>
      <c r="F94" s="152" t="s">
        <v>314</v>
      </c>
      <c r="L94" s="51">
        <f>L93*H20</f>
        <v>18.029524505724982</v>
      </c>
      <c r="N94" s="51">
        <f>H20*N93</f>
        <v>656.31740664367828</v>
      </c>
    </row>
    <row r="95" spans="1:14" x14ac:dyDescent="0.2">
      <c r="A95" s="10"/>
      <c r="B95" s="40" t="s">
        <v>133</v>
      </c>
      <c r="E95" s="2" t="s">
        <v>227</v>
      </c>
      <c r="F95" s="152" t="s">
        <v>314</v>
      </c>
      <c r="L95" s="51">
        <f>L92+L94</f>
        <v>81.457930858319457</v>
      </c>
      <c r="N95" s="51">
        <f>N92+N94</f>
        <v>2965.2616692423703</v>
      </c>
    </row>
    <row r="96" spans="1:14" x14ac:dyDescent="0.2">
      <c r="A96" s="71"/>
      <c r="B96" s="2" t="s">
        <v>215</v>
      </c>
      <c r="E96" s="2" t="s">
        <v>227</v>
      </c>
      <c r="F96" s="152" t="s">
        <v>313</v>
      </c>
      <c r="L96" s="52">
        <f>L44</f>
        <v>24.638620679616817</v>
      </c>
      <c r="N96" s="94">
        <f>N45*N46*H22</f>
        <v>737.21050600863919</v>
      </c>
    </row>
    <row r="98" spans="1:18" s="9" customFormat="1" x14ac:dyDescent="0.25">
      <c r="B98" s="9" t="s">
        <v>100</v>
      </c>
      <c r="F98" s="162"/>
    </row>
    <row r="100" spans="1:18" x14ac:dyDescent="0.2">
      <c r="B100" s="1" t="s">
        <v>119</v>
      </c>
    </row>
    <row r="101" spans="1:18" x14ac:dyDescent="0.2">
      <c r="A101" s="10"/>
      <c r="B101" s="40" t="s">
        <v>130</v>
      </c>
      <c r="E101" s="2" t="s">
        <v>322</v>
      </c>
      <c r="L101" s="178">
        <f>(L50+L82+L83)</f>
        <v>332.46915166666668</v>
      </c>
      <c r="N101" s="70">
        <f>(N82+N83)</f>
        <v>7601.36038851782</v>
      </c>
    </row>
    <row r="102" spans="1:18" x14ac:dyDescent="0.2">
      <c r="A102" s="10"/>
      <c r="B102" s="40" t="s">
        <v>131</v>
      </c>
      <c r="E102" s="2" t="s">
        <v>322</v>
      </c>
      <c r="L102" s="70">
        <f>(L50+L95+L96)</f>
        <v>128.10655153793627</v>
      </c>
      <c r="N102" s="70">
        <f>(N50+N95+N96)</f>
        <v>3724.4821752510097</v>
      </c>
    </row>
    <row r="103" spans="1:18" x14ac:dyDescent="0.2">
      <c r="A103" s="10"/>
      <c r="B103" s="40" t="s">
        <v>101</v>
      </c>
      <c r="E103" s="2" t="s">
        <v>322</v>
      </c>
      <c r="L103" s="50">
        <f>L101-L102</f>
        <v>204.36260012873041</v>
      </c>
      <c r="N103" s="50">
        <f>N101-N102</f>
        <v>3876.8782132668102</v>
      </c>
      <c r="R103" s="2" t="s">
        <v>278</v>
      </c>
    </row>
    <row r="104" spans="1:18" x14ac:dyDescent="0.2">
      <c r="A104" s="10"/>
      <c r="B104" s="40" t="s">
        <v>176</v>
      </c>
      <c r="E104" s="2" t="s">
        <v>322</v>
      </c>
      <c r="L104" s="50">
        <f>L103*H24</f>
        <v>102.1813000643652</v>
      </c>
      <c r="N104" s="50">
        <f>N103*H24</f>
        <v>1938.4391066334051</v>
      </c>
    </row>
    <row r="106" spans="1:18" s="9" customFormat="1" x14ac:dyDescent="0.25">
      <c r="B106" s="9" t="s">
        <v>116</v>
      </c>
      <c r="F106" s="162"/>
    </row>
    <row r="108" spans="1:18" x14ac:dyDescent="0.2">
      <c r="B108" s="45" t="s">
        <v>173</v>
      </c>
    </row>
    <row r="109" spans="1:18" x14ac:dyDescent="0.2">
      <c r="A109" s="10"/>
      <c r="B109" s="40" t="s">
        <v>117</v>
      </c>
      <c r="E109" s="2" t="s">
        <v>322</v>
      </c>
      <c r="F109" s="152" t="s">
        <v>313</v>
      </c>
      <c r="L109" s="70">
        <f>(L54*$H$22)/(1+H23)</f>
        <v>215.73264714267773</v>
      </c>
    </row>
    <row r="110" spans="1:18" x14ac:dyDescent="0.2">
      <c r="A110" s="10"/>
      <c r="B110" s="40" t="s">
        <v>145</v>
      </c>
      <c r="E110" s="2" t="s">
        <v>323</v>
      </c>
      <c r="F110" s="152" t="s">
        <v>313</v>
      </c>
      <c r="L110" s="70">
        <f>(L55*$H$22)/(1+H23)</f>
        <v>54.586244064396702</v>
      </c>
    </row>
    <row r="112" spans="1:18" s="77" customFormat="1" x14ac:dyDescent="0.25">
      <c r="B112" s="77" t="s">
        <v>220</v>
      </c>
      <c r="F112" s="163"/>
    </row>
    <row r="113" spans="1:13" s="76" customFormat="1" x14ac:dyDescent="0.25">
      <c r="F113" s="164"/>
    </row>
    <row r="114" spans="1:13" x14ac:dyDescent="0.2">
      <c r="B114" s="45" t="s">
        <v>174</v>
      </c>
    </row>
    <row r="115" spans="1:13" x14ac:dyDescent="0.2">
      <c r="A115" s="10"/>
      <c r="B115" s="2" t="s">
        <v>185</v>
      </c>
      <c r="E115" s="2" t="s">
        <v>322</v>
      </c>
      <c r="F115" s="152" t="s">
        <v>313</v>
      </c>
      <c r="L115" s="70">
        <f>(L58*H22)/(1+H23)</f>
        <v>195.70479059504135</v>
      </c>
    </row>
    <row r="116" spans="1:13" x14ac:dyDescent="0.2">
      <c r="A116" s="10"/>
      <c r="B116" s="2" t="s">
        <v>184</v>
      </c>
      <c r="E116" s="2" t="s">
        <v>323</v>
      </c>
      <c r="F116" s="152" t="s">
        <v>313</v>
      </c>
      <c r="L116" s="70">
        <f>(L59*H22)/(1+H23)</f>
        <v>47.593645928528929</v>
      </c>
      <c r="M116" s="71"/>
    </row>
  </sheetData>
  <pageMargins left="0.7" right="0.7" top="0.75" bottom="0.75" header="0.3" footer="0.3"/>
  <pageSetup paperSize="9" scale="3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pageSetUpPr fitToPage="1"/>
  </sheetPr>
  <dimension ref="A2:N37"/>
  <sheetViews>
    <sheetView showGridLines="0" zoomScaleNormal="100" workbookViewId="0">
      <pane xSplit="6" ySplit="11" topLeftCell="G12" activePane="bottomRight" state="frozen"/>
      <selection activeCell="N66" activeCellId="1" sqref="F55 N66"/>
      <selection pane="topRight" activeCell="N66" activeCellId="1" sqref="F55 N66"/>
      <selection pane="bottomLeft" activeCell="N66" activeCellId="1" sqref="F55 N66"/>
      <selection pane="bottomRight"/>
    </sheetView>
  </sheetViews>
  <sheetFormatPr defaultRowHeight="12.75" x14ac:dyDescent="0.2"/>
  <cols>
    <col min="1" max="1" width="4.5703125" style="2" customWidth="1"/>
    <col min="2" max="2" width="41.42578125" style="2" customWidth="1"/>
    <col min="3" max="4" width="4.5703125" style="2" customWidth="1"/>
    <col min="5" max="5" width="21.140625" style="2" bestFit="1" customWidth="1"/>
    <col min="6" max="6" width="9.140625" style="152"/>
    <col min="7" max="7" width="2.7109375" style="2" customWidth="1"/>
    <col min="8" max="8" width="13.7109375" style="2" customWidth="1"/>
    <col min="9" max="9" width="2.7109375" style="2" customWidth="1"/>
    <col min="10" max="10" width="13.7109375" style="2" customWidth="1"/>
    <col min="11" max="13" width="2.7109375" style="2" customWidth="1"/>
    <col min="14" max="28" width="13.7109375" style="2" customWidth="1"/>
    <col min="29" max="16384" width="9.140625" style="2"/>
  </cols>
  <sheetData>
    <row r="2" spans="1:14" s="33" customFormat="1" ht="18" x14ac:dyDescent="0.25">
      <c r="B2" s="33" t="s">
        <v>193</v>
      </c>
      <c r="F2" s="165"/>
    </row>
    <row r="4" spans="1:14" x14ac:dyDescent="0.2">
      <c r="B4" s="1" t="s">
        <v>63</v>
      </c>
      <c r="C4" s="1"/>
      <c r="D4" s="1"/>
    </row>
    <row r="5" spans="1:14" x14ac:dyDescent="0.2">
      <c r="B5" s="40" t="s">
        <v>151</v>
      </c>
      <c r="C5" s="3"/>
      <c r="D5" s="3"/>
      <c r="H5" s="34"/>
    </row>
    <row r="6" spans="1:14" x14ac:dyDescent="0.2">
      <c r="B6" s="40"/>
      <c r="C6" s="3"/>
      <c r="D6" s="3"/>
      <c r="H6" s="34"/>
    </row>
    <row r="7" spans="1:14" x14ac:dyDescent="0.2">
      <c r="B7" s="5" t="s">
        <v>33</v>
      </c>
      <c r="C7" s="3"/>
      <c r="D7" s="3"/>
      <c r="H7" s="34"/>
    </row>
    <row r="8" spans="1:14" x14ac:dyDescent="0.2">
      <c r="B8" s="5"/>
      <c r="C8" s="3"/>
      <c r="D8" s="3"/>
    </row>
    <row r="10" spans="1:14" s="9" customFormat="1" x14ac:dyDescent="0.25">
      <c r="B10" s="9" t="s">
        <v>49</v>
      </c>
      <c r="E10" s="9" t="s">
        <v>30</v>
      </c>
      <c r="F10" s="162"/>
      <c r="H10" s="9" t="s">
        <v>31</v>
      </c>
      <c r="J10" s="9" t="s">
        <v>171</v>
      </c>
      <c r="N10" s="9" t="s">
        <v>51</v>
      </c>
    </row>
    <row r="13" spans="1:14" s="9" customFormat="1" x14ac:dyDescent="0.25">
      <c r="B13" s="9" t="s">
        <v>52</v>
      </c>
      <c r="F13" s="162"/>
    </row>
    <row r="15" spans="1:14" x14ac:dyDescent="0.2">
      <c r="B15" s="1" t="s">
        <v>71</v>
      </c>
    </row>
    <row r="16" spans="1:14" x14ac:dyDescent="0.2">
      <c r="A16" s="10"/>
      <c r="B16" s="2" t="s">
        <v>317</v>
      </c>
      <c r="E16" s="2" t="s">
        <v>304</v>
      </c>
      <c r="F16" s="152" t="s">
        <v>313</v>
      </c>
      <c r="J16" s="58">
        <f>'Gegevens warmteregeling &amp; ACM'!I19</f>
        <v>0.33312999999999998</v>
      </c>
    </row>
    <row r="17" spans="1:10" x14ac:dyDescent="0.2">
      <c r="A17" s="10"/>
      <c r="B17" s="2" t="s">
        <v>318</v>
      </c>
      <c r="E17" s="2" t="s">
        <v>304</v>
      </c>
      <c r="F17" s="152" t="s">
        <v>313</v>
      </c>
      <c r="J17" s="58">
        <f>'Gegevens warmteregeling &amp; ACM'!I20</f>
        <v>7.7499999999999999E-2</v>
      </c>
    </row>
    <row r="18" spans="1:10" x14ac:dyDescent="0.2">
      <c r="A18" s="10"/>
    </row>
    <row r="19" spans="1:10" x14ac:dyDescent="0.2">
      <c r="A19" s="10"/>
      <c r="B19" s="2" t="s">
        <v>319</v>
      </c>
      <c r="E19" s="2" t="s">
        <v>304</v>
      </c>
      <c r="F19" s="152" t="s">
        <v>313</v>
      </c>
      <c r="J19" s="58">
        <f>Gasleveranciers!J26</f>
        <v>0.24867897989431262</v>
      </c>
    </row>
    <row r="20" spans="1:10" x14ac:dyDescent="0.2">
      <c r="A20" s="10"/>
    </row>
    <row r="21" spans="1:10" x14ac:dyDescent="0.2">
      <c r="A21" s="10"/>
      <c r="B21" s="2" t="s">
        <v>103</v>
      </c>
      <c r="E21" s="2" t="s">
        <v>113</v>
      </c>
      <c r="J21" s="52">
        <f>'Gegevens warmteregeling &amp; ACM'!I34</f>
        <v>0.79</v>
      </c>
    </row>
    <row r="22" spans="1:10" x14ac:dyDescent="0.2">
      <c r="A22" s="10"/>
      <c r="B22" s="2" t="s">
        <v>77</v>
      </c>
      <c r="E22" s="2" t="s">
        <v>113</v>
      </c>
      <c r="J22" s="52">
        <f>'Gegevens warmteregeling &amp; ACM'!I35</f>
        <v>0.21</v>
      </c>
    </row>
    <row r="23" spans="1:10" x14ac:dyDescent="0.2">
      <c r="A23" s="10"/>
      <c r="B23" s="2" t="s">
        <v>78</v>
      </c>
      <c r="E23" s="2" t="s">
        <v>113</v>
      </c>
      <c r="J23" s="52">
        <f>'Gegevens warmteregeling &amp; ACM'!I36</f>
        <v>0.94</v>
      </c>
    </row>
    <row r="24" spans="1:10" x14ac:dyDescent="0.2">
      <c r="A24" s="10"/>
      <c r="B24" s="2" t="s">
        <v>79</v>
      </c>
      <c r="E24" s="2" t="s">
        <v>113</v>
      </c>
      <c r="J24" s="52">
        <f>'Gegevens warmteregeling &amp; ACM'!I37</f>
        <v>0.68</v>
      </c>
    </row>
    <row r="25" spans="1:10" x14ac:dyDescent="0.2">
      <c r="A25" s="10"/>
    </row>
    <row r="26" spans="1:10" x14ac:dyDescent="0.2">
      <c r="A26" s="10"/>
      <c r="B26" s="2" t="s">
        <v>85</v>
      </c>
      <c r="E26" s="2" t="s">
        <v>113</v>
      </c>
      <c r="J26" s="129">
        <f>'Gegevens warmteregeling &amp; ACM'!I30</f>
        <v>3.517E-2</v>
      </c>
    </row>
    <row r="28" spans="1:10" s="9" customFormat="1" x14ac:dyDescent="0.25">
      <c r="B28" s="9" t="s">
        <v>167</v>
      </c>
      <c r="F28" s="162"/>
    </row>
    <row r="30" spans="1:10" x14ac:dyDescent="0.2">
      <c r="B30" s="1" t="s">
        <v>102</v>
      </c>
    </row>
    <row r="31" spans="1:10" x14ac:dyDescent="0.2">
      <c r="A31" s="10"/>
      <c r="B31" s="2" t="s">
        <v>212</v>
      </c>
      <c r="E31" s="2" t="s">
        <v>304</v>
      </c>
      <c r="F31" s="152" t="s">
        <v>313</v>
      </c>
      <c r="J31" s="51">
        <f>J19+J16+J17</f>
        <v>0.65930897989431259</v>
      </c>
    </row>
    <row r="32" spans="1:10" x14ac:dyDescent="0.2">
      <c r="A32" s="10"/>
    </row>
    <row r="33" spans="1:10" x14ac:dyDescent="0.2">
      <c r="A33" s="10"/>
      <c r="B33" s="2" t="s">
        <v>165</v>
      </c>
      <c r="J33" s="59">
        <f>(J21/J23)+(J22/J24)</f>
        <v>1.1492490613266584</v>
      </c>
    </row>
    <row r="34" spans="1:10" x14ac:dyDescent="0.2">
      <c r="A34" s="10"/>
      <c r="B34" s="40" t="s">
        <v>166</v>
      </c>
      <c r="J34" s="51">
        <f>1/J33</f>
        <v>0.87013340593520283</v>
      </c>
    </row>
    <row r="35" spans="1:10" x14ac:dyDescent="0.2">
      <c r="A35" s="10"/>
    </row>
    <row r="36" spans="1:10" x14ac:dyDescent="0.2">
      <c r="A36" s="10"/>
      <c r="B36" s="1" t="s">
        <v>168</v>
      </c>
    </row>
    <row r="37" spans="1:10" x14ac:dyDescent="0.2">
      <c r="A37" s="10"/>
      <c r="B37" s="2" t="s">
        <v>303</v>
      </c>
      <c r="E37" s="2" t="s">
        <v>301</v>
      </c>
      <c r="F37" s="152" t="s">
        <v>313</v>
      </c>
      <c r="J37" s="51">
        <f>J31/(J34*J26)</f>
        <v>21.544220252140331</v>
      </c>
    </row>
  </sheetData>
  <pageMargins left="0.7" right="0.7" top="0.75" bottom="0.75" header="0.3" footer="0.3"/>
  <pageSetup paperSize="9" scale="6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42F3-758F-4AFB-BD8B-B87AC37F9AB1}">
  <sheetPr>
    <tabColor theme="0" tint="-4.9989318521683403E-2"/>
  </sheetPr>
  <dimension ref="A1"/>
  <sheetViews>
    <sheetView showGridLines="0" zoomScaleNormal="100" workbookViewId="0"/>
  </sheetViews>
  <sheetFormatPr defaultRowHeight="12.75" x14ac:dyDescent="0.25"/>
  <cols>
    <col min="1" max="16384" width="9.140625" style="38"/>
  </cols>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04C7-B508-44D5-A056-9D5A92FAA7E6}">
  <sheetPr>
    <tabColor rgb="FFCCFFFF"/>
  </sheetPr>
  <dimension ref="B2:O64"/>
  <sheetViews>
    <sheetView showGridLines="0" zoomScale="80" zoomScaleNormal="80" workbookViewId="0"/>
  </sheetViews>
  <sheetFormatPr defaultRowHeight="12.75" x14ac:dyDescent="0.25"/>
  <cols>
    <col min="1" max="1" width="4.7109375" style="2" customWidth="1"/>
    <col min="2" max="2" width="9.28515625" style="2" customWidth="1"/>
    <col min="3" max="5" width="10.5703125" style="2" customWidth="1"/>
    <col min="6" max="6" width="16.28515625" style="2" bestFit="1" customWidth="1"/>
    <col min="7" max="7" width="19.42578125" style="2" customWidth="1"/>
    <col min="8" max="8" width="10.5703125" style="2" customWidth="1"/>
    <col min="9" max="9" width="11.28515625" style="2" customWidth="1"/>
    <col min="10" max="10" width="13.7109375" style="2" customWidth="1"/>
    <col min="11" max="11" width="13.7109375" style="2" bestFit="1" customWidth="1"/>
    <col min="12" max="12" width="10.42578125" style="2" customWidth="1"/>
    <col min="13" max="17" width="10.5703125" style="2" customWidth="1"/>
    <col min="18" max="31" width="13.7109375" style="2" customWidth="1"/>
    <col min="32" max="16384" width="9.140625" style="2"/>
  </cols>
  <sheetData>
    <row r="2" spans="2:12" s="33" customFormat="1" ht="18" x14ac:dyDescent="0.25">
      <c r="B2" s="33" t="s">
        <v>416</v>
      </c>
    </row>
    <row r="4" spans="2:12" x14ac:dyDescent="0.25">
      <c r="B4" s="45" t="s">
        <v>63</v>
      </c>
      <c r="C4" s="1"/>
      <c r="D4" s="1"/>
    </row>
    <row r="5" spans="2:12" x14ac:dyDescent="0.25">
      <c r="B5" s="2" t="s">
        <v>415</v>
      </c>
      <c r="H5" s="34"/>
    </row>
    <row r="6" spans="2:12" x14ac:dyDescent="0.25">
      <c r="B6" s="2" t="s">
        <v>417</v>
      </c>
    </row>
    <row r="9" spans="2:12" s="186" customFormat="1" x14ac:dyDescent="0.25">
      <c r="B9" s="186" t="s">
        <v>373</v>
      </c>
      <c r="G9" s="186" t="s">
        <v>30</v>
      </c>
      <c r="H9" s="186" t="s">
        <v>31</v>
      </c>
      <c r="L9" s="186" t="s">
        <v>50</v>
      </c>
    </row>
    <row r="10" spans="2:12" s="188" customFormat="1" x14ac:dyDescent="0.2">
      <c r="B10" s="187"/>
      <c r="C10" s="187"/>
      <c r="D10" s="187"/>
      <c r="E10" s="187"/>
      <c r="F10" s="187"/>
      <c r="G10" s="187"/>
      <c r="H10" s="187"/>
      <c r="I10" s="187"/>
      <c r="J10" s="187"/>
    </row>
    <row r="11" spans="2:12" s="188" customFormat="1" x14ac:dyDescent="0.2">
      <c r="B11" s="189" t="s">
        <v>374</v>
      </c>
      <c r="C11" s="187" t="s">
        <v>31</v>
      </c>
      <c r="D11" s="187"/>
      <c r="E11" s="187"/>
      <c r="F11" s="187"/>
      <c r="H11" s="190">
        <v>8.6150000000000002</v>
      </c>
      <c r="J11" s="187"/>
      <c r="L11" s="187" t="s">
        <v>293</v>
      </c>
    </row>
    <row r="12" spans="2:12" s="188" customFormat="1" x14ac:dyDescent="0.2">
      <c r="B12" s="189" t="s">
        <v>375</v>
      </c>
      <c r="C12" s="187" t="s">
        <v>376</v>
      </c>
      <c r="D12" s="187"/>
      <c r="E12" s="187"/>
      <c r="F12" s="187"/>
      <c r="H12" s="190">
        <v>0.26600000000000001</v>
      </c>
      <c r="I12" s="187"/>
      <c r="J12" s="187"/>
      <c r="L12" s="187" t="s">
        <v>293</v>
      </c>
    </row>
    <row r="13" spans="2:12" s="188" customFormat="1" x14ac:dyDescent="0.2">
      <c r="B13" s="189" t="s">
        <v>377</v>
      </c>
      <c r="C13" s="187" t="s">
        <v>378</v>
      </c>
      <c r="D13" s="187"/>
      <c r="E13" s="187"/>
      <c r="F13" s="187"/>
      <c r="G13" s="187" t="s">
        <v>81</v>
      </c>
      <c r="H13" s="191">
        <v>3.7900000000000003E-2</v>
      </c>
      <c r="I13" s="187"/>
      <c r="J13" s="187"/>
      <c r="L13" s="187" t="s">
        <v>371</v>
      </c>
    </row>
    <row r="14" spans="2:12" s="78" customFormat="1" x14ac:dyDescent="0.2">
      <c r="B14" s="189" t="s">
        <v>379</v>
      </c>
      <c r="C14" s="187" t="s">
        <v>380</v>
      </c>
      <c r="D14" s="187"/>
      <c r="E14" s="187"/>
      <c r="F14" s="187"/>
      <c r="G14" s="187" t="s">
        <v>91</v>
      </c>
      <c r="H14" s="192">
        <v>15</v>
      </c>
      <c r="J14" s="187"/>
    </row>
    <row r="15" spans="2:12" s="78" customFormat="1" x14ac:dyDescent="0.2">
      <c r="B15" s="189"/>
      <c r="C15" s="187" t="s">
        <v>381</v>
      </c>
      <c r="D15" s="187"/>
      <c r="E15" s="187"/>
      <c r="F15" s="187"/>
      <c r="G15" s="187" t="s">
        <v>81</v>
      </c>
      <c r="H15" s="193">
        <v>0.02</v>
      </c>
      <c r="J15" s="187"/>
      <c r="L15" s="78" t="s">
        <v>382</v>
      </c>
    </row>
    <row r="16" spans="2:12" s="78" customFormat="1" x14ac:dyDescent="0.2">
      <c r="B16" s="188"/>
      <c r="C16" s="194"/>
      <c r="D16" s="194"/>
      <c r="E16" s="194"/>
    </row>
    <row r="17" spans="2:15" s="78" customFormat="1" ht="14.25" x14ac:dyDescent="0.2">
      <c r="B17" s="188"/>
      <c r="C17" s="195" t="s">
        <v>383</v>
      </c>
      <c r="D17" s="194"/>
      <c r="E17" s="194"/>
    </row>
    <row r="18" spans="2:15" s="78" customFormat="1" ht="14.25" x14ac:dyDescent="0.2">
      <c r="B18" s="188"/>
      <c r="C18" s="195"/>
      <c r="D18" s="194"/>
      <c r="E18" s="194"/>
    </row>
    <row r="19" spans="2:15" s="187" customFormat="1" x14ac:dyDescent="0.2">
      <c r="C19" s="187" t="s">
        <v>288</v>
      </c>
      <c r="N19" s="196"/>
      <c r="O19" s="196"/>
    </row>
    <row r="20" spans="2:15" s="187" customFormat="1" x14ac:dyDescent="0.2">
      <c r="C20" s="187" t="s">
        <v>384</v>
      </c>
      <c r="G20" s="187" t="s">
        <v>385</v>
      </c>
      <c r="H20" s="197">
        <v>808.31018227553477</v>
      </c>
      <c r="L20" s="187" t="s">
        <v>293</v>
      </c>
      <c r="N20" s="196"/>
      <c r="O20" s="196"/>
    </row>
    <row r="21" spans="2:15" s="187" customFormat="1" x14ac:dyDescent="0.2">
      <c r="C21" s="187" t="s">
        <v>386</v>
      </c>
      <c r="G21" s="187" t="s">
        <v>385</v>
      </c>
      <c r="H21" s="197">
        <v>563.2545350733933</v>
      </c>
      <c r="L21" s="187" t="s">
        <v>293</v>
      </c>
      <c r="N21" s="196"/>
      <c r="O21" s="196"/>
    </row>
    <row r="22" spans="2:15" s="187" customFormat="1" x14ac:dyDescent="0.2">
      <c r="C22" s="187" t="s">
        <v>387</v>
      </c>
      <c r="G22" s="187" t="s">
        <v>385</v>
      </c>
      <c r="H22" s="197">
        <v>563.2545350733933</v>
      </c>
      <c r="L22" s="187" t="s">
        <v>293</v>
      </c>
      <c r="N22" s="196"/>
      <c r="O22" s="196"/>
    </row>
    <row r="23" spans="2:15" s="78" customFormat="1" x14ac:dyDescent="0.2">
      <c r="B23" s="188"/>
      <c r="C23" s="194"/>
      <c r="D23" s="194"/>
      <c r="E23" s="194"/>
    </row>
    <row r="24" spans="2:15" s="186" customFormat="1" x14ac:dyDescent="0.25">
      <c r="B24" s="186" t="s">
        <v>388</v>
      </c>
      <c r="L24" s="186" t="s">
        <v>50</v>
      </c>
    </row>
    <row r="25" spans="2:15" s="78" customFormat="1" x14ac:dyDescent="0.2">
      <c r="B25" s="188"/>
      <c r="C25" s="198"/>
      <c r="D25" s="188"/>
      <c r="E25" s="198"/>
      <c r="F25" s="198"/>
    </row>
    <row r="26" spans="2:15" s="78" customFormat="1" ht="15" x14ac:dyDescent="0.25">
      <c r="B26" s="188"/>
      <c r="C26" s="199" t="s">
        <v>389</v>
      </c>
      <c r="D26" s="199"/>
      <c r="E26" s="199"/>
      <c r="F26" s="200" t="s">
        <v>390</v>
      </c>
      <c r="G26" s="200" t="s">
        <v>391</v>
      </c>
      <c r="H26" s="187"/>
    </row>
    <row r="27" spans="2:15" s="78" customFormat="1" ht="15" x14ac:dyDescent="0.25">
      <c r="B27" s="188"/>
      <c r="C27" s="200" t="s">
        <v>392</v>
      </c>
      <c r="D27" s="200" t="s">
        <v>393</v>
      </c>
      <c r="E27" s="199" t="s">
        <v>394</v>
      </c>
      <c r="F27" s="200"/>
      <c r="G27" s="200"/>
      <c r="H27" s="187"/>
    </row>
    <row r="28" spans="2:15" s="78" customFormat="1" ht="15" x14ac:dyDescent="0.25">
      <c r="C28" s="200" t="s">
        <v>395</v>
      </c>
      <c r="D28" s="200" t="s">
        <v>395</v>
      </c>
      <c r="E28" s="200" t="s">
        <v>395</v>
      </c>
      <c r="F28" s="200" t="s">
        <v>396</v>
      </c>
      <c r="G28" s="200" t="s">
        <v>397</v>
      </c>
      <c r="H28" s="187"/>
    </row>
    <row r="29" spans="2:15" s="105" customFormat="1" x14ac:dyDescent="0.2">
      <c r="C29" s="201">
        <v>0</v>
      </c>
      <c r="D29" s="201">
        <v>50</v>
      </c>
      <c r="E29" s="202">
        <f t="shared" ref="E29:E38" si="0">(C29+D29)/2</f>
        <v>25</v>
      </c>
      <c r="F29" s="203">
        <f t="shared" ref="F29:F38" si="1">EXP($H$11+$H$12*LN(E29))</f>
        <v>12980.726629793926</v>
      </c>
      <c r="G29" s="204">
        <f>F29-$F$31</f>
        <v>-5813.4426404779824</v>
      </c>
      <c r="H29" s="187"/>
    </row>
    <row r="30" spans="2:15" s="78" customFormat="1" x14ac:dyDescent="0.2">
      <c r="C30" s="205">
        <f t="shared" ref="C30:C38" si="2">D29+1</f>
        <v>51</v>
      </c>
      <c r="D30" s="201">
        <v>75</v>
      </c>
      <c r="E30" s="202">
        <f t="shared" si="0"/>
        <v>63</v>
      </c>
      <c r="F30" s="203">
        <f t="shared" si="1"/>
        <v>16598.603382488043</v>
      </c>
      <c r="G30" s="204">
        <f>F30-$F$31</f>
        <v>-2195.565887783865</v>
      </c>
      <c r="H30" s="187"/>
    </row>
    <row r="31" spans="2:15" s="78" customFormat="1" ht="15" x14ac:dyDescent="0.25">
      <c r="B31" s="206"/>
      <c r="C31" s="207">
        <f t="shared" si="2"/>
        <v>76</v>
      </c>
      <c r="D31" s="208">
        <v>125</v>
      </c>
      <c r="E31" s="209">
        <f t="shared" si="0"/>
        <v>100.5</v>
      </c>
      <c r="F31" s="210">
        <f t="shared" si="1"/>
        <v>18794.169270271908</v>
      </c>
      <c r="G31" s="211" t="s">
        <v>398</v>
      </c>
      <c r="H31" s="212" t="s">
        <v>399</v>
      </c>
    </row>
    <row r="32" spans="2:15" s="78" customFormat="1" x14ac:dyDescent="0.2">
      <c r="B32" s="188"/>
      <c r="C32" s="205">
        <f t="shared" si="2"/>
        <v>126</v>
      </c>
      <c r="D32" s="201">
        <v>200</v>
      </c>
      <c r="E32" s="202">
        <f t="shared" si="0"/>
        <v>163</v>
      </c>
      <c r="F32" s="203">
        <f t="shared" si="1"/>
        <v>21374.15056603455</v>
      </c>
      <c r="G32" s="204">
        <f t="shared" ref="G32:G38" si="3">F32-$F$31</f>
        <v>2579.9812957626418</v>
      </c>
      <c r="H32" s="187"/>
    </row>
    <row r="33" spans="2:14" s="78" customFormat="1" x14ac:dyDescent="0.2">
      <c r="B33" s="188"/>
      <c r="C33" s="205">
        <f t="shared" si="2"/>
        <v>201</v>
      </c>
      <c r="D33" s="201">
        <v>400</v>
      </c>
      <c r="E33" s="202">
        <f t="shared" si="0"/>
        <v>300.5</v>
      </c>
      <c r="F33" s="203">
        <f t="shared" si="1"/>
        <v>25150.903581024173</v>
      </c>
      <c r="G33" s="204">
        <f t="shared" si="3"/>
        <v>6356.7343107522647</v>
      </c>
      <c r="H33" s="187"/>
    </row>
    <row r="34" spans="2:14" s="78" customFormat="1" x14ac:dyDescent="0.2">
      <c r="B34" s="188"/>
      <c r="C34" s="205">
        <f t="shared" si="2"/>
        <v>401</v>
      </c>
      <c r="D34" s="201">
        <v>750</v>
      </c>
      <c r="E34" s="202">
        <f t="shared" si="0"/>
        <v>575.5</v>
      </c>
      <c r="F34" s="203">
        <f t="shared" si="1"/>
        <v>29896.408487556662</v>
      </c>
      <c r="G34" s="204">
        <f t="shared" si="3"/>
        <v>11102.239217284754</v>
      </c>
      <c r="H34" s="187"/>
    </row>
    <row r="35" spans="2:14" s="78" customFormat="1" ht="15" x14ac:dyDescent="0.25">
      <c r="B35" s="188"/>
      <c r="C35" s="207">
        <f t="shared" si="2"/>
        <v>751</v>
      </c>
      <c r="D35" s="208">
        <v>1250</v>
      </c>
      <c r="E35" s="209">
        <f t="shared" si="0"/>
        <v>1000.5</v>
      </c>
      <c r="F35" s="213">
        <f t="shared" si="1"/>
        <v>34634.163938980382</v>
      </c>
      <c r="G35" s="214">
        <f t="shared" si="3"/>
        <v>15839.994668708474</v>
      </c>
      <c r="H35" s="212" t="s">
        <v>400</v>
      </c>
    </row>
    <row r="36" spans="2:14" s="78" customFormat="1" x14ac:dyDescent="0.2">
      <c r="B36" s="188"/>
      <c r="C36" s="205">
        <f t="shared" si="2"/>
        <v>1251</v>
      </c>
      <c r="D36" s="201">
        <v>2000</v>
      </c>
      <c r="E36" s="202">
        <f t="shared" si="0"/>
        <v>1625.5</v>
      </c>
      <c r="F36" s="203">
        <f t="shared" si="1"/>
        <v>39406.648187373466</v>
      </c>
      <c r="G36" s="204">
        <f t="shared" si="3"/>
        <v>20612.478917101558</v>
      </c>
      <c r="H36" s="187"/>
    </row>
    <row r="37" spans="2:14" s="78" customFormat="1" x14ac:dyDescent="0.2">
      <c r="B37" s="188"/>
      <c r="C37" s="205">
        <f t="shared" si="2"/>
        <v>2001</v>
      </c>
      <c r="D37" s="201">
        <v>4000</v>
      </c>
      <c r="E37" s="202">
        <f t="shared" si="0"/>
        <v>3000.5</v>
      </c>
      <c r="F37" s="203">
        <f t="shared" si="1"/>
        <v>46385.310434826453</v>
      </c>
      <c r="G37" s="204">
        <f t="shared" si="3"/>
        <v>27591.141164554545</v>
      </c>
      <c r="H37" s="187"/>
    </row>
    <row r="38" spans="2:14" s="78" customFormat="1" x14ac:dyDescent="0.2">
      <c r="C38" s="205">
        <f t="shared" si="2"/>
        <v>4001</v>
      </c>
      <c r="D38" s="201">
        <v>8000</v>
      </c>
      <c r="E38" s="202">
        <f t="shared" si="0"/>
        <v>6000.5</v>
      </c>
      <c r="F38" s="203">
        <f t="shared" si="1"/>
        <v>55775.673178544508</v>
      </c>
      <c r="G38" s="204">
        <f t="shared" si="3"/>
        <v>36981.5039082726</v>
      </c>
      <c r="H38" s="187"/>
    </row>
    <row r="40" spans="2:14" s="186" customFormat="1" x14ac:dyDescent="0.25">
      <c r="B40" s="186" t="s">
        <v>401</v>
      </c>
      <c r="L40" s="186" t="s">
        <v>50</v>
      </c>
    </row>
    <row r="41" spans="2:14" ht="13.5" thickBot="1" x14ac:dyDescent="0.3"/>
    <row r="42" spans="2:14" ht="15.75" thickBot="1" x14ac:dyDescent="0.3">
      <c r="C42" s="199" t="s">
        <v>402</v>
      </c>
      <c r="D42" s="187"/>
      <c r="E42" s="215"/>
      <c r="F42" s="187"/>
      <c r="G42" s="187"/>
      <c r="H42" s="216">
        <f>F31/2*$H$13+F31/$H$14</f>
        <v>1609.09412568978</v>
      </c>
      <c r="L42" s="217"/>
      <c r="M42" s="217"/>
      <c r="N42" s="217"/>
    </row>
    <row r="43" spans="2:14" ht="15" x14ac:dyDescent="0.25">
      <c r="C43" s="199"/>
      <c r="D43" s="187"/>
      <c r="E43" s="215"/>
      <c r="F43" s="187"/>
      <c r="G43" s="187"/>
      <c r="H43" s="218"/>
      <c r="L43" s="217"/>
      <c r="M43" s="217"/>
      <c r="N43" s="217"/>
    </row>
    <row r="44" spans="2:14" ht="15" x14ac:dyDescent="0.25">
      <c r="C44" s="219" t="s">
        <v>403</v>
      </c>
      <c r="D44" s="220"/>
      <c r="E44" s="220"/>
      <c r="F44" s="220"/>
      <c r="G44" s="220"/>
      <c r="H44" s="219" t="s">
        <v>404</v>
      </c>
      <c r="L44" s="217"/>
      <c r="M44" s="217"/>
      <c r="N44" s="217"/>
    </row>
    <row r="45" spans="2:14" ht="15" x14ac:dyDescent="0.25">
      <c r="C45" s="221"/>
      <c r="D45" s="222"/>
      <c r="E45" s="222"/>
      <c r="F45" s="222"/>
      <c r="G45" s="222"/>
      <c r="H45" s="221" t="s">
        <v>405</v>
      </c>
      <c r="L45" s="217"/>
      <c r="M45" s="217"/>
      <c r="N45" s="217"/>
    </row>
    <row r="46" spans="2:14" ht="15" x14ac:dyDescent="0.25">
      <c r="C46" s="199" t="s">
        <v>406</v>
      </c>
      <c r="D46" s="187"/>
      <c r="E46" s="187"/>
      <c r="F46" s="187"/>
      <c r="G46" s="187"/>
      <c r="H46" s="223">
        <f>H42+H20</f>
        <v>2417.4043079653147</v>
      </c>
      <c r="L46" s="217"/>
      <c r="M46" s="217"/>
      <c r="N46" s="217"/>
    </row>
    <row r="47" spans="2:14" ht="15" x14ac:dyDescent="0.25">
      <c r="C47" s="199" t="s">
        <v>407</v>
      </c>
      <c r="D47" s="187"/>
      <c r="E47" s="215"/>
      <c r="F47" s="187"/>
      <c r="G47" s="187"/>
      <c r="H47" s="223">
        <f>H42+H21</f>
        <v>2172.348660763173</v>
      </c>
      <c r="L47" s="217"/>
      <c r="M47" s="217"/>
      <c r="N47" s="217"/>
    </row>
    <row r="48" spans="2:14" ht="15" x14ac:dyDescent="0.25">
      <c r="C48" s="199" t="s">
        <v>408</v>
      </c>
      <c r="D48" s="187"/>
      <c r="E48" s="215"/>
      <c r="F48" s="187"/>
      <c r="G48" s="187"/>
      <c r="H48" s="223">
        <f>H42+H22</f>
        <v>2172.348660763173</v>
      </c>
      <c r="L48" s="217"/>
      <c r="M48" s="217"/>
      <c r="N48" s="217"/>
    </row>
    <row r="49" spans="3:14" ht="15" x14ac:dyDescent="0.25">
      <c r="C49" s="199"/>
      <c r="D49" s="187"/>
      <c r="E49" s="215"/>
      <c r="F49" s="187"/>
      <c r="G49" s="187"/>
      <c r="H49" s="215"/>
      <c r="L49" s="217"/>
      <c r="M49" s="217"/>
      <c r="N49" s="217"/>
    </row>
    <row r="50" spans="3:14" ht="15" x14ac:dyDescent="0.25">
      <c r="C50" s="224" t="s">
        <v>409</v>
      </c>
      <c r="D50" s="225"/>
      <c r="E50" s="220"/>
      <c r="F50" s="220"/>
      <c r="G50" s="219" t="s">
        <v>410</v>
      </c>
      <c r="H50" s="219" t="s">
        <v>404</v>
      </c>
      <c r="L50" s="217"/>
      <c r="M50" s="217"/>
      <c r="N50" s="217"/>
    </row>
    <row r="51" spans="3:14" ht="15" x14ac:dyDescent="0.25">
      <c r="C51" s="226" t="s">
        <v>392</v>
      </c>
      <c r="D51" s="226" t="s">
        <v>393</v>
      </c>
      <c r="E51" s="222"/>
      <c r="F51" s="222"/>
      <c r="G51" s="221" t="s">
        <v>90</v>
      </c>
      <c r="H51" s="219" t="s">
        <v>405</v>
      </c>
      <c r="L51" s="217"/>
      <c r="M51" s="217"/>
      <c r="N51" s="217"/>
    </row>
    <row r="52" spans="3:14" x14ac:dyDescent="0.2">
      <c r="C52" s="187">
        <f>C29</f>
        <v>0</v>
      </c>
      <c r="D52" s="187">
        <f>D29</f>
        <v>50</v>
      </c>
      <c r="E52" s="187"/>
      <c r="F52" s="187"/>
      <c r="G52" s="223">
        <f>G29</f>
        <v>-5813.4426404779824</v>
      </c>
      <c r="H52" s="227">
        <f>G52/2*$H$13+G52/$H$14</f>
        <v>-497.72758073558992</v>
      </c>
      <c r="L52" s="217"/>
      <c r="M52" s="217"/>
      <c r="N52" s="217"/>
    </row>
    <row r="53" spans="3:14" x14ac:dyDescent="0.2">
      <c r="C53" s="187">
        <f>C30</f>
        <v>51</v>
      </c>
      <c r="D53" s="187">
        <f>D30</f>
        <v>75</v>
      </c>
      <c r="E53" s="187"/>
      <c r="F53" s="187"/>
      <c r="G53" s="223">
        <f>G30</f>
        <v>-2195.565887783865</v>
      </c>
      <c r="H53" s="223">
        <f>G53/2*$H$13+G53/$H$14</f>
        <v>-187.97703275909527</v>
      </c>
      <c r="L53" s="217"/>
      <c r="M53" s="217"/>
      <c r="N53" s="217"/>
    </row>
    <row r="54" spans="3:14" x14ac:dyDescent="0.2">
      <c r="C54" s="187"/>
      <c r="D54" s="187"/>
      <c r="E54" s="187"/>
      <c r="F54" s="187"/>
      <c r="G54" s="187"/>
      <c r="H54" s="187"/>
      <c r="L54" s="217"/>
      <c r="M54" s="217"/>
      <c r="N54" s="217"/>
    </row>
    <row r="55" spans="3:14" ht="15" x14ac:dyDescent="0.25">
      <c r="C55" s="224" t="s">
        <v>411</v>
      </c>
      <c r="D55" s="225"/>
      <c r="E55" s="220"/>
      <c r="F55" s="220"/>
      <c r="G55" s="219" t="s">
        <v>412</v>
      </c>
      <c r="H55" s="219" t="s">
        <v>413</v>
      </c>
      <c r="L55" s="217"/>
      <c r="M55" s="217"/>
      <c r="N55" s="217"/>
    </row>
    <row r="56" spans="3:14" ht="15" x14ac:dyDescent="0.25">
      <c r="C56" s="225"/>
      <c r="D56" s="225"/>
      <c r="E56" s="220"/>
      <c r="F56" s="220"/>
      <c r="G56" s="219" t="s">
        <v>414</v>
      </c>
      <c r="H56" s="219" t="s">
        <v>404</v>
      </c>
      <c r="L56" s="217"/>
      <c r="M56" s="217"/>
      <c r="N56" s="217"/>
    </row>
    <row r="57" spans="3:14" ht="15" x14ac:dyDescent="0.25">
      <c r="C57" s="226" t="s">
        <v>392</v>
      </c>
      <c r="D57" s="226" t="s">
        <v>393</v>
      </c>
      <c r="E57" s="222"/>
      <c r="F57" s="222"/>
      <c r="G57" s="221" t="s">
        <v>90</v>
      </c>
      <c r="H57" s="221" t="s">
        <v>405</v>
      </c>
      <c r="L57" s="217"/>
      <c r="M57" s="217"/>
      <c r="N57" s="217"/>
    </row>
    <row r="58" spans="3:14" x14ac:dyDescent="0.2">
      <c r="C58" s="187">
        <f t="shared" ref="C58:D64" si="4">C32</f>
        <v>126</v>
      </c>
      <c r="D58" s="187">
        <f t="shared" si="4"/>
        <v>200</v>
      </c>
      <c r="E58" s="187"/>
      <c r="F58" s="187"/>
      <c r="G58" s="223">
        <f t="shared" ref="G58:G64" si="5">G32</f>
        <v>2579.9812957626418</v>
      </c>
      <c r="H58" s="227">
        <f t="shared" ref="H58:H64" si="6">G58/2*$H$13+G58/$H$14</f>
        <v>220.88939860554487</v>
      </c>
      <c r="L58" s="217"/>
      <c r="M58" s="217"/>
      <c r="N58" s="217"/>
    </row>
    <row r="59" spans="3:14" x14ac:dyDescent="0.2">
      <c r="C59" s="187">
        <f t="shared" si="4"/>
        <v>201</v>
      </c>
      <c r="D59" s="187">
        <f t="shared" si="4"/>
        <v>400</v>
      </c>
      <c r="E59" s="187"/>
      <c r="F59" s="187"/>
      <c r="G59" s="223">
        <f t="shared" si="5"/>
        <v>6356.7343107522647</v>
      </c>
      <c r="H59" s="223">
        <f t="shared" si="6"/>
        <v>544.24240257223971</v>
      </c>
      <c r="L59" s="217"/>
      <c r="M59" s="217"/>
      <c r="N59" s="217"/>
    </row>
    <row r="60" spans="3:14" x14ac:dyDescent="0.2">
      <c r="C60" s="187">
        <f t="shared" si="4"/>
        <v>401</v>
      </c>
      <c r="D60" s="187">
        <f t="shared" si="4"/>
        <v>750</v>
      </c>
      <c r="E60" s="187"/>
      <c r="F60" s="187"/>
      <c r="G60" s="223">
        <f t="shared" si="5"/>
        <v>11102.239217284754</v>
      </c>
      <c r="H60" s="223">
        <f t="shared" si="6"/>
        <v>950.53671431986299</v>
      </c>
      <c r="L60" s="217"/>
      <c r="M60" s="217"/>
      <c r="N60" s="217"/>
    </row>
    <row r="61" spans="3:14" x14ac:dyDescent="0.2">
      <c r="C61" s="187">
        <f t="shared" si="4"/>
        <v>751</v>
      </c>
      <c r="D61" s="187">
        <f t="shared" si="4"/>
        <v>1250</v>
      </c>
      <c r="E61" s="187"/>
      <c r="F61" s="187"/>
      <c r="G61" s="223">
        <f t="shared" si="5"/>
        <v>15839.994668708474</v>
      </c>
      <c r="H61" s="223">
        <f t="shared" si="6"/>
        <v>1356.1675435525906</v>
      </c>
      <c r="L61" s="217"/>
      <c r="M61" s="217"/>
      <c r="N61" s="217"/>
    </row>
    <row r="62" spans="3:14" x14ac:dyDescent="0.2">
      <c r="C62" s="187">
        <f t="shared" si="4"/>
        <v>1251</v>
      </c>
      <c r="D62" s="187">
        <f t="shared" si="4"/>
        <v>2000</v>
      </c>
      <c r="E62" s="187"/>
      <c r="F62" s="187"/>
      <c r="G62" s="223">
        <f t="shared" si="5"/>
        <v>20612.478917101558</v>
      </c>
      <c r="H62" s="223">
        <f t="shared" si="6"/>
        <v>1764.7717366191785</v>
      </c>
      <c r="L62" s="217"/>
      <c r="M62" s="217"/>
      <c r="N62" s="217"/>
    </row>
    <row r="63" spans="3:14" x14ac:dyDescent="0.2">
      <c r="C63" s="187">
        <f t="shared" si="4"/>
        <v>2001</v>
      </c>
      <c r="D63" s="187">
        <f t="shared" si="4"/>
        <v>4000</v>
      </c>
      <c r="E63" s="187"/>
      <c r="F63" s="187"/>
      <c r="G63" s="223">
        <f t="shared" si="5"/>
        <v>27591.141164554545</v>
      </c>
      <c r="H63" s="223">
        <f t="shared" si="6"/>
        <v>2362.2615360386117</v>
      </c>
      <c r="L63" s="217"/>
      <c r="M63" s="217"/>
      <c r="N63" s="217"/>
    </row>
    <row r="64" spans="3:14" x14ac:dyDescent="0.2">
      <c r="C64" s="187">
        <f t="shared" si="4"/>
        <v>4001</v>
      </c>
      <c r="D64" s="187">
        <f t="shared" si="4"/>
        <v>8000</v>
      </c>
      <c r="E64" s="187"/>
      <c r="F64" s="187"/>
      <c r="G64" s="223">
        <f t="shared" si="5"/>
        <v>36981.5039082726</v>
      </c>
      <c r="H64" s="223">
        <f t="shared" si="6"/>
        <v>3166.2330929466057</v>
      </c>
      <c r="L64" s="217"/>
      <c r="M64" s="217"/>
      <c r="N64" s="2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pageSetUpPr fitToPage="1"/>
  </sheetPr>
  <dimension ref="B2:G56"/>
  <sheetViews>
    <sheetView showGridLines="0" zoomScaleNormal="100" workbookViewId="0">
      <pane ySplit="3" topLeftCell="A4" activePane="bottomLeft" state="frozen"/>
      <selection pane="bottomLeft"/>
    </sheetView>
  </sheetViews>
  <sheetFormatPr defaultRowHeight="12.75" x14ac:dyDescent="0.25"/>
  <cols>
    <col min="1" max="1" width="2.85546875" style="2" customWidth="1"/>
    <col min="2" max="2" width="19.140625" style="2" customWidth="1"/>
    <col min="3" max="3" width="20.710937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4" s="15" customFormat="1" ht="18" x14ac:dyDescent="0.25">
      <c r="B2" s="4" t="s">
        <v>57</v>
      </c>
      <c r="D2" s="42"/>
    </row>
    <row r="4" spans="2:4" s="9" customFormat="1" x14ac:dyDescent="0.25">
      <c r="B4" s="9" t="s">
        <v>15</v>
      </c>
    </row>
    <row r="6" spans="2:4" x14ac:dyDescent="0.25">
      <c r="B6" s="40" t="s">
        <v>295</v>
      </c>
    </row>
    <row r="7" spans="2:4" x14ac:dyDescent="0.25">
      <c r="B7" s="2" t="s">
        <v>296</v>
      </c>
    </row>
    <row r="9" spans="2:4" s="9" customFormat="1" x14ac:dyDescent="0.25">
      <c r="B9" s="9" t="s">
        <v>66</v>
      </c>
    </row>
    <row r="11" spans="2:4" x14ac:dyDescent="0.25">
      <c r="B11" s="40"/>
    </row>
    <row r="13" spans="2:4" x14ac:dyDescent="0.25">
      <c r="B13" s="6"/>
    </row>
    <row r="26" spans="2:6" s="9" customFormat="1" x14ac:dyDescent="0.25">
      <c r="B26" s="9" t="s">
        <v>16</v>
      </c>
    </row>
    <row r="27" spans="2:6" x14ac:dyDescent="0.25">
      <c r="C27" s="10"/>
    </row>
    <row r="28" spans="2:6" x14ac:dyDescent="0.25">
      <c r="B28" s="1" t="s">
        <v>42</v>
      </c>
      <c r="C28" s="10"/>
      <c r="D28" s="1" t="s">
        <v>17</v>
      </c>
      <c r="F28" s="16"/>
    </row>
    <row r="29" spans="2:6" x14ac:dyDescent="0.25">
      <c r="C29" s="10"/>
    </row>
    <row r="30" spans="2:6" x14ac:dyDescent="0.25">
      <c r="B30" s="17">
        <v>123</v>
      </c>
      <c r="C30" s="10"/>
      <c r="D30" s="40" t="s">
        <v>59</v>
      </c>
    </row>
    <row r="31" spans="2:6" x14ac:dyDescent="0.25">
      <c r="B31" s="18">
        <f>B30</f>
        <v>123</v>
      </c>
      <c r="C31" s="10"/>
      <c r="D31" s="2" t="s">
        <v>18</v>
      </c>
    </row>
    <row r="32" spans="2:6" x14ac:dyDescent="0.25">
      <c r="B32" s="19">
        <f>B31+B30</f>
        <v>246</v>
      </c>
      <c r="C32" s="10"/>
      <c r="D32" s="2" t="s">
        <v>19</v>
      </c>
    </row>
    <row r="33" spans="2:7" x14ac:dyDescent="0.25">
      <c r="B33" s="20">
        <f>B31+B32</f>
        <v>369</v>
      </c>
      <c r="C33" s="10"/>
      <c r="D33" s="40" t="s">
        <v>58</v>
      </c>
      <c r="E33" s="16"/>
      <c r="F33" s="6"/>
    </row>
    <row r="34" spans="2:7" x14ac:dyDescent="0.25">
      <c r="B34" s="21"/>
      <c r="C34" s="10"/>
      <c r="D34" s="3" t="s">
        <v>20</v>
      </c>
      <c r="E34" s="16"/>
    </row>
    <row r="35" spans="2:7" x14ac:dyDescent="0.25">
      <c r="B35" s="10"/>
      <c r="C35" s="10"/>
    </row>
    <row r="36" spans="2:7" x14ac:dyDescent="0.25">
      <c r="B36" s="22" t="s">
        <v>21</v>
      </c>
      <c r="C36" s="10"/>
    </row>
    <row r="37" spans="2:7" x14ac:dyDescent="0.25">
      <c r="B37" s="23">
        <f>B33+16</f>
        <v>385</v>
      </c>
      <c r="C37" s="10"/>
      <c r="D37" s="2" t="s">
        <v>22</v>
      </c>
    </row>
    <row r="38" spans="2:7" x14ac:dyDescent="0.25">
      <c r="B38" s="24">
        <f>B31*PI()</f>
        <v>386.41589639154455</v>
      </c>
      <c r="C38" s="25"/>
      <c r="D38" s="2" t="s">
        <v>23</v>
      </c>
    </row>
    <row r="39" spans="2:7" x14ac:dyDescent="0.25">
      <c r="B39" s="25"/>
      <c r="C39" s="25"/>
    </row>
    <row r="40" spans="2:7" x14ac:dyDescent="0.25">
      <c r="B40" s="26" t="s">
        <v>24</v>
      </c>
      <c r="C40" s="26"/>
    </row>
    <row r="41" spans="2:7" x14ac:dyDescent="0.25">
      <c r="B41" s="27">
        <v>123</v>
      </c>
      <c r="C41" s="26"/>
      <c r="D41" s="3" t="s">
        <v>25</v>
      </c>
      <c r="G41" s="16"/>
    </row>
    <row r="42" spans="2:7" x14ac:dyDescent="0.25">
      <c r="B42" s="28">
        <v>124</v>
      </c>
      <c r="C42" s="26"/>
      <c r="D42" s="3" t="s">
        <v>26</v>
      </c>
    </row>
    <row r="43" spans="2:7" x14ac:dyDescent="0.25">
      <c r="B43" s="29">
        <f>B32-B33</f>
        <v>-123</v>
      </c>
      <c r="C43" s="30"/>
      <c r="D43" s="2" t="s">
        <v>65</v>
      </c>
    </row>
    <row r="46" spans="2:7" x14ac:dyDescent="0.25">
      <c r="B46" s="1" t="s">
        <v>37</v>
      </c>
    </row>
    <row r="47" spans="2:7" x14ac:dyDescent="0.25">
      <c r="B47" s="1"/>
    </row>
    <row r="48" spans="2:7" x14ac:dyDescent="0.25">
      <c r="B48" s="5" t="s">
        <v>43</v>
      </c>
    </row>
    <row r="49" spans="2:4" x14ac:dyDescent="0.25">
      <c r="B49" s="37" t="s">
        <v>36</v>
      </c>
      <c r="C49" s="10"/>
      <c r="D49" s="3" t="s">
        <v>46</v>
      </c>
    </row>
    <row r="50" spans="2:4" x14ac:dyDescent="0.25">
      <c r="B50" s="35" t="s">
        <v>34</v>
      </c>
      <c r="C50" s="10"/>
      <c r="D50" s="3" t="s">
        <v>38</v>
      </c>
    </row>
    <row r="51" spans="2:4" x14ac:dyDescent="0.25">
      <c r="B51" s="36" t="s">
        <v>35</v>
      </c>
      <c r="C51" s="10"/>
      <c r="D51" s="3" t="s">
        <v>39</v>
      </c>
    </row>
    <row r="52" spans="2:4" x14ac:dyDescent="0.25">
      <c r="B52" s="24" t="s">
        <v>35</v>
      </c>
      <c r="C52" s="10"/>
      <c r="D52" s="3" t="s">
        <v>41</v>
      </c>
    </row>
    <row r="53" spans="2:4" x14ac:dyDescent="0.25">
      <c r="C53" s="10"/>
      <c r="D53" s="3"/>
    </row>
    <row r="54" spans="2:4" x14ac:dyDescent="0.25">
      <c r="B54" s="5" t="s">
        <v>45</v>
      </c>
      <c r="C54" s="10"/>
      <c r="D54" s="3"/>
    </row>
    <row r="55" spans="2:4" x14ac:dyDescent="0.25">
      <c r="B55" s="38" t="s">
        <v>40</v>
      </c>
      <c r="C55" s="10"/>
      <c r="D55" s="3" t="s">
        <v>47</v>
      </c>
    </row>
    <row r="56" spans="2:4" x14ac:dyDescent="0.25">
      <c r="B56" s="39" t="s">
        <v>44</v>
      </c>
      <c r="D56" s="3" t="s">
        <v>48</v>
      </c>
    </row>
  </sheetData>
  <pageMargins left="0.74803149606299213" right="0.74803149606299213" top="0.98425196850393704" bottom="0.98425196850393704" header="0.51181102362204722" footer="0.51181102362204722"/>
  <pageSetup paperSize="9" scale="6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pageSetUpPr fitToPage="1"/>
  </sheetPr>
  <dimension ref="B2:E25"/>
  <sheetViews>
    <sheetView showGridLines="0" zoomScaleNormal="100" workbookViewId="0">
      <pane ySplit="3" topLeftCell="A4" activePane="bottomLeft" state="frozen"/>
      <selection pane="bottomLeft"/>
    </sheetView>
  </sheetViews>
  <sheetFormatPr defaultRowHeight="12.75" x14ac:dyDescent="0.25"/>
  <cols>
    <col min="1" max="1" width="2.85546875" style="2" customWidth="1"/>
    <col min="2" max="2" width="7.5703125" style="2" customWidth="1"/>
    <col min="3" max="5" width="40.7109375" style="2" customWidth="1"/>
    <col min="6" max="6" width="4.5703125" style="2" customWidth="1"/>
    <col min="7" max="7" width="22" style="2" customWidth="1"/>
    <col min="8" max="16384" width="9.140625" style="2"/>
  </cols>
  <sheetData>
    <row r="2" spans="2:5" s="15" customFormat="1" ht="18" x14ac:dyDescent="0.25">
      <c r="B2" s="4" t="s">
        <v>27</v>
      </c>
    </row>
    <row r="4" spans="2:5" s="9" customFormat="1" x14ac:dyDescent="0.25">
      <c r="B4" s="9" t="s">
        <v>28</v>
      </c>
    </row>
    <row r="6" spans="2:5" x14ac:dyDescent="0.25">
      <c r="B6" s="6"/>
    </row>
    <row r="8" spans="2:5" x14ac:dyDescent="0.25">
      <c r="B8" s="31" t="s">
        <v>60</v>
      </c>
      <c r="C8" s="31" t="s">
        <v>61</v>
      </c>
      <c r="D8" s="31" t="s">
        <v>62</v>
      </c>
      <c r="E8" s="31" t="s">
        <v>67</v>
      </c>
    </row>
    <row r="9" spans="2:5" x14ac:dyDescent="0.25">
      <c r="B9" s="32"/>
      <c r="C9" s="41" t="s">
        <v>69</v>
      </c>
      <c r="D9" s="41" t="s">
        <v>29</v>
      </c>
      <c r="E9" s="41" t="s">
        <v>68</v>
      </c>
    </row>
    <row r="10" spans="2:5" x14ac:dyDescent="0.25">
      <c r="B10" s="43">
        <v>1</v>
      </c>
      <c r="C10" s="7" t="s">
        <v>352</v>
      </c>
      <c r="D10" s="170"/>
      <c r="E10" s="7"/>
    </row>
    <row r="11" spans="2:5" x14ac:dyDescent="0.25">
      <c r="B11" s="7">
        <v>2</v>
      </c>
      <c r="C11" s="7" t="s">
        <v>152</v>
      </c>
      <c r="D11" s="170"/>
      <c r="E11" s="7"/>
    </row>
    <row r="12" spans="2:5" ht="51" x14ac:dyDescent="0.25">
      <c r="B12" s="7">
        <v>3</v>
      </c>
      <c r="C12" s="7" t="s">
        <v>157</v>
      </c>
      <c r="D12" s="170" t="s">
        <v>351</v>
      </c>
      <c r="E12" s="7"/>
    </row>
    <row r="13" spans="2:5" ht="63.75" x14ac:dyDescent="0.25">
      <c r="B13" s="7">
        <v>4</v>
      </c>
      <c r="C13" s="7" t="s">
        <v>158</v>
      </c>
      <c r="D13" s="170" t="s">
        <v>350</v>
      </c>
      <c r="E13" s="7"/>
    </row>
    <row r="14" spans="2:5" x14ac:dyDescent="0.2">
      <c r="B14" s="7">
        <v>5</v>
      </c>
      <c r="C14" s="65" t="s">
        <v>293</v>
      </c>
      <c r="D14" s="170" t="s">
        <v>358</v>
      </c>
      <c r="E14" s="7"/>
    </row>
    <row r="15" spans="2:5" x14ac:dyDescent="0.25">
      <c r="B15" s="7">
        <v>6</v>
      </c>
      <c r="C15" s="7" t="s">
        <v>282</v>
      </c>
      <c r="D15" s="170" t="s">
        <v>348</v>
      </c>
      <c r="E15" s="7"/>
    </row>
    <row r="16" spans="2:5" x14ac:dyDescent="0.25">
      <c r="B16" s="7">
        <v>7</v>
      </c>
      <c r="C16" s="7" t="s">
        <v>297</v>
      </c>
      <c r="D16" s="171" t="s">
        <v>349</v>
      </c>
      <c r="E16" s="7"/>
    </row>
    <row r="17" spans="2:5" ht="38.25" x14ac:dyDescent="0.25">
      <c r="B17" s="7">
        <v>8</v>
      </c>
      <c r="C17" s="7" t="s">
        <v>353</v>
      </c>
      <c r="D17" s="170" t="s">
        <v>345</v>
      </c>
      <c r="E17" s="7"/>
    </row>
    <row r="18" spans="2:5" ht="51" x14ac:dyDescent="0.2">
      <c r="B18" s="7">
        <v>9</v>
      </c>
      <c r="C18" s="7" t="s">
        <v>302</v>
      </c>
      <c r="D18" s="172" t="s">
        <v>291</v>
      </c>
      <c r="E18" s="7"/>
    </row>
    <row r="19" spans="2:5" ht="38.25" x14ac:dyDescent="0.25">
      <c r="B19" s="7">
        <v>10</v>
      </c>
      <c r="C19" s="43" t="s">
        <v>371</v>
      </c>
      <c r="D19" s="185" t="s">
        <v>372</v>
      </c>
      <c r="E19" s="7"/>
    </row>
    <row r="22" spans="2:5" s="9" customFormat="1" x14ac:dyDescent="0.25">
      <c r="B22" s="9" t="s">
        <v>56</v>
      </c>
    </row>
    <row r="24" spans="2:5" x14ac:dyDescent="0.25">
      <c r="B24" s="5" t="s">
        <v>54</v>
      </c>
    </row>
    <row r="25" spans="2:5" x14ac:dyDescent="0.25">
      <c r="B25" s="5" t="s">
        <v>55</v>
      </c>
    </row>
  </sheetData>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
  <sheetViews>
    <sheetView showGridLines="0" zoomScaleNormal="100" workbookViewId="0"/>
  </sheetViews>
  <sheetFormatPr defaultRowHeight="12.75" x14ac:dyDescent="0.25"/>
  <cols>
    <col min="1" max="16384" width="9.140625" style="38"/>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pageSetUpPr fitToPage="1"/>
  </sheetPr>
  <dimension ref="A2:AB38"/>
  <sheetViews>
    <sheetView showGridLines="0" zoomScaleNormal="100" workbookViewId="0">
      <pane xSplit="6" ySplit="11" topLeftCell="G12" activePane="bottomRight" state="frozen"/>
      <selection pane="topRight"/>
      <selection pane="bottomLeft"/>
      <selection pane="bottomRight"/>
    </sheetView>
  </sheetViews>
  <sheetFormatPr defaultRowHeight="12.75" x14ac:dyDescent="0.25"/>
  <cols>
    <col min="1" max="1" width="3.7109375"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11.28515625" style="2" customWidth="1"/>
    <col min="10" max="11" width="13.7109375" style="2" customWidth="1"/>
    <col min="12" max="12" width="11.7109375" style="2" customWidth="1"/>
    <col min="13" max="13" width="16.140625" style="2" customWidth="1"/>
    <col min="14" max="14" width="12.5703125" style="2" customWidth="1"/>
    <col min="15" max="29" width="13.7109375" style="2" customWidth="1"/>
    <col min="30" max="16384" width="9.140625" style="2"/>
  </cols>
  <sheetData>
    <row r="2" spans="1:14" s="33" customFormat="1" ht="18" x14ac:dyDescent="0.25">
      <c r="B2" s="33" t="s">
        <v>356</v>
      </c>
    </row>
    <row r="4" spans="1:14" x14ac:dyDescent="0.25">
      <c r="A4" s="1"/>
      <c r="B4" s="1" t="s">
        <v>64</v>
      </c>
      <c r="C4" s="1"/>
      <c r="D4" s="1"/>
    </row>
    <row r="5" spans="1:14" x14ac:dyDescent="0.25">
      <c r="A5" s="1"/>
      <c r="B5" s="40" t="s">
        <v>253</v>
      </c>
      <c r="C5" s="3"/>
      <c r="D5" s="3"/>
      <c r="H5" s="34"/>
    </row>
    <row r="6" spans="1:14" x14ac:dyDescent="0.25">
      <c r="A6" s="40"/>
      <c r="B6" s="40" t="s">
        <v>254</v>
      </c>
      <c r="C6" s="3"/>
      <c r="D6" s="3"/>
      <c r="H6" s="34"/>
    </row>
    <row r="7" spans="1:14" x14ac:dyDescent="0.25">
      <c r="A7" s="40"/>
      <c r="B7" s="40" t="s">
        <v>255</v>
      </c>
      <c r="C7" s="3"/>
      <c r="D7" s="3"/>
      <c r="H7" s="34"/>
    </row>
    <row r="8" spans="1:14" x14ac:dyDescent="0.25">
      <c r="A8" s="40"/>
      <c r="B8" s="40" t="s">
        <v>257</v>
      </c>
      <c r="C8" s="3"/>
      <c r="D8" s="3"/>
      <c r="H8" s="34"/>
    </row>
    <row r="10" spans="1:14" s="9" customFormat="1" x14ac:dyDescent="0.25">
      <c r="B10" s="9" t="s">
        <v>49</v>
      </c>
      <c r="F10" s="9" t="s">
        <v>30</v>
      </c>
    </row>
    <row r="13" spans="1:14" s="107" customFormat="1" x14ac:dyDescent="0.25">
      <c r="B13" s="107" t="s">
        <v>261</v>
      </c>
      <c r="H13" s="108" t="s">
        <v>31</v>
      </c>
      <c r="I13" s="108"/>
      <c r="J13" s="108"/>
      <c r="K13" s="107" t="s">
        <v>51</v>
      </c>
      <c r="L13" s="108"/>
    </row>
    <row r="14" spans="1:14" s="105" customFormat="1" x14ac:dyDescent="0.25">
      <c r="H14" s="95"/>
      <c r="I14" s="95"/>
      <c r="J14" s="95"/>
      <c r="K14" s="95"/>
      <c r="L14" s="95"/>
    </row>
    <row r="15" spans="1:14" s="81" customFormat="1" ht="12.75" customHeight="1" x14ac:dyDescent="0.25">
      <c r="B15" s="180" t="s">
        <v>250</v>
      </c>
      <c r="F15" s="82" t="s">
        <v>227</v>
      </c>
      <c r="H15" s="52">
        <f>'Berekening huurtarieven'!J44</f>
        <v>106.09655153793628</v>
      </c>
      <c r="J15" s="130"/>
      <c r="L15" s="229"/>
    </row>
    <row r="16" spans="1:14" s="81" customFormat="1" ht="13.5" customHeight="1" x14ac:dyDescent="0.25">
      <c r="B16" s="180" t="s">
        <v>251</v>
      </c>
      <c r="F16" s="82" t="s">
        <v>227</v>
      </c>
      <c r="G16" s="115"/>
      <c r="H16" s="52">
        <f>'Berekening huurtarieven'!O44</f>
        <v>87.547670494225571</v>
      </c>
      <c r="I16" s="116"/>
      <c r="J16" s="130"/>
      <c r="K16" s="116"/>
      <c r="L16" s="229"/>
      <c r="M16" s="89"/>
      <c r="N16" s="89"/>
    </row>
    <row r="17" spans="2:28" s="81" customFormat="1" ht="12" customHeight="1" x14ac:dyDescent="0.25">
      <c r="B17" s="180" t="s">
        <v>252</v>
      </c>
      <c r="F17" s="82" t="s">
        <v>227</v>
      </c>
      <c r="G17" s="115"/>
      <c r="H17" s="52">
        <f>'Berekening huurtarieven'!P44</f>
        <v>96.568075218605813</v>
      </c>
      <c r="I17" s="116"/>
      <c r="J17" s="130"/>
      <c r="K17" s="116"/>
      <c r="L17" s="229"/>
      <c r="M17" s="89"/>
      <c r="N17" s="89"/>
    </row>
    <row r="18" spans="2:28" s="81" customFormat="1" ht="15" x14ac:dyDescent="0.25">
      <c r="B18" s="82"/>
      <c r="F18" s="123"/>
      <c r="G18" s="117"/>
      <c r="H18" s="118"/>
      <c r="I18" s="118"/>
      <c r="J18" s="118"/>
      <c r="K18" s="118"/>
      <c r="L18" s="118"/>
    </row>
    <row r="19" spans="2:28" s="80" customFormat="1" x14ac:dyDescent="0.25">
      <c r="B19" s="80" t="s">
        <v>329</v>
      </c>
      <c r="F19" s="114"/>
      <c r="G19" s="114"/>
      <c r="H19" s="114"/>
      <c r="I19" s="114"/>
      <c r="J19" s="114"/>
      <c r="K19" s="107" t="s">
        <v>51</v>
      </c>
      <c r="L19" s="114"/>
    </row>
    <row r="20" spans="2:28" s="82" customFormat="1" x14ac:dyDescent="0.2"/>
    <row r="21" spans="2:28" s="82" customFormat="1" x14ac:dyDescent="0.2">
      <c r="B21" s="121" t="s">
        <v>271</v>
      </c>
    </row>
    <row r="22" spans="2:28" s="82" customFormat="1" x14ac:dyDescent="0.2">
      <c r="B22" s="180" t="s">
        <v>330</v>
      </c>
      <c r="F22" s="82" t="s">
        <v>227</v>
      </c>
      <c r="H22" s="52">
        <f>'Berekening huurtarieven'!I49</f>
        <v>-372.22435789843564</v>
      </c>
      <c r="J22" s="130"/>
      <c r="L22" s="230"/>
    </row>
    <row r="23" spans="2:28" s="82" customFormat="1" x14ac:dyDescent="0.2">
      <c r="B23" s="181" t="s">
        <v>331</v>
      </c>
      <c r="D23" s="86"/>
      <c r="E23" s="86"/>
      <c r="F23" s="82" t="s">
        <v>227</v>
      </c>
      <c r="G23" s="86"/>
      <c r="H23" s="52">
        <f>'Berekening huurtarieven'!I50</f>
        <v>-31.868608775404397</v>
      </c>
      <c r="I23" s="86"/>
      <c r="J23" s="130"/>
      <c r="K23" s="86"/>
      <c r="L23" s="230"/>
      <c r="M23" s="78"/>
      <c r="N23" s="86"/>
      <c r="O23" s="86"/>
      <c r="P23" s="86"/>
      <c r="Q23" s="86"/>
      <c r="R23" s="86"/>
      <c r="S23" s="86"/>
      <c r="T23" s="86"/>
      <c r="U23" s="86"/>
      <c r="V23" s="86"/>
      <c r="W23" s="86"/>
      <c r="X23" s="86"/>
      <c r="Y23" s="86"/>
      <c r="Z23" s="86"/>
      <c r="AA23" s="86"/>
      <c r="AB23" s="86"/>
    </row>
    <row r="24" spans="2:28" s="82" customFormat="1" x14ac:dyDescent="0.2">
      <c r="B24" s="182" t="s">
        <v>332</v>
      </c>
      <c r="D24" s="86"/>
      <c r="E24" s="86"/>
      <c r="F24" s="82" t="s">
        <v>227</v>
      </c>
      <c r="G24" s="86"/>
      <c r="H24" s="52">
        <f>'Berekening huurtarieven'!M49</f>
        <v>143.36618838459276</v>
      </c>
      <c r="I24" s="86"/>
      <c r="J24" s="130"/>
      <c r="K24" s="86"/>
      <c r="L24" s="230"/>
      <c r="M24" s="78"/>
      <c r="N24" s="86"/>
      <c r="O24" s="86"/>
      <c r="P24" s="86"/>
      <c r="Q24" s="86"/>
      <c r="R24" s="86"/>
      <c r="S24" s="86"/>
      <c r="T24" s="86"/>
      <c r="U24" s="86"/>
      <c r="V24" s="86"/>
      <c r="W24" s="86"/>
      <c r="X24" s="86"/>
      <c r="Y24" s="86"/>
      <c r="Z24" s="86"/>
      <c r="AA24" s="86"/>
      <c r="AB24" s="86"/>
    </row>
    <row r="25" spans="2:28" s="82" customFormat="1" x14ac:dyDescent="0.2">
      <c r="B25" s="181" t="s">
        <v>339</v>
      </c>
      <c r="D25" s="86"/>
      <c r="E25" s="86"/>
      <c r="F25" s="82" t="s">
        <v>227</v>
      </c>
      <c r="G25" s="86"/>
      <c r="H25" s="52">
        <f>'Berekening huurtarieven'!M50</f>
        <v>12.274535162194226</v>
      </c>
      <c r="I25" s="86"/>
      <c r="J25" s="130"/>
      <c r="K25" s="86"/>
      <c r="L25" s="230"/>
      <c r="M25" s="78"/>
      <c r="N25" s="89"/>
      <c r="O25" s="86"/>
      <c r="P25" s="86"/>
      <c r="Q25" s="86"/>
      <c r="R25" s="86"/>
      <c r="S25" s="86"/>
      <c r="T25" s="86"/>
      <c r="U25" s="86"/>
      <c r="V25" s="86"/>
      <c r="W25" s="86"/>
      <c r="X25" s="86"/>
      <c r="Y25" s="86"/>
      <c r="Z25" s="86"/>
      <c r="AA25" s="86"/>
      <c r="AB25" s="86"/>
    </row>
    <row r="26" spans="2:28" s="82" customFormat="1" x14ac:dyDescent="0.2">
      <c r="B26" s="182" t="s">
        <v>332</v>
      </c>
      <c r="D26" s="86"/>
      <c r="E26" s="86"/>
      <c r="F26" s="82" t="s">
        <v>227</v>
      </c>
      <c r="G26" s="86"/>
      <c r="H26" s="52">
        <f>'Berekening huurtarieven'!M49</f>
        <v>143.36618838459276</v>
      </c>
      <c r="I26" s="86"/>
      <c r="J26" s="130"/>
      <c r="K26" s="86"/>
      <c r="L26" s="230"/>
      <c r="M26" s="78"/>
      <c r="N26" s="89"/>
      <c r="O26" s="86"/>
      <c r="P26" s="86"/>
      <c r="Q26" s="86"/>
      <c r="R26" s="86"/>
      <c r="S26" s="86"/>
      <c r="T26" s="86"/>
      <c r="U26" s="86"/>
      <c r="V26" s="86"/>
      <c r="W26" s="86"/>
      <c r="X26" s="86"/>
      <c r="Y26" s="86"/>
      <c r="Z26" s="86"/>
      <c r="AA26" s="86"/>
      <c r="AB26" s="86"/>
    </row>
    <row r="27" spans="2:28" s="87" customFormat="1" x14ac:dyDescent="0.2">
      <c r="B27" s="181" t="s">
        <v>340</v>
      </c>
      <c r="F27" s="82" t="s">
        <v>227</v>
      </c>
      <c r="H27" s="119">
        <f>'Berekening huurtarieven'!M50</f>
        <v>12.274535162194226</v>
      </c>
      <c r="J27" s="176"/>
      <c r="L27" s="230"/>
      <c r="M27" s="78"/>
    </row>
    <row r="28" spans="2:28" s="87" customFormat="1" x14ac:dyDescent="0.2">
      <c r="B28" s="182"/>
      <c r="F28" s="82"/>
      <c r="H28" s="122"/>
      <c r="J28" s="176"/>
      <c r="L28" s="230"/>
      <c r="M28" s="78"/>
    </row>
    <row r="29" spans="2:28" s="87" customFormat="1" x14ac:dyDescent="0.2">
      <c r="B29" s="183" t="s">
        <v>272</v>
      </c>
      <c r="F29" s="82"/>
      <c r="H29" s="122"/>
      <c r="J29" s="176"/>
      <c r="L29" s="230"/>
      <c r="M29" s="78"/>
    </row>
    <row r="30" spans="2:28" s="87" customFormat="1" x14ac:dyDescent="0.2">
      <c r="B30" s="182" t="s">
        <v>338</v>
      </c>
      <c r="F30" s="82" t="s">
        <v>227</v>
      </c>
      <c r="H30" s="119">
        <f>'Berekening huurtarieven'!T49</f>
        <v>45.380089398229032</v>
      </c>
      <c r="J30" s="176"/>
      <c r="L30" s="230"/>
      <c r="M30" s="78"/>
    </row>
    <row r="31" spans="2:28" s="87" customFormat="1" x14ac:dyDescent="0.2">
      <c r="B31" s="181" t="s">
        <v>270</v>
      </c>
      <c r="F31" s="82" t="s">
        <v>227</v>
      </c>
      <c r="H31" s="119">
        <f>'Berekening huurtarieven'!T50</f>
        <v>3.8852919873117089</v>
      </c>
      <c r="J31" s="176"/>
      <c r="L31" s="230"/>
      <c r="M31" s="78"/>
    </row>
    <row r="32" spans="2:28" s="87" customFormat="1" x14ac:dyDescent="0.2">
      <c r="B32" s="182"/>
      <c r="C32" s="88"/>
      <c r="D32" s="88"/>
      <c r="E32" s="88"/>
      <c r="F32" s="86"/>
      <c r="G32" s="88"/>
      <c r="H32" s="79"/>
      <c r="I32" s="88"/>
      <c r="J32" s="130"/>
      <c r="K32" s="88"/>
      <c r="L32" s="230"/>
      <c r="M32" s="78"/>
      <c r="N32" s="88"/>
      <c r="O32" s="88"/>
      <c r="P32" s="88"/>
    </row>
    <row r="33" spans="1:16" s="87" customFormat="1" x14ac:dyDescent="0.2">
      <c r="B33" s="183" t="s">
        <v>273</v>
      </c>
      <c r="C33" s="88"/>
      <c r="D33" s="88"/>
      <c r="E33" s="88"/>
      <c r="F33" s="86"/>
      <c r="G33" s="88"/>
      <c r="H33" s="79"/>
      <c r="I33" s="88"/>
      <c r="J33" s="130"/>
      <c r="K33" s="88"/>
      <c r="L33" s="230"/>
      <c r="M33" s="78"/>
      <c r="N33" s="88"/>
      <c r="O33" s="88"/>
      <c r="P33" s="88"/>
    </row>
    <row r="34" spans="1:16" s="87" customFormat="1" x14ac:dyDescent="0.2">
      <c r="B34" s="182" t="s">
        <v>334</v>
      </c>
      <c r="C34" s="88"/>
      <c r="D34" s="88"/>
      <c r="E34" s="88"/>
      <c r="F34" s="82" t="s">
        <v>227</v>
      </c>
      <c r="G34" s="88"/>
      <c r="H34" s="111">
        <f>'Berekening huurtarieven'!R49</f>
        <v>65.488544818884762</v>
      </c>
      <c r="I34" s="88"/>
      <c r="J34" s="72"/>
      <c r="K34" s="89"/>
      <c r="L34" s="230"/>
      <c r="M34" s="78"/>
      <c r="N34" s="88"/>
      <c r="O34" s="88"/>
      <c r="P34" s="88"/>
    </row>
    <row r="35" spans="1:16" s="87" customFormat="1" ht="12" customHeight="1" x14ac:dyDescent="0.2">
      <c r="A35" s="150"/>
      <c r="B35" s="184" t="s">
        <v>333</v>
      </c>
      <c r="C35" s="89"/>
      <c r="D35" s="89"/>
      <c r="E35" s="89"/>
      <c r="F35" s="82" t="s">
        <v>227</v>
      </c>
      <c r="G35" s="89"/>
      <c r="H35" s="111">
        <f>'Berekening huurtarieven'!R50</f>
        <v>5.6069109122435172</v>
      </c>
      <c r="I35" s="89"/>
      <c r="J35" s="72"/>
      <c r="K35" s="89" t="s">
        <v>305</v>
      </c>
      <c r="L35" s="230"/>
      <c r="M35" s="90"/>
      <c r="N35" s="89"/>
      <c r="O35" s="89"/>
      <c r="P35" s="89"/>
    </row>
    <row r="36" spans="1:16" s="87" customFormat="1" ht="12" customHeight="1" x14ac:dyDescent="0.2">
      <c r="A36" s="150"/>
      <c r="B36" s="89" t="s">
        <v>335</v>
      </c>
      <c r="C36" s="89"/>
      <c r="D36" s="89"/>
      <c r="E36" s="89"/>
      <c r="F36" s="82" t="s">
        <v>227</v>
      </c>
      <c r="G36" s="89"/>
      <c r="H36" s="120">
        <f>'Berekening huurtarieven'!S49</f>
        <v>385.97349793957613</v>
      </c>
      <c r="I36" s="89"/>
      <c r="J36" s="177"/>
      <c r="K36" s="89"/>
      <c r="L36" s="230"/>
      <c r="M36" s="90"/>
      <c r="N36" s="89"/>
      <c r="O36" s="89"/>
      <c r="P36" s="89"/>
    </row>
    <row r="37" spans="1:16" s="87" customFormat="1" x14ac:dyDescent="0.2">
      <c r="B37" s="184" t="s">
        <v>336</v>
      </c>
      <c r="C37" s="89"/>
      <c r="D37" s="89"/>
      <c r="E37" s="89"/>
      <c r="F37" s="82" t="s">
        <v>227</v>
      </c>
      <c r="G37" s="89"/>
      <c r="H37" s="120">
        <f>'Berekening huurtarieven'!S50</f>
        <v>33.045764315260044</v>
      </c>
      <c r="I37" s="89"/>
      <c r="J37" s="177"/>
      <c r="K37" s="89"/>
      <c r="L37" s="230"/>
      <c r="M37" s="89"/>
      <c r="N37" s="89"/>
      <c r="O37" s="89"/>
      <c r="P37" s="89"/>
    </row>
    <row r="38" spans="1:16" x14ac:dyDescent="0.25">
      <c r="J38" s="10"/>
    </row>
  </sheetData>
  <pageMargins left="0.70866141732283472" right="0.70866141732283472" top="0.74803149606299213" bottom="0.74803149606299213" header="0.31496062992125984" footer="0.31496062992125984"/>
  <pageSetup paperSize="9" scale="52" orientation="landscape" r:id="rId1"/>
  <ignoredErrors>
    <ignoredError sqref="H25:H2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2:P36"/>
  <sheetViews>
    <sheetView showGridLines="0" zoomScaleNormal="100" workbookViewId="0">
      <pane xSplit="6" ySplit="13" topLeftCell="G14" activePane="bottomRight" state="frozen"/>
      <selection pane="topRight"/>
      <selection pane="bottomLeft"/>
      <selection pane="bottomRight"/>
    </sheetView>
  </sheetViews>
  <sheetFormatPr defaultRowHeight="12.75" x14ac:dyDescent="0.25"/>
  <cols>
    <col min="1" max="1" width="3.7109375" style="2" customWidth="1"/>
    <col min="2" max="2" width="41.42578125" style="2" customWidth="1"/>
    <col min="3" max="5" width="4.5703125" style="2" customWidth="1"/>
    <col min="6" max="6" width="13.7109375" style="2" customWidth="1"/>
    <col min="7" max="7" width="2.7109375" style="2" customWidth="1"/>
    <col min="8" max="8" width="13.42578125" style="2" customWidth="1"/>
    <col min="9" max="9" width="13.7109375" style="2" customWidth="1"/>
    <col min="10" max="10" width="11.28515625" style="2" customWidth="1"/>
    <col min="11" max="11" width="13.7109375" style="2" customWidth="1"/>
    <col min="12" max="13" width="11.7109375" style="2" customWidth="1"/>
    <col min="14" max="14" width="12.5703125" style="2" customWidth="1"/>
    <col min="15" max="15" width="22.42578125" style="2" bestFit="1" customWidth="1"/>
    <col min="16" max="16" width="12.5703125" style="2" customWidth="1"/>
    <col min="17" max="31" width="13.7109375" style="2" customWidth="1"/>
    <col min="32" max="16384" width="9.140625" style="2"/>
  </cols>
  <sheetData>
    <row r="2" spans="1:16" s="33" customFormat="1" ht="18" x14ac:dyDescent="0.25">
      <c r="B2" s="33" t="s">
        <v>262</v>
      </c>
    </row>
    <row r="4" spans="1:16" x14ac:dyDescent="0.25">
      <c r="A4" s="1"/>
      <c r="B4" s="1" t="s">
        <v>64</v>
      </c>
      <c r="C4" s="1"/>
      <c r="D4" s="1"/>
    </row>
    <row r="5" spans="1:16" x14ac:dyDescent="0.25">
      <c r="A5" s="1"/>
      <c r="B5" s="40" t="s">
        <v>274</v>
      </c>
      <c r="C5" s="3"/>
      <c r="D5" s="3"/>
      <c r="I5" s="34"/>
    </row>
    <row r="6" spans="1:16" x14ac:dyDescent="0.25">
      <c r="A6" s="1"/>
      <c r="B6" s="40" t="s">
        <v>342</v>
      </c>
      <c r="C6" s="3"/>
      <c r="D6" s="3"/>
      <c r="I6" s="34"/>
    </row>
    <row r="7" spans="1:16" x14ac:dyDescent="0.25">
      <c r="A7" s="40"/>
      <c r="B7" s="40" t="s">
        <v>343</v>
      </c>
      <c r="C7" s="3"/>
      <c r="D7" s="3"/>
      <c r="I7" s="34"/>
    </row>
    <row r="8" spans="1:16" x14ac:dyDescent="0.25">
      <c r="A8" s="40"/>
      <c r="B8" s="40"/>
      <c r="C8" s="3"/>
      <c r="D8" s="3"/>
      <c r="I8" s="34"/>
    </row>
    <row r="9" spans="1:16" x14ac:dyDescent="0.25">
      <c r="A9" s="5"/>
      <c r="B9" s="5" t="s">
        <v>33</v>
      </c>
      <c r="C9" s="3"/>
      <c r="D9" s="3"/>
      <c r="I9" s="34"/>
    </row>
    <row r="10" spans="1:16" x14ac:dyDescent="0.25">
      <c r="A10" s="22"/>
      <c r="B10" s="40" t="s">
        <v>218</v>
      </c>
      <c r="C10" s="3"/>
      <c r="D10" s="3"/>
      <c r="N10" s="71"/>
    </row>
    <row r="11" spans="1:16" x14ac:dyDescent="0.25">
      <c r="A11" s="10"/>
    </row>
    <row r="12" spans="1:16" s="9" customFormat="1" x14ac:dyDescent="0.25">
      <c r="B12" s="9" t="s">
        <v>49</v>
      </c>
      <c r="F12" s="9" t="s">
        <v>30</v>
      </c>
    </row>
    <row r="15" spans="1:16" s="107" customFormat="1" x14ac:dyDescent="0.25">
      <c r="B15" s="107" t="s">
        <v>287</v>
      </c>
      <c r="H15" s="107" t="s">
        <v>31</v>
      </c>
      <c r="I15" s="108" t="s">
        <v>223</v>
      </c>
      <c r="J15" s="108" t="s">
        <v>224</v>
      </c>
      <c r="K15" s="108" t="s">
        <v>225</v>
      </c>
      <c r="L15" s="108" t="s">
        <v>226</v>
      </c>
      <c r="M15" s="109" t="s">
        <v>233</v>
      </c>
      <c r="N15" s="108"/>
      <c r="O15" s="107" t="s">
        <v>50</v>
      </c>
      <c r="P15" s="107" t="s">
        <v>51</v>
      </c>
    </row>
    <row r="16" spans="1:16" s="105" customFormat="1" x14ac:dyDescent="0.25">
      <c r="A16" s="175"/>
      <c r="I16" s="95"/>
      <c r="J16" s="95"/>
      <c r="K16" s="95"/>
      <c r="L16" s="95"/>
      <c r="M16" s="95"/>
      <c r="N16" s="95"/>
    </row>
    <row r="17" spans="1:16" s="81" customFormat="1" ht="13.5" customHeight="1" x14ac:dyDescent="0.25">
      <c r="B17" s="121" t="s">
        <v>250</v>
      </c>
      <c r="C17" s="82"/>
      <c r="D17" s="82"/>
      <c r="E17" s="82"/>
      <c r="F17" s="82"/>
      <c r="G17" s="82"/>
      <c r="H17" s="82"/>
      <c r="I17" s="82"/>
      <c r="J17" s="82"/>
      <c r="K17" s="82"/>
      <c r="L17" s="82"/>
      <c r="M17" s="82"/>
    </row>
    <row r="18" spans="1:16" s="81" customFormat="1" ht="13.5" customHeight="1" x14ac:dyDescent="0.25">
      <c r="B18" s="82" t="s">
        <v>234</v>
      </c>
      <c r="C18" s="82"/>
      <c r="D18" s="82"/>
      <c r="E18" s="82"/>
      <c r="F18" s="82" t="s">
        <v>227</v>
      </c>
      <c r="G18" s="82"/>
      <c r="H18" s="82"/>
      <c r="I18" s="47">
        <v>579.20173739048153</v>
      </c>
      <c r="J18" s="47">
        <v>951.42609528891717</v>
      </c>
      <c r="K18" s="47">
        <v>1119.1803648925991</v>
      </c>
      <c r="L18" s="47">
        <v>961.79375769870205</v>
      </c>
      <c r="M18" s="153">
        <v>1094.7922836735099</v>
      </c>
      <c r="N18" s="104"/>
      <c r="O18" s="40" t="s">
        <v>293</v>
      </c>
      <c r="P18" s="89" t="s">
        <v>341</v>
      </c>
    </row>
    <row r="19" spans="1:16" s="81" customFormat="1" ht="12.75" customHeight="1" x14ac:dyDescent="0.25">
      <c r="B19" s="82" t="s">
        <v>288</v>
      </c>
      <c r="C19" s="82"/>
      <c r="D19" s="82"/>
      <c r="E19" s="82"/>
      <c r="F19" s="82" t="s">
        <v>227</v>
      </c>
      <c r="G19" s="82"/>
      <c r="H19" s="47">
        <v>24.638620679616817</v>
      </c>
      <c r="I19" s="154"/>
      <c r="J19" s="154"/>
      <c r="K19" s="154"/>
      <c r="L19" s="154"/>
      <c r="M19" s="158"/>
      <c r="N19" s="104"/>
      <c r="O19" s="40" t="s">
        <v>293</v>
      </c>
      <c r="P19" s="10"/>
    </row>
    <row r="20" spans="1:16" s="87" customFormat="1" x14ac:dyDescent="0.2">
      <c r="B20" s="89"/>
      <c r="G20" s="89"/>
      <c r="H20" s="89"/>
      <c r="M20" s="158"/>
      <c r="N20" s="89"/>
      <c r="O20" s="89"/>
    </row>
    <row r="21" spans="1:16" s="107" customFormat="1" x14ac:dyDescent="0.25">
      <c r="B21" s="80" t="s">
        <v>286</v>
      </c>
      <c r="F21" s="108"/>
      <c r="I21" s="108" t="s">
        <v>264</v>
      </c>
      <c r="J21" s="108" t="s">
        <v>265</v>
      </c>
      <c r="K21" s="108"/>
      <c r="L21" s="108"/>
      <c r="M21" s="109"/>
      <c r="N21" s="108"/>
      <c r="O21" s="107" t="s">
        <v>50</v>
      </c>
      <c r="P21" s="107" t="s">
        <v>51</v>
      </c>
    </row>
    <row r="22" spans="1:16" x14ac:dyDescent="0.25">
      <c r="F22" s="40"/>
      <c r="I22" s="95"/>
      <c r="J22" s="95"/>
    </row>
    <row r="23" spans="1:16" x14ac:dyDescent="0.25">
      <c r="B23" s="1" t="s">
        <v>258</v>
      </c>
      <c r="F23" s="40"/>
      <c r="I23" s="95"/>
      <c r="J23" s="95"/>
    </row>
    <row r="24" spans="1:16" x14ac:dyDescent="0.2">
      <c r="A24" s="10"/>
      <c r="B24" s="82" t="s">
        <v>234</v>
      </c>
      <c r="F24" s="82" t="s">
        <v>227</v>
      </c>
      <c r="H24" s="47">
        <v>845.04205446397737</v>
      </c>
      <c r="O24" s="40" t="s">
        <v>293</v>
      </c>
    </row>
    <row r="25" spans="1:16" x14ac:dyDescent="0.2">
      <c r="A25" s="10"/>
      <c r="B25" s="82" t="s">
        <v>288</v>
      </c>
      <c r="F25" s="82" t="s">
        <v>227</v>
      </c>
      <c r="H25" s="47">
        <v>15.198162494225574</v>
      </c>
      <c r="L25" s="146"/>
      <c r="O25" s="40" t="s">
        <v>293</v>
      </c>
    </row>
    <row r="26" spans="1:16" x14ac:dyDescent="0.2">
      <c r="A26" s="10"/>
      <c r="B26" s="82" t="s">
        <v>270</v>
      </c>
      <c r="F26" s="82" t="s">
        <v>227</v>
      </c>
      <c r="H26" s="47">
        <v>45.380089398229032</v>
      </c>
      <c r="I26" s="143"/>
      <c r="J26" s="144"/>
      <c r="O26" s="40" t="s">
        <v>293</v>
      </c>
    </row>
    <row r="27" spans="1:16" x14ac:dyDescent="0.25">
      <c r="A27" s="10"/>
      <c r="F27" s="40"/>
      <c r="H27" s="146"/>
      <c r="I27" s="10"/>
      <c r="J27" s="145"/>
      <c r="O27" s="40"/>
    </row>
    <row r="28" spans="1:16" ht="13.5" customHeight="1" x14ac:dyDescent="0.2">
      <c r="B28" s="121" t="s">
        <v>259</v>
      </c>
      <c r="F28" s="82"/>
      <c r="H28" s="146"/>
      <c r="I28" s="127"/>
      <c r="J28" s="128"/>
      <c r="K28" s="78"/>
      <c r="O28" s="40"/>
    </row>
    <row r="29" spans="1:16" ht="13.5" customHeight="1" x14ac:dyDescent="0.2">
      <c r="B29" s="82" t="s">
        <v>234</v>
      </c>
      <c r="F29" s="82" t="s">
        <v>227</v>
      </c>
      <c r="H29" s="47">
        <v>950.39804622597126</v>
      </c>
      <c r="O29" s="40" t="s">
        <v>293</v>
      </c>
    </row>
    <row r="30" spans="1:16" ht="13.5" customHeight="1" x14ac:dyDescent="0.2">
      <c r="B30" s="82" t="s">
        <v>288</v>
      </c>
      <c r="F30" s="82" t="s">
        <v>227</v>
      </c>
      <c r="H30" s="47">
        <v>15.198162494225574</v>
      </c>
      <c r="O30" s="40" t="s">
        <v>293</v>
      </c>
      <c r="P30" s="10"/>
    </row>
    <row r="31" spans="1:16" x14ac:dyDescent="0.25">
      <c r="F31" s="40"/>
      <c r="H31" s="146"/>
    </row>
    <row r="32" spans="1:16" s="107" customFormat="1" x14ac:dyDescent="0.25">
      <c r="B32" s="80" t="s">
        <v>324</v>
      </c>
      <c r="F32" s="108"/>
      <c r="H32" s="147"/>
      <c r="I32" s="108"/>
      <c r="J32" s="108"/>
      <c r="K32" s="108"/>
      <c r="L32" s="108"/>
      <c r="M32" s="109"/>
      <c r="N32" s="108"/>
      <c r="O32" s="107" t="s">
        <v>50</v>
      </c>
      <c r="P32" s="107" t="s">
        <v>51</v>
      </c>
    </row>
    <row r="33" spans="2:15" x14ac:dyDescent="0.25">
      <c r="B33" s="34"/>
      <c r="F33" s="40"/>
      <c r="H33" s="146"/>
    </row>
    <row r="34" spans="2:15" s="81" customFormat="1" ht="15" x14ac:dyDescent="0.25">
      <c r="B34" s="106" t="s">
        <v>228</v>
      </c>
      <c r="F34" s="82"/>
      <c r="H34" s="148"/>
    </row>
    <row r="35" spans="2:15" s="81" customFormat="1" ht="14.25" customHeight="1" x14ac:dyDescent="0.25">
      <c r="B35" s="83" t="s">
        <v>247</v>
      </c>
      <c r="C35" s="84"/>
      <c r="F35" s="82" t="s">
        <v>227</v>
      </c>
      <c r="H35" s="47">
        <v>65.488544818884762</v>
      </c>
      <c r="O35" s="40" t="s">
        <v>293</v>
      </c>
    </row>
    <row r="36" spans="2:15" s="81" customFormat="1" ht="14.25" customHeight="1" x14ac:dyDescent="0.25">
      <c r="B36" s="82" t="s">
        <v>248</v>
      </c>
      <c r="F36" s="82" t="s">
        <v>227</v>
      </c>
      <c r="H36" s="47">
        <v>385.97349793957613</v>
      </c>
      <c r="O36" s="40" t="s">
        <v>293</v>
      </c>
    </row>
  </sheetData>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2:AB51"/>
  <sheetViews>
    <sheetView showGridLines="0" tabSelected="1" zoomScaleNormal="100" workbookViewId="0">
      <pane xSplit="6" ySplit="13" topLeftCell="G14" activePane="bottomRight" state="frozen"/>
      <selection pane="topRight"/>
      <selection pane="bottomLeft"/>
      <selection pane="bottomRight"/>
    </sheetView>
  </sheetViews>
  <sheetFormatPr defaultRowHeight="12.75" x14ac:dyDescent="0.25"/>
  <cols>
    <col min="1" max="1" width="3.7109375" style="2" customWidth="1"/>
    <col min="2" max="2" width="41.42578125" style="2" customWidth="1"/>
    <col min="3" max="5" width="4.5703125" style="2" customWidth="1"/>
    <col min="6" max="6" width="13.7109375" style="2" customWidth="1"/>
    <col min="7" max="7" width="2.7109375" style="2" customWidth="1"/>
    <col min="8" max="8" width="13.28515625" style="2" customWidth="1"/>
    <col min="9" max="9" width="13.7109375" style="2" customWidth="1"/>
    <col min="10" max="10" width="11.28515625" style="2" customWidth="1"/>
    <col min="11" max="11" width="13.7109375" style="2" customWidth="1"/>
    <col min="12" max="12" width="11.7109375" style="2" customWidth="1"/>
    <col min="13" max="14" width="12.5703125" style="2" customWidth="1"/>
    <col min="15" max="29" width="13.7109375" style="2" customWidth="1"/>
    <col min="30" max="16384" width="9.140625" style="2"/>
  </cols>
  <sheetData>
    <row r="2" spans="1:13" s="33" customFormat="1" ht="18" x14ac:dyDescent="0.25">
      <c r="B2" s="33" t="s">
        <v>263</v>
      </c>
    </row>
    <row r="4" spans="1:13" x14ac:dyDescent="0.25">
      <c r="A4" s="1"/>
      <c r="B4" s="1" t="s">
        <v>64</v>
      </c>
      <c r="C4" s="1"/>
      <c r="D4" s="1"/>
    </row>
    <row r="5" spans="1:13" x14ac:dyDescent="0.25">
      <c r="A5" s="1"/>
      <c r="B5" s="40" t="s">
        <v>249</v>
      </c>
      <c r="C5" s="3"/>
      <c r="D5" s="3"/>
      <c r="I5" s="34"/>
    </row>
    <row r="6" spans="1:13" x14ac:dyDescent="0.25">
      <c r="A6" s="40"/>
      <c r="B6" s="40" t="s">
        <v>256</v>
      </c>
      <c r="C6" s="3"/>
      <c r="D6" s="3"/>
      <c r="I6" s="34"/>
    </row>
    <row r="7" spans="1:13" x14ac:dyDescent="0.25">
      <c r="A7" s="40"/>
      <c r="B7" s="40" t="s">
        <v>266</v>
      </c>
      <c r="C7" s="3"/>
      <c r="D7" s="3"/>
      <c r="I7" s="34"/>
    </row>
    <row r="8" spans="1:13" x14ac:dyDescent="0.25">
      <c r="A8" s="40"/>
      <c r="B8" s="40"/>
      <c r="C8" s="3"/>
      <c r="D8" s="3"/>
      <c r="I8" s="34"/>
    </row>
    <row r="9" spans="1:13" x14ac:dyDescent="0.25">
      <c r="A9" s="5"/>
      <c r="B9" s="5" t="s">
        <v>33</v>
      </c>
      <c r="C9" s="3"/>
      <c r="D9" s="3"/>
      <c r="I9" s="34"/>
    </row>
    <row r="10" spans="1:13" x14ac:dyDescent="0.25">
      <c r="A10" s="22"/>
      <c r="B10" s="40" t="s">
        <v>218</v>
      </c>
      <c r="C10" s="3"/>
      <c r="D10" s="3"/>
      <c r="M10" s="71"/>
    </row>
    <row r="12" spans="1:13" s="9" customFormat="1" x14ac:dyDescent="0.25">
      <c r="B12" s="9" t="s">
        <v>49</v>
      </c>
      <c r="F12" s="9" t="s">
        <v>30</v>
      </c>
    </row>
    <row r="15" spans="1:13" s="107" customFormat="1" x14ac:dyDescent="0.25">
      <c r="B15" s="107" t="s">
        <v>234</v>
      </c>
      <c r="H15" s="107" t="s">
        <v>31</v>
      </c>
      <c r="I15" s="108" t="s">
        <v>223</v>
      </c>
      <c r="J15" s="108" t="s">
        <v>224</v>
      </c>
      <c r="K15" s="108" t="s">
        <v>225</v>
      </c>
      <c r="L15" s="108" t="s">
        <v>226</v>
      </c>
      <c r="M15" s="109" t="s">
        <v>233</v>
      </c>
    </row>
    <row r="16" spans="1:13" s="105" customFormat="1" x14ac:dyDescent="0.25">
      <c r="I16" s="95"/>
      <c r="J16" s="95"/>
      <c r="K16" s="95"/>
      <c r="L16" s="95"/>
      <c r="M16" s="95"/>
    </row>
    <row r="17" spans="1:28" s="81" customFormat="1" ht="15" x14ac:dyDescent="0.25">
      <c r="A17" s="141"/>
      <c r="B17" s="82" t="s">
        <v>250</v>
      </c>
      <c r="F17" s="82" t="s">
        <v>227</v>
      </c>
      <c r="I17" s="52">
        <f>'Gegevens t.b.v. huurtarieven'!I18</f>
        <v>579.20173739048153</v>
      </c>
      <c r="J17" s="52">
        <f>'Gegevens t.b.v. huurtarieven'!J18</f>
        <v>951.42609528891717</v>
      </c>
      <c r="K17" s="52">
        <f>'Gegevens t.b.v. huurtarieven'!K18</f>
        <v>1119.1803648925991</v>
      </c>
      <c r="L17" s="52">
        <f>'Gegevens t.b.v. huurtarieven'!L18</f>
        <v>961.79375769870205</v>
      </c>
      <c r="M17" s="52">
        <f>'Gegevens t.b.v. huurtarieven'!M18</f>
        <v>1094.7922836735099</v>
      </c>
      <c r="T17" s="89"/>
    </row>
    <row r="18" spans="1:28" s="81" customFormat="1" ht="14.25" customHeight="1" x14ac:dyDescent="0.25">
      <c r="B18" s="82" t="s">
        <v>258</v>
      </c>
      <c r="F18" s="82" t="s">
        <v>227</v>
      </c>
      <c r="H18" s="52">
        <f>'Gegevens t.b.v. huurtarieven'!H24</f>
        <v>845.04205446397737</v>
      </c>
      <c r="I18" s="113"/>
      <c r="J18" s="113"/>
      <c r="K18" s="113"/>
      <c r="L18" s="113"/>
      <c r="M18" s="104"/>
    </row>
    <row r="19" spans="1:28" s="81" customFormat="1" ht="15" x14ac:dyDescent="0.25">
      <c r="B19" s="82" t="s">
        <v>259</v>
      </c>
      <c r="F19" s="82" t="s">
        <v>227</v>
      </c>
      <c r="H19" s="52">
        <f>'Gegevens t.b.v. huurtarieven'!H29</f>
        <v>950.39804622597126</v>
      </c>
      <c r="I19" s="113"/>
      <c r="J19" s="79"/>
      <c r="K19" s="113"/>
      <c r="L19" s="113"/>
      <c r="M19" s="104"/>
    </row>
    <row r="20" spans="1:28" x14ac:dyDescent="0.25">
      <c r="F20" s="157"/>
    </row>
    <row r="21" spans="1:28" s="81" customFormat="1" ht="15" x14ac:dyDescent="0.25">
      <c r="B21" s="106" t="s">
        <v>346</v>
      </c>
      <c r="F21" s="82"/>
    </row>
    <row r="22" spans="1:28" s="81" customFormat="1" ht="15" x14ac:dyDescent="0.25">
      <c r="B22" s="83" t="s">
        <v>229</v>
      </c>
      <c r="C22" s="84"/>
      <c r="F22" s="82" t="s">
        <v>227</v>
      </c>
      <c r="H22" s="52">
        <f>'Gegevens t.b.v. huurtarieven'!H35</f>
        <v>65.488544818884762</v>
      </c>
    </row>
    <row r="23" spans="1:28" s="81" customFormat="1" ht="15" x14ac:dyDescent="0.25">
      <c r="B23" s="82" t="s">
        <v>230</v>
      </c>
      <c r="F23" s="82" t="s">
        <v>227</v>
      </c>
      <c r="H23" s="52">
        <f>'Gegevens t.b.v. huurtarieven'!H36</f>
        <v>385.97349793957613</v>
      </c>
    </row>
    <row r="24" spans="1:28" s="87" customFormat="1" x14ac:dyDescent="0.2">
      <c r="B24" s="82" t="s">
        <v>270</v>
      </c>
      <c r="C24" s="89"/>
      <c r="D24" s="89"/>
      <c r="E24" s="89"/>
      <c r="F24" s="82" t="s">
        <v>227</v>
      </c>
      <c r="G24" s="89"/>
      <c r="H24" s="52">
        <f>'Gegevens t.b.v. huurtarieven'!H26</f>
        <v>45.380089398229032</v>
      </c>
      <c r="I24" s="89"/>
      <c r="J24" s="89"/>
      <c r="K24" s="89"/>
      <c r="L24" s="89"/>
      <c r="N24" s="89"/>
      <c r="O24" s="89"/>
      <c r="P24" s="89"/>
    </row>
    <row r="26" spans="1:28" s="80" customFormat="1" x14ac:dyDescent="0.25">
      <c r="B26" s="80" t="s">
        <v>244</v>
      </c>
    </row>
    <row r="27" spans="1:28" s="82" customFormat="1" x14ac:dyDescent="0.2"/>
    <row r="28" spans="1:28" s="82" customFormat="1" x14ac:dyDescent="0.2">
      <c r="A28" s="149"/>
      <c r="B28" s="85" t="s">
        <v>93</v>
      </c>
      <c r="D28" s="86"/>
      <c r="E28" s="86"/>
      <c r="F28" s="86" t="s">
        <v>113</v>
      </c>
      <c r="G28" s="86"/>
      <c r="H28" s="136">
        <f>'Gegevens warmteregeling &amp; ACM'!I49</f>
        <v>15</v>
      </c>
      <c r="I28" s="86"/>
      <c r="J28" s="86"/>
      <c r="K28" s="86"/>
      <c r="L28" s="86"/>
      <c r="N28" s="86"/>
      <c r="O28" s="86"/>
      <c r="P28" s="86"/>
      <c r="Q28" s="86"/>
      <c r="R28" s="86"/>
      <c r="S28" s="86"/>
      <c r="T28" s="86"/>
      <c r="U28" s="86"/>
      <c r="V28" s="86"/>
      <c r="W28" s="86"/>
      <c r="X28" s="86"/>
      <c r="Y28" s="86"/>
      <c r="Z28" s="86"/>
      <c r="AA28" s="86"/>
      <c r="AB28" s="86"/>
    </row>
    <row r="29" spans="1:28" s="87" customFormat="1" x14ac:dyDescent="0.2">
      <c r="B29" s="85" t="s">
        <v>231</v>
      </c>
      <c r="F29" s="87" t="s">
        <v>81</v>
      </c>
      <c r="H29" s="134">
        <f>'Gegevens warmteregeling &amp; ACM'!I28</f>
        <v>3.7900000000000003E-2</v>
      </c>
    </row>
    <row r="30" spans="1:28" s="87" customFormat="1" x14ac:dyDescent="0.2">
      <c r="A30" s="150"/>
      <c r="B30" s="89" t="s">
        <v>245</v>
      </c>
      <c r="C30" s="89"/>
      <c r="D30" s="89"/>
      <c r="E30" s="89"/>
      <c r="F30" s="89" t="s">
        <v>227</v>
      </c>
      <c r="G30" s="89"/>
      <c r="H30" s="52">
        <f>'Gegevens t.b.v. huurtarieven'!H19</f>
        <v>24.638620679616817</v>
      </c>
      <c r="I30" s="89"/>
      <c r="J30" s="89"/>
      <c r="K30" s="89"/>
      <c r="L30" s="89"/>
      <c r="N30" s="89"/>
      <c r="O30" s="89"/>
      <c r="P30" s="89"/>
    </row>
    <row r="31" spans="1:28" s="87" customFormat="1" x14ac:dyDescent="0.2">
      <c r="A31" s="150"/>
      <c r="B31" s="89" t="s">
        <v>246</v>
      </c>
      <c r="C31" s="89"/>
      <c r="D31" s="89"/>
      <c r="E31" s="89"/>
      <c r="F31" s="89" t="s">
        <v>227</v>
      </c>
      <c r="G31" s="89"/>
      <c r="H31" s="52">
        <f>'Gegevens t.b.v. huurtarieven'!H25</f>
        <v>15.198162494225574</v>
      </c>
      <c r="I31" s="89"/>
      <c r="J31" s="89"/>
      <c r="K31" s="89"/>
      <c r="L31" s="89"/>
      <c r="N31" s="89"/>
      <c r="O31" s="89"/>
      <c r="P31" s="89"/>
    </row>
    <row r="32" spans="1:28" s="87" customFormat="1" x14ac:dyDescent="0.2">
      <c r="B32" s="89"/>
      <c r="G32" s="89"/>
    </row>
    <row r="33" spans="1:20" s="80" customFormat="1" x14ac:dyDescent="0.25">
      <c r="B33" s="80" t="s">
        <v>235</v>
      </c>
      <c r="I33" s="80" t="s">
        <v>223</v>
      </c>
      <c r="J33" s="80" t="s">
        <v>224</v>
      </c>
      <c r="K33" s="80" t="s">
        <v>225</v>
      </c>
      <c r="L33" s="80" t="s">
        <v>226</v>
      </c>
      <c r="M33" s="110" t="s">
        <v>233</v>
      </c>
      <c r="O33" s="80" t="s">
        <v>264</v>
      </c>
      <c r="P33" s="80" t="s">
        <v>265</v>
      </c>
      <c r="R33" s="80" t="s">
        <v>268</v>
      </c>
      <c r="S33" s="80" t="s">
        <v>269</v>
      </c>
      <c r="T33" s="80" t="s">
        <v>337</v>
      </c>
    </row>
    <row r="34" spans="1:20" s="87" customFormat="1" x14ac:dyDescent="0.2">
      <c r="B34" s="92"/>
      <c r="C34" s="92"/>
      <c r="I34" s="93"/>
      <c r="J34" s="93"/>
      <c r="K34" s="93"/>
      <c r="L34" s="93"/>
      <c r="O34" s="2"/>
      <c r="P34" s="2"/>
      <c r="R34" s="2"/>
      <c r="S34" s="2"/>
    </row>
    <row r="35" spans="1:20" s="87" customFormat="1" x14ac:dyDescent="0.2">
      <c r="B35" s="86" t="s">
        <v>163</v>
      </c>
      <c r="C35" s="88"/>
      <c r="F35" s="86" t="s">
        <v>227</v>
      </c>
      <c r="I35" s="91">
        <f>I17</f>
        <v>579.20173739048153</v>
      </c>
      <c r="J35" s="91">
        <f>J17</f>
        <v>951.42609528891717</v>
      </c>
      <c r="K35" s="91">
        <f>K17</f>
        <v>1119.1803648925991</v>
      </c>
      <c r="L35" s="91">
        <f>L17</f>
        <v>961.79375769870205</v>
      </c>
      <c r="M35" s="91">
        <f>M17</f>
        <v>1094.7922836735099</v>
      </c>
      <c r="N35" s="125"/>
      <c r="O35" s="126">
        <v>845.04</v>
      </c>
      <c r="P35" s="126">
        <f>H19</f>
        <v>950.39804622597126</v>
      </c>
      <c r="Q35" s="125"/>
      <c r="R35" s="126">
        <f>H22</f>
        <v>65.488544818884762</v>
      </c>
      <c r="S35" s="126">
        <f>H23</f>
        <v>385.97349793957613</v>
      </c>
      <c r="T35" s="126">
        <f>H24</f>
        <v>45.380089398229032</v>
      </c>
    </row>
    <row r="36" spans="1:20" s="87" customFormat="1" x14ac:dyDescent="0.2">
      <c r="B36" s="87" t="s">
        <v>236</v>
      </c>
      <c r="F36" s="86" t="s">
        <v>227</v>
      </c>
      <c r="I36" s="94">
        <f>I35/H28</f>
        <v>38.613449159365437</v>
      </c>
      <c r="J36" s="94">
        <f>J35/H28</f>
        <v>63.428406352594479</v>
      </c>
      <c r="K36" s="94">
        <f>K35/H28</f>
        <v>74.61202432617327</v>
      </c>
      <c r="L36" s="94">
        <f>L35/H28</f>
        <v>64.119583846580142</v>
      </c>
      <c r="M36" s="94">
        <f>M35/H28</f>
        <v>72.986152244900666</v>
      </c>
      <c r="O36" s="94">
        <f>O35/H28</f>
        <v>56.335999999999999</v>
      </c>
      <c r="P36" s="94">
        <f>P35/H28</f>
        <v>63.359869748398083</v>
      </c>
      <c r="R36" s="94">
        <f>R35/H28</f>
        <v>4.3659029879256508</v>
      </c>
      <c r="S36" s="94">
        <f>S35/H28</f>
        <v>25.731566529305077</v>
      </c>
      <c r="T36" s="94">
        <f>T35/H28</f>
        <v>3.0253392932152687</v>
      </c>
    </row>
    <row r="37" spans="1:20" s="95" customFormat="1" x14ac:dyDescent="0.25">
      <c r="A37" s="151"/>
      <c r="B37" s="96" t="s">
        <v>237</v>
      </c>
      <c r="F37" s="86" t="s">
        <v>113</v>
      </c>
      <c r="H37" s="137">
        <f>H28/2</f>
        <v>7.5</v>
      </c>
      <c r="J37" s="142"/>
      <c r="K37" s="142"/>
      <c r="L37" s="142"/>
      <c r="M37" s="142"/>
      <c r="O37" s="142"/>
      <c r="P37" s="142"/>
      <c r="Q37" s="151"/>
      <c r="R37" s="142"/>
      <c r="S37" s="142"/>
    </row>
    <row r="38" spans="1:20" s="87" customFormat="1" x14ac:dyDescent="0.2">
      <c r="B38" s="87" t="s">
        <v>238</v>
      </c>
      <c r="F38" s="86" t="s">
        <v>227</v>
      </c>
      <c r="I38" s="97">
        <f>I36*H37</f>
        <v>289.60086869524076</v>
      </c>
      <c r="J38" s="97">
        <f>J36*H37</f>
        <v>475.71304764445858</v>
      </c>
      <c r="K38" s="97">
        <f>K36*H37</f>
        <v>559.59018244629954</v>
      </c>
      <c r="L38" s="97">
        <f>L36*H37</f>
        <v>480.89687884935108</v>
      </c>
      <c r="M38" s="97">
        <f>M36*H37</f>
        <v>547.39614183675496</v>
      </c>
      <c r="O38" s="97">
        <f>O36*H37</f>
        <v>422.52</v>
      </c>
      <c r="P38" s="97">
        <f>P36*H37</f>
        <v>475.19902311298563</v>
      </c>
      <c r="R38" s="97">
        <f>R36*H37</f>
        <v>32.744272409442381</v>
      </c>
      <c r="S38" s="97">
        <f>S36*H37</f>
        <v>192.98674896978807</v>
      </c>
      <c r="T38" s="97">
        <f>T36*H37</f>
        <v>22.690044699114516</v>
      </c>
    </row>
    <row r="39" spans="1:20" s="86" customFormat="1" x14ac:dyDescent="0.25">
      <c r="B39" s="98" t="s">
        <v>239</v>
      </c>
      <c r="F39" s="86" t="s">
        <v>227</v>
      </c>
      <c r="I39" s="97">
        <f>I38*H29</f>
        <v>10.975872923549625</v>
      </c>
      <c r="J39" s="97">
        <f>J38*H29</f>
        <v>18.029524505724982</v>
      </c>
      <c r="K39" s="97">
        <f>K38*H29</f>
        <v>21.208467914714753</v>
      </c>
      <c r="L39" s="97">
        <f>L38*H29</f>
        <v>18.225991708390406</v>
      </c>
      <c r="M39" s="97">
        <f>M38*H29</f>
        <v>20.746313775613014</v>
      </c>
      <c r="O39" s="97">
        <f>O38*H29</f>
        <v>16.013508000000002</v>
      </c>
      <c r="P39" s="97">
        <f>P38*H29</f>
        <v>18.010042975982156</v>
      </c>
      <c r="R39" s="97">
        <f>R38*H29</f>
        <v>1.2410079243178664</v>
      </c>
      <c r="S39" s="97">
        <f>S38*H29</f>
        <v>7.3141977859549687</v>
      </c>
      <c r="T39" s="97">
        <f>T38*H29</f>
        <v>0.85995269409644026</v>
      </c>
    </row>
    <row r="40" spans="1:20" s="87" customFormat="1" x14ac:dyDescent="0.2">
      <c r="B40" s="87" t="s">
        <v>240</v>
      </c>
      <c r="F40" s="86" t="s">
        <v>227</v>
      </c>
      <c r="I40" s="99">
        <f>I36+I39</f>
        <v>49.589322082915061</v>
      </c>
      <c r="J40" s="99">
        <f>J36+J39</f>
        <v>81.457930858319457</v>
      </c>
      <c r="K40" s="99">
        <f>K36+K39</f>
        <v>95.820492240888029</v>
      </c>
      <c r="L40" s="99">
        <f>L36+L39</f>
        <v>82.345575554970551</v>
      </c>
      <c r="M40" s="99">
        <f>M36+M39</f>
        <v>93.732466020513684</v>
      </c>
      <c r="O40" s="99">
        <f>O36+O39</f>
        <v>72.349508</v>
      </c>
      <c r="P40" s="99">
        <f>P36+P39</f>
        <v>81.369912724380242</v>
      </c>
      <c r="R40" s="99">
        <f>R36+R39</f>
        <v>5.6069109122435172</v>
      </c>
      <c r="S40" s="99">
        <f>S36+S39</f>
        <v>33.045764315260044</v>
      </c>
      <c r="T40" s="99">
        <f>T36+T39</f>
        <v>3.8852919873117089</v>
      </c>
    </row>
    <row r="41" spans="1:20" s="87" customFormat="1" x14ac:dyDescent="0.2">
      <c r="B41" s="100"/>
      <c r="C41" s="92"/>
      <c r="D41" s="92"/>
      <c r="E41" s="92"/>
      <c r="I41" s="101"/>
      <c r="J41" s="101"/>
      <c r="K41" s="101"/>
      <c r="L41" s="101"/>
      <c r="M41" s="101"/>
      <c r="O41" s="101"/>
      <c r="P41" s="101"/>
      <c r="R41" s="102"/>
      <c r="S41" s="102"/>
    </row>
    <row r="42" spans="1:20" s="87" customFormat="1" x14ac:dyDescent="0.2">
      <c r="B42" s="86" t="s">
        <v>232</v>
      </c>
      <c r="C42" s="88"/>
      <c r="D42" s="88"/>
      <c r="E42" s="88"/>
      <c r="F42" s="86" t="s">
        <v>227</v>
      </c>
      <c r="I42" s="91">
        <f>$H$30</f>
        <v>24.638620679616817</v>
      </c>
      <c r="J42" s="91">
        <f>$H$30</f>
        <v>24.638620679616817</v>
      </c>
      <c r="K42" s="91">
        <f>$H$30</f>
        <v>24.638620679616817</v>
      </c>
      <c r="L42" s="91">
        <f>$H$30</f>
        <v>24.638620679616817</v>
      </c>
      <c r="M42" s="91">
        <f>$H$30</f>
        <v>24.638620679616817</v>
      </c>
      <c r="O42" s="91">
        <f>H31</f>
        <v>15.198162494225574</v>
      </c>
      <c r="P42" s="91">
        <f>H31</f>
        <v>15.198162494225574</v>
      </c>
      <c r="R42" s="112"/>
      <c r="S42" s="112"/>
      <c r="T42" s="112"/>
    </row>
    <row r="43" spans="1:20" s="87" customFormat="1" x14ac:dyDescent="0.2">
      <c r="B43" s="89"/>
      <c r="C43" s="89"/>
      <c r="D43" s="89"/>
      <c r="E43" s="89"/>
      <c r="I43" s="102"/>
      <c r="J43" s="102"/>
      <c r="K43" s="102"/>
      <c r="L43" s="102"/>
      <c r="M43" s="102"/>
      <c r="O43" s="102"/>
      <c r="P43" s="102"/>
    </row>
    <row r="44" spans="1:20" s="87" customFormat="1" x14ac:dyDescent="0.2">
      <c r="A44" s="150"/>
      <c r="B44" s="89" t="s">
        <v>328</v>
      </c>
      <c r="F44" s="86" t="s">
        <v>227</v>
      </c>
      <c r="I44" s="103">
        <f>I40+I42</f>
        <v>74.227942762531882</v>
      </c>
      <c r="J44" s="103">
        <f t="shared" ref="J44:L44" si="0">J40+J42</f>
        <v>106.09655153793628</v>
      </c>
      <c r="K44" s="103">
        <f t="shared" si="0"/>
        <v>120.45911292050485</v>
      </c>
      <c r="L44" s="103">
        <f t="shared" si="0"/>
        <v>106.98419623458737</v>
      </c>
      <c r="M44" s="103">
        <f t="shared" ref="M44" si="1">M40+M42</f>
        <v>118.3710867001305</v>
      </c>
      <c r="O44" s="103">
        <f>O40+O42</f>
        <v>87.547670494225571</v>
      </c>
      <c r="P44" s="103">
        <f>P40+P42</f>
        <v>96.568075218605813</v>
      </c>
      <c r="R44" s="169"/>
      <c r="S44" s="169"/>
      <c r="T44" s="169"/>
    </row>
    <row r="45" spans="1:20" s="87" customFormat="1" x14ac:dyDescent="0.2">
      <c r="I45" s="124"/>
      <c r="J45" s="124"/>
      <c r="K45" s="124"/>
      <c r="L45" s="124"/>
      <c r="M45" s="124"/>
      <c r="O45" s="124"/>
      <c r="P45" s="124"/>
      <c r="R45" s="124"/>
      <c r="S45" s="124"/>
    </row>
    <row r="46" spans="1:20" s="80" customFormat="1" x14ac:dyDescent="0.25">
      <c r="B46" s="80" t="s">
        <v>267</v>
      </c>
      <c r="I46" s="80" t="s">
        <v>223</v>
      </c>
      <c r="J46" s="80" t="s">
        <v>224</v>
      </c>
      <c r="K46" s="80" t="s">
        <v>225</v>
      </c>
      <c r="L46" s="80" t="s">
        <v>226</v>
      </c>
      <c r="M46" s="110" t="s">
        <v>233</v>
      </c>
      <c r="R46" s="80" t="s">
        <v>268</v>
      </c>
      <c r="S46" s="80" t="s">
        <v>269</v>
      </c>
      <c r="T46" s="80" t="s">
        <v>337</v>
      </c>
    </row>
    <row r="48" spans="1:20" s="121" customFormat="1" x14ac:dyDescent="0.2">
      <c r="B48" s="121" t="s">
        <v>260</v>
      </c>
      <c r="O48" s="2"/>
      <c r="P48" s="2"/>
    </row>
    <row r="49" spans="1:20" s="121" customFormat="1" x14ac:dyDescent="0.2">
      <c r="B49" s="82" t="s">
        <v>327</v>
      </c>
      <c r="F49" s="2" t="s">
        <v>227</v>
      </c>
      <c r="I49" s="51">
        <f>I35-$J$35</f>
        <v>-372.22435789843564</v>
      </c>
      <c r="J49" s="112"/>
      <c r="K49" s="51">
        <f>K35-$J$35</f>
        <v>167.75426960368191</v>
      </c>
      <c r="L49" s="51">
        <f>L35-$J$35</f>
        <v>10.367662409784884</v>
      </c>
      <c r="M49" s="51">
        <f>M35-$J$35</f>
        <v>143.36618838459276</v>
      </c>
      <c r="O49" s="2"/>
      <c r="P49" s="2"/>
      <c r="R49" s="52">
        <f>R35</f>
        <v>65.488544818884762</v>
      </c>
      <c r="S49" s="52">
        <f>S35</f>
        <v>385.97349793957613</v>
      </c>
      <c r="T49" s="52">
        <f>T35</f>
        <v>45.380089398229032</v>
      </c>
    </row>
    <row r="50" spans="1:20" ht="12" customHeight="1" x14ac:dyDescent="0.25">
      <c r="A50" s="141"/>
      <c r="B50" s="2" t="s">
        <v>326</v>
      </c>
      <c r="F50" s="2" t="s">
        <v>227</v>
      </c>
      <c r="I50" s="51">
        <f>I40-J40</f>
        <v>-31.868608775404397</v>
      </c>
      <c r="J50" s="112"/>
      <c r="K50" s="51">
        <f>K40-J40</f>
        <v>14.362561382568572</v>
      </c>
      <c r="L50" s="51">
        <f>L40-J40</f>
        <v>0.88764469665109402</v>
      </c>
      <c r="M50" s="94">
        <f>M40-J40</f>
        <v>12.274535162194226</v>
      </c>
      <c r="R50" s="52">
        <f>R40</f>
        <v>5.6069109122435172</v>
      </c>
      <c r="S50" s="52">
        <f>S40</f>
        <v>33.045764315260044</v>
      </c>
      <c r="T50" s="52">
        <f>T40</f>
        <v>3.8852919873117089</v>
      </c>
    </row>
    <row r="51" spans="1:20" x14ac:dyDescent="0.25">
      <c r="B51" s="2" t="s">
        <v>325</v>
      </c>
      <c r="F51" s="2" t="s">
        <v>227</v>
      </c>
      <c r="O51" s="130"/>
      <c r="P51" s="169"/>
    </row>
  </sheetData>
  <pageMargins left="0.70866141732283472" right="0.70866141732283472" top="0.74803149606299213" bottom="0.74803149606299213" header="0.31496062992125984" footer="0.31496062992125984"/>
  <pageSetup paperSize="9"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
  <sheetViews>
    <sheetView showGridLines="0" zoomScaleNormal="100" workbookViewId="0"/>
  </sheetViews>
  <sheetFormatPr defaultRowHeight="12.75" x14ac:dyDescent="0.25"/>
  <cols>
    <col min="1" max="16384" width="9.140625" style="38"/>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pageSetUpPr fitToPage="1"/>
  </sheetPr>
  <dimension ref="A2:AA51"/>
  <sheetViews>
    <sheetView showGridLines="0" zoomScaleNormal="100" workbookViewId="0">
      <pane xSplit="6" ySplit="12" topLeftCell="G13" activePane="bottomRight" state="frozen"/>
      <selection pane="topRight"/>
      <selection pane="bottomLeft"/>
      <selection pane="bottomRight"/>
    </sheetView>
  </sheetViews>
  <sheetFormatPr defaultRowHeight="12.75" x14ac:dyDescent="0.25"/>
  <cols>
    <col min="1" max="1" width="3.7109375" style="2" customWidth="1"/>
    <col min="2" max="2" width="41.42578125" style="2" customWidth="1"/>
    <col min="3" max="5" width="4.5703125" style="2" customWidth="1"/>
    <col min="6" max="6" width="20.570312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5" width="12.5703125" style="2" customWidth="1"/>
    <col min="16" max="18" width="2.7109375" style="2" customWidth="1"/>
    <col min="19" max="33" width="13.7109375" style="2" customWidth="1"/>
    <col min="34" max="16384" width="9.140625" style="2"/>
  </cols>
  <sheetData>
    <row r="2" spans="1:19" s="33" customFormat="1" ht="18" x14ac:dyDescent="0.25">
      <c r="B2" s="33" t="s">
        <v>357</v>
      </c>
    </row>
    <row r="4" spans="1:19" x14ac:dyDescent="0.25">
      <c r="A4" s="1"/>
      <c r="B4" s="1" t="s">
        <v>64</v>
      </c>
      <c r="C4" s="1"/>
      <c r="D4" s="1"/>
    </row>
    <row r="5" spans="1:19" x14ac:dyDescent="0.25">
      <c r="A5" s="1"/>
      <c r="B5" s="40" t="s">
        <v>275</v>
      </c>
      <c r="C5" s="3"/>
      <c r="D5" s="3"/>
      <c r="H5" s="34"/>
    </row>
    <row r="6" spans="1:19" x14ac:dyDescent="0.25">
      <c r="A6" s="40"/>
      <c r="B6" s="40"/>
      <c r="C6" s="3"/>
      <c r="D6" s="3"/>
      <c r="H6" s="34"/>
    </row>
    <row r="7" spans="1:19" x14ac:dyDescent="0.25">
      <c r="A7" s="40"/>
      <c r="B7" s="40"/>
      <c r="C7" s="3"/>
      <c r="D7" s="3"/>
      <c r="H7" s="34"/>
    </row>
    <row r="8" spans="1:19" x14ac:dyDescent="0.25">
      <c r="A8" s="5"/>
      <c r="B8" s="5" t="s">
        <v>33</v>
      </c>
      <c r="C8" s="3"/>
      <c r="D8" s="3"/>
      <c r="H8" s="34"/>
    </row>
    <row r="9" spans="1:19" x14ac:dyDescent="0.25">
      <c r="A9" s="22"/>
      <c r="B9" s="40" t="s">
        <v>276</v>
      </c>
      <c r="C9" s="3"/>
      <c r="D9" s="3"/>
      <c r="L9" s="71"/>
    </row>
    <row r="11" spans="1:19" s="9" customFormat="1" x14ac:dyDescent="0.25">
      <c r="B11" s="9" t="s">
        <v>49</v>
      </c>
      <c r="F11" s="9" t="s">
        <v>30</v>
      </c>
      <c r="H11" s="9" t="s">
        <v>31</v>
      </c>
      <c r="J11" s="9" t="s">
        <v>53</v>
      </c>
      <c r="L11" s="9" t="s">
        <v>104</v>
      </c>
      <c r="M11" s="9" t="s">
        <v>105</v>
      </c>
      <c r="N11" s="9" t="s">
        <v>106</v>
      </c>
      <c r="O11" s="9" t="s">
        <v>107</v>
      </c>
      <c r="S11" s="9" t="s">
        <v>51</v>
      </c>
    </row>
    <row r="13" spans="1:19" s="9" customFormat="1" x14ac:dyDescent="0.25">
      <c r="B13" s="9" t="s">
        <v>109</v>
      </c>
    </row>
    <row r="14" spans="1:19" x14ac:dyDescent="0.25">
      <c r="A14" s="10"/>
    </row>
    <row r="15" spans="1:19" x14ac:dyDescent="0.25">
      <c r="A15" s="1"/>
      <c r="B15" s="1" t="s">
        <v>172</v>
      </c>
    </row>
    <row r="16" spans="1:19" x14ac:dyDescent="0.25">
      <c r="A16" s="61"/>
      <c r="B16" s="60" t="s">
        <v>175</v>
      </c>
      <c r="F16" s="2" t="s">
        <v>300</v>
      </c>
      <c r="L16" s="52">
        <f>'Vaste kosten verbruik'!L70</f>
        <v>184.51340616292737</v>
      </c>
      <c r="M16" s="52">
        <f>'Vaste kosten verbruik'!L73</f>
        <v>92.256703081463684</v>
      </c>
      <c r="N16" s="66"/>
      <c r="O16" s="52">
        <f>'Vaste kosten verbruik'!L73</f>
        <v>92.256703081463684</v>
      </c>
    </row>
    <row r="17" spans="1:27" x14ac:dyDescent="0.25">
      <c r="A17" s="10"/>
    </row>
    <row r="18" spans="1:27" x14ac:dyDescent="0.25">
      <c r="A18" s="138"/>
      <c r="B18" s="1" t="s">
        <v>108</v>
      </c>
    </row>
    <row r="19" spans="1:27" x14ac:dyDescent="0.25">
      <c r="A19" s="10"/>
      <c r="B19" s="40" t="s">
        <v>186</v>
      </c>
      <c r="F19" s="2" t="s">
        <v>300</v>
      </c>
      <c r="L19" s="52">
        <f>'Vaste kosten verbruik'!$L$103</f>
        <v>204.36260012873041</v>
      </c>
      <c r="M19" s="52">
        <f>'Vaste kosten verbruik'!$L$104</f>
        <v>102.1813000643652</v>
      </c>
      <c r="N19" s="66"/>
      <c r="O19" s="52">
        <f>'Vaste kosten verbruik'!$L$104</f>
        <v>102.1813000643652</v>
      </c>
    </row>
    <row r="20" spans="1:27" x14ac:dyDescent="0.25">
      <c r="A20" s="10"/>
      <c r="B20" s="40"/>
    </row>
    <row r="21" spans="1:27" x14ac:dyDescent="0.25">
      <c r="A21" s="10"/>
      <c r="B21" s="40" t="s">
        <v>137</v>
      </c>
      <c r="F21" s="2" t="s">
        <v>300</v>
      </c>
      <c r="L21" s="50">
        <f>L16+L19</f>
        <v>388.87600629165775</v>
      </c>
      <c r="M21" s="50">
        <f>M16+M19</f>
        <v>194.43800314582887</v>
      </c>
      <c r="N21" s="50">
        <f>'Vaste kosten verbruik'!L109</f>
        <v>215.73264714267773</v>
      </c>
      <c r="O21" s="50">
        <f>O16+O19</f>
        <v>194.43800314582887</v>
      </c>
      <c r="X21" s="228"/>
      <c r="Y21" s="228"/>
      <c r="Z21" s="228"/>
      <c r="AA21" s="228"/>
    </row>
    <row r="22" spans="1:27" x14ac:dyDescent="0.25">
      <c r="A22" s="10"/>
      <c r="B22" s="2" t="s">
        <v>159</v>
      </c>
      <c r="F22" s="2" t="s">
        <v>300</v>
      </c>
      <c r="L22" s="66"/>
      <c r="M22" s="66"/>
      <c r="N22" s="50">
        <f>'Vaste kosten verbruik'!L110</f>
        <v>54.586244064396702</v>
      </c>
      <c r="O22" s="66"/>
      <c r="X22" s="228"/>
      <c r="Y22" s="228"/>
      <c r="Z22" s="228"/>
      <c r="AA22" s="228"/>
    </row>
    <row r="24" spans="1:27" s="9" customFormat="1" x14ac:dyDescent="0.25">
      <c r="B24" s="9" t="s">
        <v>110</v>
      </c>
    </row>
    <row r="25" spans="1:27" x14ac:dyDescent="0.25">
      <c r="N25" s="10"/>
      <c r="P25" s="10"/>
      <c r="Q25" s="10"/>
    </row>
    <row r="26" spans="1:27" x14ac:dyDescent="0.25">
      <c r="A26" s="10"/>
      <c r="B26" s="2" t="s">
        <v>359</v>
      </c>
      <c r="F26" s="2" t="s">
        <v>321</v>
      </c>
      <c r="L26" s="50">
        <f>'Variabele kosten verbruik'!J37</f>
        <v>21.544220252140331</v>
      </c>
      <c r="M26" s="50">
        <f>'Variabele kosten verbruik'!J37</f>
        <v>21.544220252140331</v>
      </c>
      <c r="N26" s="66"/>
      <c r="O26" s="50">
        <f>'Variabele kosten verbruik'!J37</f>
        <v>21.544220252140331</v>
      </c>
      <c r="P26" s="155"/>
      <c r="Q26" s="10"/>
      <c r="X26" s="228"/>
      <c r="Y26" s="228"/>
      <c r="Z26" s="228"/>
      <c r="AA26" s="228"/>
    </row>
    <row r="28" spans="1:27" s="9" customFormat="1" x14ac:dyDescent="0.25">
      <c r="B28" s="9" t="s">
        <v>111</v>
      </c>
    </row>
    <row r="29" spans="1:27" x14ac:dyDescent="0.25">
      <c r="M29" s="10"/>
      <c r="O29" s="10"/>
    </row>
    <row r="30" spans="1:27" x14ac:dyDescent="0.25">
      <c r="A30" s="10"/>
      <c r="B30" s="72" t="s">
        <v>191</v>
      </c>
      <c r="F30" s="2" t="s">
        <v>300</v>
      </c>
      <c r="H30" s="50">
        <f>'Vaste kosten verbruik'!$L$115</f>
        <v>195.70479059504135</v>
      </c>
      <c r="I30" s="155"/>
      <c r="J30" s="2">
        <v>195.70479059504135</v>
      </c>
      <c r="M30" s="130"/>
      <c r="N30" s="130"/>
      <c r="O30" s="130"/>
    </row>
    <row r="31" spans="1:27" x14ac:dyDescent="0.25">
      <c r="A31" s="10"/>
      <c r="B31" s="72" t="s">
        <v>190</v>
      </c>
      <c r="F31" s="2" t="s">
        <v>300</v>
      </c>
      <c r="H31" s="50">
        <f>'Vaste kosten verbruik'!$L$116</f>
        <v>47.593645928528929</v>
      </c>
      <c r="I31" s="155"/>
      <c r="J31" s="2">
        <v>47.593645928528929</v>
      </c>
      <c r="M31" s="130"/>
      <c r="N31" s="130"/>
      <c r="O31" s="130"/>
    </row>
    <row r="33" spans="1:15" s="9" customFormat="1" x14ac:dyDescent="0.25">
      <c r="B33" s="9" t="s">
        <v>188</v>
      </c>
    </row>
    <row r="34" spans="1:15" x14ac:dyDescent="0.25">
      <c r="A34" s="10"/>
    </row>
    <row r="35" spans="1:15" x14ac:dyDescent="0.25">
      <c r="A35" s="10"/>
      <c r="B35" s="1" t="s">
        <v>82</v>
      </c>
    </row>
    <row r="36" spans="1:15" x14ac:dyDescent="0.25">
      <c r="A36" s="10"/>
      <c r="B36" s="72" t="s">
        <v>183</v>
      </c>
      <c r="F36" s="2" t="s">
        <v>227</v>
      </c>
      <c r="H36" s="52">
        <f>'Vaste kosten verbruik'!$N$86</f>
        <v>4123.0293667679998</v>
      </c>
      <c r="M36" s="130"/>
      <c r="N36" s="131"/>
      <c r="O36" s="130"/>
    </row>
    <row r="37" spans="1:15" x14ac:dyDescent="0.25">
      <c r="M37" s="10"/>
      <c r="N37" s="10"/>
      <c r="O37" s="10"/>
    </row>
    <row r="38" spans="1:15" x14ac:dyDescent="0.25">
      <c r="B38" s="1" t="s">
        <v>138</v>
      </c>
      <c r="M38" s="10"/>
      <c r="N38" s="10"/>
      <c r="O38" s="10"/>
    </row>
    <row r="39" spans="1:15" x14ac:dyDescent="0.25">
      <c r="A39" s="10"/>
      <c r="B39" s="40" t="s">
        <v>186</v>
      </c>
      <c r="F39" s="2" t="s">
        <v>227</v>
      </c>
      <c r="H39" s="52">
        <f>'Vaste kosten verbruik'!$N$103</f>
        <v>3876.8782132668102</v>
      </c>
      <c r="M39" s="130"/>
      <c r="N39" s="131"/>
      <c r="O39" s="130"/>
    </row>
    <row r="40" spans="1:15" x14ac:dyDescent="0.25">
      <c r="B40" s="40"/>
    </row>
    <row r="41" spans="1:15" x14ac:dyDescent="0.25">
      <c r="B41" s="1" t="s">
        <v>188</v>
      </c>
      <c r="O41" s="72"/>
    </row>
    <row r="42" spans="1:15" x14ac:dyDescent="0.25">
      <c r="B42" s="40" t="s">
        <v>187</v>
      </c>
      <c r="L42" s="67"/>
      <c r="M42" s="52">
        <f>'Vaste kosten verbruik'!H24</f>
        <v>0.5</v>
      </c>
      <c r="N42" s="67"/>
      <c r="O42" s="52">
        <f>'Vaste kosten verbruik'!H24</f>
        <v>0.5</v>
      </c>
    </row>
    <row r="43" spans="1:15" x14ac:dyDescent="0.25">
      <c r="A43" s="10"/>
      <c r="B43" s="40" t="s">
        <v>137</v>
      </c>
      <c r="F43" s="2" t="s">
        <v>227</v>
      </c>
      <c r="L43" s="51">
        <f>H36+H39</f>
        <v>7999.9075800348101</v>
      </c>
      <c r="M43" s="51">
        <f>(H36+H39)*M42</f>
        <v>3999.953790017405</v>
      </c>
      <c r="N43" s="66"/>
      <c r="O43" s="51">
        <f>(H36+H39)*O42</f>
        <v>3999.953790017405</v>
      </c>
    </row>
    <row r="45" spans="1:15" s="9" customFormat="1" x14ac:dyDescent="0.25">
      <c r="B45" s="9" t="s">
        <v>189</v>
      </c>
    </row>
    <row r="47" spans="1:15" x14ac:dyDescent="0.25">
      <c r="A47" s="10"/>
      <c r="B47" s="1" t="s">
        <v>217</v>
      </c>
      <c r="L47" s="51">
        <f>L43-L21</f>
        <v>7611.031573743152</v>
      </c>
      <c r="M47" s="51">
        <f>M43-M21</f>
        <v>3805.515786871576</v>
      </c>
      <c r="N47" s="66"/>
      <c r="O47" s="51">
        <f>O43-O21</f>
        <v>3805.515786871576</v>
      </c>
    </row>
    <row r="48" spans="1:15" x14ac:dyDescent="0.25">
      <c r="B48" s="40"/>
    </row>
    <row r="49" spans="1:27" x14ac:dyDescent="0.25">
      <c r="A49" s="78"/>
      <c r="B49" s="40" t="s">
        <v>299</v>
      </c>
      <c r="F49" s="2" t="s">
        <v>320</v>
      </c>
      <c r="L49" s="50">
        <f>L47/900</f>
        <v>8.4567017486035017</v>
      </c>
      <c r="M49" s="50">
        <f>M47/900</f>
        <v>4.2283508743017508</v>
      </c>
      <c r="N49" s="66"/>
      <c r="O49" s="50">
        <f>O47/900</f>
        <v>4.2283508743017508</v>
      </c>
      <c r="P49" s="155"/>
      <c r="X49" s="228"/>
      <c r="Y49" s="228"/>
      <c r="Z49" s="228"/>
      <c r="AA49" s="228"/>
    </row>
    <row r="50" spans="1:27" x14ac:dyDescent="0.25">
      <c r="M50" s="10"/>
      <c r="N50" s="10"/>
      <c r="O50" s="10"/>
    </row>
    <row r="51" spans="1:27" x14ac:dyDescent="0.25">
      <c r="L51" s="140"/>
      <c r="M51" s="140"/>
      <c r="N51" s="131"/>
      <c r="O51" s="140"/>
    </row>
  </sheetData>
  <pageMargins left="0.70866141732283472" right="0.70866141732283472" top="0.74803149606299213" bottom="0.74803149606299213" header="0.31496062992125984" footer="0.31496062992125984"/>
  <pageSetup paperSize="9" scale="69" orientation="landscape" r:id="rId1"/>
  <ignoredErrors>
    <ignoredError sqref="N2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188DB82022345827FE1320EF82ED1" ma:contentTypeVersion="0" ma:contentTypeDescription="Een nieuw document maken." ma:contentTypeScope="" ma:versionID="32da2b98808773a141474379c895ae81">
  <xsd:schema xmlns:xsd="http://www.w3.org/2001/XMLSchema" xmlns:xs="http://www.w3.org/2001/XMLSchema" xmlns:p="http://schemas.microsoft.com/office/2006/metadata/properties" xmlns:ns2="a4d27e08-178b-46d4-bae9-57e4d69ee758" targetNamespace="http://schemas.microsoft.com/office/2006/metadata/properties" ma:root="true" ma:fieldsID="283faef33c5193aea6c968f969d31549" ns2:_="">
    <xsd:import namespace="a4d27e08-178b-46d4-bae9-57e4d69ee758"/>
    <xsd:element name="properties">
      <xsd:complexType>
        <xsd:sequence>
          <xsd:element name="documentManagement">
            <xsd:complexType>
              <xsd:all>
                <xsd:element ref="ns2:Projectfas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27e08-178b-46d4-bae9-57e4d69ee758" elementFormDefault="qualified">
    <xsd:import namespace="http://schemas.microsoft.com/office/2006/documentManagement/types"/>
    <xsd:import namespace="http://schemas.microsoft.com/office/infopath/2007/PartnerControls"/>
    <xsd:element name="Projectfase" ma:index="8" ma:displayName="Projectfase" ma:default="Fase 1" ma:format="Dropdown" ma:internalName="Projectfase">
      <xsd:simpleType>
        <xsd:restriction base="dms:Choice">
          <xsd:enumeration value="Fase 1"/>
          <xsd:enumeration value="Fase 2"/>
          <xsd:enumeration value="Fase 3"/>
          <xsd:enumeration value="N.V.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jectfase xmlns="a4d27e08-178b-46d4-bae9-57e4d69ee758">Fase 1</Projectfas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E1B45-A19B-45CC-8979-331211171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27e08-178b-46d4-bae9-57e4d69ee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DAB9D1-B815-4B0E-93E7-4496A7FE99F6}">
  <ds:schemaRefs>
    <ds:schemaRef ds:uri="http://schemas.openxmlformats.org/package/2006/metadata/core-properties"/>
    <ds:schemaRef ds:uri="a4d27e08-178b-46d4-bae9-57e4d69ee758"/>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http://purl.org/dc/dcmityp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12</vt:i4>
      </vt:variant>
    </vt:vector>
  </HeadingPairs>
  <TitlesOfParts>
    <vt:vector size="30" baseType="lpstr">
      <vt:lpstr>Titelblad</vt:lpstr>
      <vt:lpstr>Toelichting</vt:lpstr>
      <vt:lpstr>Bronnen en toepassingen</vt:lpstr>
      <vt:lpstr>Huur --&gt;</vt:lpstr>
      <vt:lpstr>Resultaat huurtarieven</vt:lpstr>
      <vt:lpstr>Gegevens t.b.v. huurtarieven</vt:lpstr>
      <vt:lpstr>Berekening huurtarieven</vt:lpstr>
      <vt:lpstr>Levering --&gt;</vt:lpstr>
      <vt:lpstr>Resultaat levering</vt:lpstr>
      <vt:lpstr>Input --&gt;</vt:lpstr>
      <vt:lpstr>Gegevens warmteregeling &amp; ACM</vt:lpstr>
      <vt:lpstr>Gasleveranciers</vt:lpstr>
      <vt:lpstr>Netbeheer</vt:lpstr>
      <vt:lpstr>Berekeningen --&gt;</vt:lpstr>
      <vt:lpstr>Vaste kosten verbruik</vt:lpstr>
      <vt:lpstr>Variabele kosten verbruik</vt:lpstr>
      <vt:lpstr>Huur collectief --&gt;</vt:lpstr>
      <vt:lpstr>Resultaat huur collectief</vt:lpstr>
      <vt:lpstr>'Berekening huurtarieven'!Afdrukbereik</vt:lpstr>
      <vt:lpstr>'Bronnen en toepassingen'!Afdrukbereik</vt:lpstr>
      <vt:lpstr>Gasleveranciers!Afdrukbereik</vt:lpstr>
      <vt:lpstr>'Gegevens t.b.v. huurtarieven'!Afdrukbereik</vt:lpstr>
      <vt:lpstr>'Gegevens warmteregeling &amp; ACM'!Afdrukbereik</vt:lpstr>
      <vt:lpstr>Netbeheer!Afdrukbereik</vt:lpstr>
      <vt:lpstr>'Resultaat huurtarieven'!Afdrukbereik</vt:lpstr>
      <vt:lpstr>'Resultaat levering'!Afdrukbereik</vt:lpstr>
      <vt:lpstr>Titelblad!Afdrukbereik</vt:lpstr>
      <vt:lpstr>Toelichting!Afdrukbereik</vt:lpstr>
      <vt:lpstr>'Variabele kosten verbruik'!Afdrukbereik</vt:lpstr>
      <vt:lpstr>'Vaste kosten verbruik'!Afdrukbereik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2023-01-03T16:07:19Z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0x0101003EB188DB82022345827FE1320EF82ED1</vt:lpwstr>
  </property>
</Properties>
</file>