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8_{74CAA343-3C32-42B2-AFCA-2DF1B5A7703E}" xr6:coauthVersionLast="47" xr6:coauthVersionMax="47" xr10:uidLastSave="{00000000-0000-0000-0000-000000000000}"/>
  <bookViews>
    <workbookView xWindow="28680" yWindow="-120" windowWidth="29040" windowHeight="15840" tabRatio="700" xr2:uid="{00000000-000D-0000-FFFF-FFFF00000000}"/>
  </bookViews>
  <sheets>
    <sheet name="Titelblad" sheetId="9" r:id="rId1"/>
    <sheet name="Toelichting" sheetId="38" r:id="rId2"/>
    <sheet name="Bronnen en toepassingen" sheetId="11" r:id="rId3"/>
    <sheet name="1. Resultaat" sheetId="37" r:id="rId4"/>
    <sheet name="Input --&gt;" sheetId="13" r:id="rId5"/>
    <sheet name="2. Reguleringsparameters" sheetId="18" r:id="rId6"/>
    <sheet name="3. GAW model" sheetId="26" r:id="rId7"/>
    <sheet name="4. Operationele kosten" sheetId="25" r:id="rId8"/>
    <sheet name="Berekeningen --&gt;" sheetId="15" r:id="rId9"/>
    <sheet name="5. Berekening op parameters" sheetId="31" r:id="rId10"/>
    <sheet name="6. Berekening doorrollen " sheetId="33" r:id="rId11"/>
    <sheet name="7. Berekening bijschatten " sheetId="35" r:id="rId12"/>
    <sheet name="8. Berekening oper. kosten" sheetId="27" r:id="rId13"/>
    <sheet name="9. Berekening x-factor" sheetId="3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olver_adj" localSheetId="13" hidden="1">'9. Berekening x-factor'!$F$75</definedName>
    <definedName name="solver_cvg" localSheetId="13" hidden="1">0.000001</definedName>
    <definedName name="solver_drv" localSheetId="13" hidden="1">1</definedName>
    <definedName name="solver_eng" localSheetId="12" hidden="1">1</definedName>
    <definedName name="solver_eng" localSheetId="13" hidden="1">1</definedName>
    <definedName name="solver_est" localSheetId="13" hidden="1">1</definedName>
    <definedName name="solver_itr" localSheetId="13" hidden="1">2147483647</definedName>
    <definedName name="solver_lhs0" localSheetId="13" hidden="1">'9. Berekening x-factor'!#REF!</definedName>
    <definedName name="solver_lhs1" localSheetId="13" hidden="1">'9. Berekening x-factor'!$F$80</definedName>
    <definedName name="solver_lhs2" localSheetId="13" hidden="1">'9. Berekening x-factor'!$F$80</definedName>
    <definedName name="solver_lhs3" localSheetId="13" hidden="1">'9. Berekening x-factor'!#REF!</definedName>
    <definedName name="solver_lhs4" localSheetId="13" hidden="1">'9. Berekening x-factor'!#REF!</definedName>
    <definedName name="solver_lhs5" localSheetId="13" hidden="1">'9. Berekening x-factor'!#REF!</definedName>
    <definedName name="solver_lhs6" localSheetId="13" hidden="1">'9. Berekening x-factor'!#REF!</definedName>
    <definedName name="solver_mip" localSheetId="13" hidden="1">2147483647</definedName>
    <definedName name="solver_mni" localSheetId="13" hidden="1">30</definedName>
    <definedName name="solver_mrt" localSheetId="13" hidden="1">0.075</definedName>
    <definedName name="solver_msl" localSheetId="13" hidden="1">2</definedName>
    <definedName name="solver_neg" localSheetId="12" hidden="1">1</definedName>
    <definedName name="solver_neg" localSheetId="13" hidden="1">2</definedName>
    <definedName name="solver_nod" localSheetId="13" hidden="1">2147483647</definedName>
    <definedName name="solver_num" localSheetId="12" hidden="1">0</definedName>
    <definedName name="solver_num" localSheetId="13" hidden="1">1</definedName>
    <definedName name="solver_nwt" localSheetId="13" hidden="1">1</definedName>
    <definedName name="solver_opt" localSheetId="12" hidden="1">'8. Berekening oper. kosten'!$B$52</definedName>
    <definedName name="solver_opt" localSheetId="13" hidden="1">'9. Berekening x-factor'!$F$80</definedName>
    <definedName name="solver_pre" localSheetId="13" hidden="1">0.00000000001</definedName>
    <definedName name="solver_rbv" localSheetId="13" hidden="1">1</definedName>
    <definedName name="solver_rel0" localSheetId="13" hidden="1">2</definedName>
    <definedName name="solver_rel1" localSheetId="13" hidden="1">2</definedName>
    <definedName name="solver_rel2" localSheetId="13" hidden="1">2</definedName>
    <definedName name="solver_rel3" localSheetId="13" hidden="1">2</definedName>
    <definedName name="solver_rel4" localSheetId="13" hidden="1">2</definedName>
    <definedName name="solver_rel5" localSheetId="13" hidden="1">2</definedName>
    <definedName name="solver_rel6" localSheetId="13" hidden="1">2</definedName>
    <definedName name="solver_rhs0" localSheetId="13" hidden="1">'9. Berekening x-factor'!#REF!</definedName>
    <definedName name="solver_rhs1" localSheetId="13" hidden="1">'9. Berekening x-factor'!$F$70</definedName>
    <definedName name="solver_rhs2" localSheetId="13" hidden="1">'9. Berekening x-factor'!$F$70</definedName>
    <definedName name="solver_rhs3" localSheetId="13" hidden="1">'9. Berekening x-factor'!#REF!</definedName>
    <definedName name="solver_rhs4" localSheetId="13" hidden="1">'9. Berekening x-factor'!#REF!</definedName>
    <definedName name="solver_rhs5" localSheetId="13" hidden="1">'9. Berekening x-factor'!#REF!</definedName>
    <definedName name="solver_rhs6" localSheetId="13" hidden="1">'9. Berekening x-factor'!#REF!</definedName>
    <definedName name="solver_rlx" localSheetId="13" hidden="1">2</definedName>
    <definedName name="solver_rsd" localSheetId="13" hidden="1">0</definedName>
    <definedName name="solver_scl" localSheetId="13" hidden="1">1</definedName>
    <definedName name="solver_sho" localSheetId="13" hidden="1">2</definedName>
    <definedName name="solver_ssz" localSheetId="13" hidden="1">100</definedName>
    <definedName name="solver_tim" localSheetId="13" hidden="1">2147483647</definedName>
    <definedName name="solver_tol" localSheetId="13" hidden="1">0.01</definedName>
    <definedName name="solver_typ" localSheetId="12" hidden="1">1</definedName>
    <definedName name="solver_typ" localSheetId="13" hidden="1">1</definedName>
    <definedName name="solver_val" localSheetId="12" hidden="1">0</definedName>
    <definedName name="solver_val" localSheetId="13" hidden="1">0</definedName>
    <definedName name="solver_ver" localSheetId="12" hidden="1">3</definedName>
    <definedName name="solver_ver" localSheetId="13" hidden="1">3</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36" l="1"/>
  <c r="M30" i="35" l="1"/>
  <c r="N30" i="35"/>
  <c r="O30" i="35"/>
  <c r="P30" i="35"/>
  <c r="L30" i="35"/>
  <c r="L29" i="35"/>
  <c r="H24" i="33"/>
  <c r="I24" i="33"/>
  <c r="J24" i="33"/>
  <c r="K24" i="33"/>
  <c r="L24" i="33"/>
  <c r="H25" i="33"/>
  <c r="I25" i="33"/>
  <c r="J25" i="33"/>
  <c r="K25" i="33"/>
  <c r="L25" i="33"/>
  <c r="H26" i="33"/>
  <c r="I26" i="33"/>
  <c r="J26" i="33"/>
  <c r="K26" i="33"/>
  <c r="L26" i="33"/>
  <c r="I23" i="33"/>
  <c r="J23" i="33"/>
  <c r="K23" i="33"/>
  <c r="L23" i="33"/>
  <c r="M32" i="27" l="1"/>
  <c r="N33" i="27"/>
  <c r="O34" i="27"/>
  <c r="P35" i="27"/>
  <c r="L31" i="27"/>
  <c r="L20" i="27"/>
  <c r="M21" i="27"/>
  <c r="N22" i="27"/>
  <c r="O23" i="27"/>
  <c r="P24" i="27"/>
  <c r="H132" i="27" l="1"/>
  <c r="I132" i="27"/>
  <c r="J132" i="27"/>
  <c r="K132" i="27"/>
  <c r="L132" i="27"/>
  <c r="M132" i="27"/>
  <c r="N132" i="27"/>
  <c r="O132" i="27"/>
  <c r="P132" i="27"/>
  <c r="H133" i="27"/>
  <c r="I133" i="27"/>
  <c r="J133" i="27"/>
  <c r="K133" i="27"/>
  <c r="L133" i="27"/>
  <c r="M133" i="27"/>
  <c r="N133" i="27"/>
  <c r="O133" i="27"/>
  <c r="P133" i="27"/>
  <c r="H134" i="27"/>
  <c r="I134" i="27"/>
  <c r="J134" i="27"/>
  <c r="K134" i="27"/>
  <c r="L134" i="27"/>
  <c r="M134" i="27"/>
  <c r="N134" i="27"/>
  <c r="O134" i="27"/>
  <c r="P134" i="27"/>
  <c r="H135" i="27"/>
  <c r="I135" i="27"/>
  <c r="J135" i="27"/>
  <c r="K135" i="27"/>
  <c r="L135" i="27"/>
  <c r="M135" i="27"/>
  <c r="N135" i="27"/>
  <c r="O135" i="27"/>
  <c r="P135" i="27"/>
  <c r="H136" i="27"/>
  <c r="I136" i="27"/>
  <c r="J136" i="27"/>
  <c r="K136" i="27"/>
  <c r="L136" i="27"/>
  <c r="M136" i="27"/>
  <c r="N136" i="27"/>
  <c r="O136" i="27"/>
  <c r="P136" i="27"/>
  <c r="H137" i="27"/>
  <c r="I137" i="27"/>
  <c r="J137" i="27"/>
  <c r="K137" i="27"/>
  <c r="L137" i="27"/>
  <c r="M137" i="27"/>
  <c r="N137" i="27"/>
  <c r="O137" i="27"/>
  <c r="P137" i="27"/>
  <c r="I131" i="27"/>
  <c r="J131" i="27"/>
  <c r="K131" i="27"/>
  <c r="L131" i="27"/>
  <c r="M131" i="27"/>
  <c r="N131" i="27"/>
  <c r="O131" i="27"/>
  <c r="P131" i="27"/>
  <c r="H131" i="27"/>
  <c r="H124" i="27"/>
  <c r="I124" i="27"/>
  <c r="J124" i="27"/>
  <c r="K124" i="27"/>
  <c r="L124" i="27"/>
  <c r="M124" i="27"/>
  <c r="N124" i="27"/>
  <c r="O124" i="27"/>
  <c r="P124" i="27"/>
  <c r="H125" i="27"/>
  <c r="I125" i="27"/>
  <c r="J125" i="27"/>
  <c r="K125" i="27"/>
  <c r="L125" i="27"/>
  <c r="M125" i="27"/>
  <c r="N125" i="27"/>
  <c r="O125" i="27"/>
  <c r="P125" i="27"/>
  <c r="H126" i="27"/>
  <c r="I126" i="27"/>
  <c r="J126" i="27"/>
  <c r="K126" i="27"/>
  <c r="L126" i="27"/>
  <c r="M126" i="27"/>
  <c r="N126" i="27"/>
  <c r="O126" i="27"/>
  <c r="P126" i="27"/>
  <c r="H127" i="27"/>
  <c r="I127" i="27"/>
  <c r="J127" i="27"/>
  <c r="K127" i="27"/>
  <c r="L127" i="27"/>
  <c r="M127" i="27"/>
  <c r="N127" i="27"/>
  <c r="O127" i="27"/>
  <c r="P127" i="27"/>
  <c r="H128" i="27"/>
  <c r="I128" i="27"/>
  <c r="J128" i="27"/>
  <c r="K128" i="27"/>
  <c r="L128" i="27"/>
  <c r="M128" i="27"/>
  <c r="N128" i="27"/>
  <c r="O128" i="27"/>
  <c r="P128" i="27"/>
  <c r="H129" i="27"/>
  <c r="I129" i="27"/>
  <c r="J129" i="27"/>
  <c r="K129" i="27"/>
  <c r="L129" i="27"/>
  <c r="M129" i="27"/>
  <c r="N129" i="27"/>
  <c r="O129" i="27"/>
  <c r="P129" i="27"/>
  <c r="I123" i="27"/>
  <c r="J123" i="27"/>
  <c r="K123" i="27"/>
  <c r="L123" i="27"/>
  <c r="M123" i="27"/>
  <c r="N123" i="27"/>
  <c r="O123" i="27"/>
  <c r="P123" i="27"/>
  <c r="H123" i="27"/>
  <c r="H116" i="27"/>
  <c r="I116" i="27"/>
  <c r="J116" i="27"/>
  <c r="K116" i="27"/>
  <c r="L116" i="27"/>
  <c r="M116" i="27"/>
  <c r="N116" i="27"/>
  <c r="O116" i="27"/>
  <c r="P116" i="27"/>
  <c r="H117" i="27"/>
  <c r="I117" i="27"/>
  <c r="J117" i="27"/>
  <c r="K117" i="27"/>
  <c r="L117" i="27"/>
  <c r="M117" i="27"/>
  <c r="N117" i="27"/>
  <c r="O117" i="27"/>
  <c r="P117" i="27"/>
  <c r="H118" i="27"/>
  <c r="I118" i="27"/>
  <c r="J118" i="27"/>
  <c r="K118" i="27"/>
  <c r="L118" i="27"/>
  <c r="M118" i="27"/>
  <c r="N118" i="27"/>
  <c r="O118" i="27"/>
  <c r="P118" i="27"/>
  <c r="H119" i="27"/>
  <c r="I119" i="27"/>
  <c r="J119" i="27"/>
  <c r="K119" i="27"/>
  <c r="L119" i="27"/>
  <c r="M119" i="27"/>
  <c r="N119" i="27"/>
  <c r="O119" i="27"/>
  <c r="P119" i="27"/>
  <c r="H120" i="27"/>
  <c r="I120" i="27"/>
  <c r="J120" i="27"/>
  <c r="K120" i="27"/>
  <c r="L120" i="27"/>
  <c r="M120" i="27"/>
  <c r="N120" i="27"/>
  <c r="O120" i="27"/>
  <c r="P120" i="27"/>
  <c r="H121" i="27"/>
  <c r="I121" i="27"/>
  <c r="J121" i="27"/>
  <c r="K121" i="27"/>
  <c r="L121" i="27"/>
  <c r="M121" i="27"/>
  <c r="N121" i="27"/>
  <c r="O121" i="27"/>
  <c r="P121" i="27"/>
  <c r="I115" i="27"/>
  <c r="J115" i="27"/>
  <c r="K115" i="27"/>
  <c r="L115" i="27"/>
  <c r="M115" i="27"/>
  <c r="N115" i="27"/>
  <c r="O115" i="27"/>
  <c r="P115" i="27"/>
  <c r="H115" i="27"/>
  <c r="I107" i="27"/>
  <c r="J107" i="27"/>
  <c r="K107" i="27"/>
  <c r="L107" i="27"/>
  <c r="M107" i="27"/>
  <c r="N107" i="27"/>
  <c r="O107" i="27"/>
  <c r="P107" i="27"/>
  <c r="I108" i="27"/>
  <c r="J108" i="27"/>
  <c r="K108" i="27"/>
  <c r="L108" i="27"/>
  <c r="M108" i="27"/>
  <c r="N108" i="27"/>
  <c r="O108" i="27"/>
  <c r="P108" i="27"/>
  <c r="I109" i="27"/>
  <c r="J109" i="27"/>
  <c r="K109" i="27"/>
  <c r="L109" i="27"/>
  <c r="M109" i="27"/>
  <c r="N109" i="27"/>
  <c r="O109" i="27"/>
  <c r="P109" i="27"/>
  <c r="I110" i="27"/>
  <c r="J110" i="27"/>
  <c r="K110" i="27"/>
  <c r="L110" i="27"/>
  <c r="M110" i="27"/>
  <c r="N110" i="27"/>
  <c r="O110" i="27"/>
  <c r="P110" i="27"/>
  <c r="I111" i="27"/>
  <c r="J111" i="27"/>
  <c r="K111" i="27"/>
  <c r="L111" i="27"/>
  <c r="M111" i="27"/>
  <c r="N111" i="27"/>
  <c r="O111" i="27"/>
  <c r="P111" i="27"/>
  <c r="I112" i="27"/>
  <c r="J112" i="27"/>
  <c r="K112" i="27"/>
  <c r="L112" i="27"/>
  <c r="M112" i="27"/>
  <c r="N112" i="27"/>
  <c r="O112" i="27"/>
  <c r="P112" i="27"/>
  <c r="I113" i="27"/>
  <c r="J113" i="27"/>
  <c r="K113" i="27"/>
  <c r="L113" i="27"/>
  <c r="M113" i="27"/>
  <c r="N113" i="27"/>
  <c r="O113" i="27"/>
  <c r="P113" i="27"/>
  <c r="H108" i="27"/>
  <c r="H109" i="27"/>
  <c r="H110" i="27"/>
  <c r="H111" i="27"/>
  <c r="H112" i="27"/>
  <c r="H113" i="27"/>
  <c r="H107" i="27"/>
  <c r="I97" i="27"/>
  <c r="J97" i="27"/>
  <c r="I98" i="27"/>
  <c r="J98" i="27"/>
  <c r="I99" i="27"/>
  <c r="J99" i="27"/>
  <c r="I100" i="27"/>
  <c r="J100" i="27"/>
  <c r="I101" i="27"/>
  <c r="J101" i="27"/>
  <c r="I102" i="27"/>
  <c r="J102" i="27"/>
  <c r="I103" i="27"/>
  <c r="J103" i="27"/>
  <c r="I104" i="27"/>
  <c r="J104" i="27"/>
  <c r="H98" i="27"/>
  <c r="H99" i="27"/>
  <c r="H100" i="27"/>
  <c r="H101" i="27"/>
  <c r="H102" i="27"/>
  <c r="H103" i="27"/>
  <c r="H104" i="27"/>
  <c r="H97" i="27"/>
  <c r="I87" i="27"/>
  <c r="J87" i="27"/>
  <c r="I88" i="27"/>
  <c r="J88" i="27"/>
  <c r="I89" i="27"/>
  <c r="J89" i="27"/>
  <c r="I90" i="27"/>
  <c r="J90" i="27"/>
  <c r="I91" i="27"/>
  <c r="J91" i="27"/>
  <c r="I92" i="27"/>
  <c r="J92" i="27"/>
  <c r="I93" i="27"/>
  <c r="J93" i="27"/>
  <c r="I94" i="27"/>
  <c r="J94" i="27"/>
  <c r="H88" i="27"/>
  <c r="H89" i="27"/>
  <c r="H90" i="27"/>
  <c r="H91" i="27"/>
  <c r="H92" i="27"/>
  <c r="H93" i="27"/>
  <c r="H94" i="27"/>
  <c r="H87" i="27"/>
  <c r="H157" i="27" l="1"/>
  <c r="I151" i="27"/>
  <c r="I157" i="27"/>
  <c r="H151" i="27"/>
  <c r="J157" i="27"/>
  <c r="J151" i="27"/>
  <c r="H73" i="27"/>
  <c r="I73" i="27"/>
  <c r="J73" i="27"/>
  <c r="H74" i="27"/>
  <c r="I74" i="27"/>
  <c r="J74" i="27"/>
  <c r="I72" i="27"/>
  <c r="J72" i="27"/>
  <c r="H72" i="27"/>
  <c r="H58" i="27"/>
  <c r="I58" i="27"/>
  <c r="J58" i="27"/>
  <c r="H59" i="27"/>
  <c r="I59" i="27"/>
  <c r="J59" i="27"/>
  <c r="H60" i="27"/>
  <c r="I60" i="27"/>
  <c r="J60" i="27"/>
  <c r="I57" i="27"/>
  <c r="J57" i="27"/>
  <c r="H57" i="27"/>
  <c r="H155" i="27" l="1"/>
  <c r="I149" i="27"/>
  <c r="J155" i="27"/>
  <c r="H149" i="27"/>
  <c r="J149" i="27"/>
  <c r="I155" i="27"/>
  <c r="F46" i="27"/>
  <c r="F47" i="27"/>
  <c r="F48" i="27"/>
  <c r="F49" i="27"/>
  <c r="F50" i="27"/>
  <c r="F45" i="27"/>
  <c r="H83" i="27" l="1"/>
  <c r="I83" i="27"/>
  <c r="J83" i="27"/>
  <c r="H84" i="27"/>
  <c r="I84" i="27"/>
  <c r="J84" i="27"/>
  <c r="I82" i="27"/>
  <c r="J82" i="27"/>
  <c r="H82" i="27"/>
  <c r="F16" i="33" l="1"/>
  <c r="I20" i="37" l="1"/>
  <c r="J20" i="37"/>
  <c r="K20" i="37"/>
  <c r="L20" i="37"/>
  <c r="H20" i="37"/>
  <c r="M29" i="35" l="1"/>
  <c r="N29" i="35"/>
  <c r="O29" i="35"/>
  <c r="P29" i="35"/>
  <c r="I22" i="33" l="1"/>
  <c r="J22" i="33"/>
  <c r="K22" i="33"/>
  <c r="L22" i="33"/>
  <c r="H23" i="33"/>
  <c r="I19" i="36" l="1"/>
  <c r="J19" i="36"/>
  <c r="K19" i="36"/>
  <c r="L19" i="36"/>
  <c r="H19" i="36"/>
  <c r="M19" i="31" l="1"/>
  <c r="F58" i="31" s="1"/>
  <c r="N19" i="31"/>
  <c r="F59" i="31" s="1"/>
  <c r="O19" i="31"/>
  <c r="F60" i="31" s="1"/>
  <c r="P19" i="31"/>
  <c r="F61" i="31" s="1"/>
  <c r="L19" i="31"/>
  <c r="F57" i="31" s="1"/>
  <c r="P61" i="31"/>
  <c r="O60" i="31"/>
  <c r="N59" i="31"/>
  <c r="M58" i="31"/>
  <c r="L57" i="31"/>
  <c r="H16" i="36" s="1"/>
  <c r="M57" i="31" l="1"/>
  <c r="I16" i="36" s="1"/>
  <c r="L17" i="35"/>
  <c r="M17" i="35"/>
  <c r="N17" i="35"/>
  <c r="O17" i="35"/>
  <c r="P17" i="35"/>
  <c r="M16" i="35"/>
  <c r="N16" i="35"/>
  <c r="O16" i="35"/>
  <c r="P16" i="35"/>
  <c r="L16" i="35"/>
  <c r="I141" i="27" l="1"/>
  <c r="I142" i="27"/>
  <c r="I143" i="27"/>
  <c r="I140" i="27"/>
  <c r="F42" i="27" l="1"/>
  <c r="F41" i="27"/>
  <c r="J69" i="27" l="1"/>
  <c r="J68" i="27"/>
  <c r="J54" i="27"/>
  <c r="J53" i="27"/>
  <c r="J154" i="27" l="1"/>
  <c r="J148" i="27"/>
  <c r="J156" i="27" l="1"/>
  <c r="J150" i="27"/>
  <c r="B64" i="38"/>
  <c r="B52" i="38"/>
  <c r="B53" i="38" s="1"/>
  <c r="B54" i="38" l="1"/>
  <c r="B58" i="38" s="1"/>
  <c r="B59" i="38"/>
  <c r="I29" i="33" l="1"/>
  <c r="J29" i="33"/>
  <c r="K29" i="33"/>
  <c r="L29" i="33"/>
  <c r="I30" i="33"/>
  <c r="J30" i="33"/>
  <c r="K30" i="33"/>
  <c r="L30" i="33"/>
  <c r="I31" i="33"/>
  <c r="J31" i="33"/>
  <c r="K31" i="33"/>
  <c r="L31" i="33"/>
  <c r="I32" i="33"/>
  <c r="J32" i="33"/>
  <c r="K32" i="33"/>
  <c r="L32" i="33"/>
  <c r="H30" i="33"/>
  <c r="H31" i="33"/>
  <c r="H32" i="33"/>
  <c r="H29" i="33"/>
  <c r="I19" i="33"/>
  <c r="J19" i="33"/>
  <c r="K19" i="33"/>
  <c r="L19" i="33"/>
  <c r="I20" i="33"/>
  <c r="J20" i="33"/>
  <c r="K20" i="33"/>
  <c r="L20" i="33"/>
  <c r="I21" i="33"/>
  <c r="J21" i="33"/>
  <c r="K21" i="33"/>
  <c r="L21" i="33"/>
  <c r="H20" i="33"/>
  <c r="H21" i="33"/>
  <c r="H22" i="33"/>
  <c r="H19" i="33"/>
  <c r="I13" i="33"/>
  <c r="I40" i="33" s="1"/>
  <c r="J13" i="33"/>
  <c r="J40" i="33" s="1"/>
  <c r="K13" i="33"/>
  <c r="L13" i="33"/>
  <c r="L40" i="33" s="1"/>
  <c r="H13" i="33"/>
  <c r="K39" i="33" l="1"/>
  <c r="K40" i="33"/>
  <c r="H39" i="33"/>
  <c r="H40" i="33"/>
  <c r="L50" i="33"/>
  <c r="L54" i="33" s="1"/>
  <c r="L36" i="36" s="1"/>
  <c r="L39" i="33"/>
  <c r="L45" i="33" s="1"/>
  <c r="J50" i="33"/>
  <c r="J54" i="33" s="1"/>
  <c r="J36" i="36" s="1"/>
  <c r="J39" i="33"/>
  <c r="J45" i="33" s="1"/>
  <c r="H50" i="33"/>
  <c r="H54" i="33" s="1"/>
  <c r="H36" i="36" s="1"/>
  <c r="H38" i="33"/>
  <c r="H44" i="33" s="1"/>
  <c r="I50" i="33"/>
  <c r="I54" i="33" s="1"/>
  <c r="I36" i="36" s="1"/>
  <c r="I39" i="33"/>
  <c r="I45" i="33" s="1"/>
  <c r="K50" i="33"/>
  <c r="K54" i="33" s="1"/>
  <c r="K36" i="36" s="1"/>
  <c r="H37" i="33"/>
  <c r="H43" i="33" s="1"/>
  <c r="M40" i="35"/>
  <c r="N40" i="35"/>
  <c r="O40" i="35"/>
  <c r="P40" i="35"/>
  <c r="M41" i="35"/>
  <c r="N41" i="35"/>
  <c r="O41" i="35"/>
  <c r="P41" i="35"/>
  <c r="L41" i="35"/>
  <c r="L40" i="35"/>
  <c r="J38" i="35"/>
  <c r="M33" i="35"/>
  <c r="N33" i="35"/>
  <c r="O33" i="35"/>
  <c r="P33" i="35"/>
  <c r="M34" i="35"/>
  <c r="N34" i="35"/>
  <c r="O34" i="35"/>
  <c r="P34" i="35"/>
  <c r="M35" i="35"/>
  <c r="N35" i="35"/>
  <c r="O35" i="35"/>
  <c r="P35" i="35"/>
  <c r="M36" i="35"/>
  <c r="N36" i="35"/>
  <c r="O36" i="35"/>
  <c r="P36" i="35"/>
  <c r="L36" i="35"/>
  <c r="L34" i="35"/>
  <c r="L35" i="35"/>
  <c r="L33" i="35"/>
  <c r="M27" i="35"/>
  <c r="N27" i="35"/>
  <c r="O27" i="35"/>
  <c r="P27" i="35"/>
  <c r="M28" i="35"/>
  <c r="N28" i="35"/>
  <c r="O28" i="35"/>
  <c r="P28" i="35"/>
  <c r="L28" i="35"/>
  <c r="L27" i="35"/>
  <c r="L46" i="35" s="1"/>
  <c r="J25" i="35"/>
  <c r="M20" i="35"/>
  <c r="N20" i="35"/>
  <c r="O20" i="35"/>
  <c r="P20" i="35"/>
  <c r="M21" i="35"/>
  <c r="N21" i="35"/>
  <c r="O21" i="35"/>
  <c r="P21" i="35"/>
  <c r="M22" i="35"/>
  <c r="N22" i="35"/>
  <c r="O22" i="35"/>
  <c r="P22" i="35"/>
  <c r="M23" i="35"/>
  <c r="N23" i="35"/>
  <c r="O23" i="35"/>
  <c r="P23" i="35"/>
  <c r="L21" i="35"/>
  <c r="L22" i="35"/>
  <c r="L23" i="35"/>
  <c r="L20" i="35"/>
  <c r="K45" i="33" l="1"/>
  <c r="K28" i="36" s="1"/>
  <c r="H45" i="33"/>
  <c r="N46" i="35"/>
  <c r="M46" i="35"/>
  <c r="P46" i="35"/>
  <c r="O46" i="35"/>
  <c r="J45" i="35"/>
  <c r="H28" i="36"/>
  <c r="L28" i="36"/>
  <c r="I28" i="36"/>
  <c r="J28" i="36"/>
  <c r="O47" i="35"/>
  <c r="P47" i="35"/>
  <c r="M47" i="35"/>
  <c r="N47" i="35"/>
  <c r="L47" i="35"/>
  <c r="L48" i="35" l="1"/>
  <c r="L49" i="35" s="1"/>
  <c r="P48" i="35"/>
  <c r="P49" i="35" s="1"/>
  <c r="P50" i="35" s="1"/>
  <c r="O48" i="35"/>
  <c r="O49" i="35" s="1"/>
  <c r="O50" i="35" s="1"/>
  <c r="O66" i="35" s="1"/>
  <c r="O70" i="35" s="1"/>
  <c r="K39" i="36" s="1"/>
  <c r="N48" i="35"/>
  <c r="N49" i="35" s="1"/>
  <c r="N50" i="35" s="1"/>
  <c r="N55" i="35" s="1"/>
  <c r="M48" i="35"/>
  <c r="M49" i="35" s="1"/>
  <c r="P55" i="35" l="1"/>
  <c r="P59" i="35" s="1"/>
  <c r="L29" i="36" s="1"/>
  <c r="P66" i="35"/>
  <c r="P70" i="35" s="1"/>
  <c r="L39" i="36" s="1"/>
  <c r="P65" i="35"/>
  <c r="P69" i="35" s="1"/>
  <c r="L38" i="36" s="1"/>
  <c r="P56" i="35"/>
  <c r="P60" i="35" s="1"/>
  <c r="L30" i="36" s="1"/>
  <c r="O55" i="35"/>
  <c r="O59" i="35" s="1"/>
  <c r="K29" i="36" s="1"/>
  <c r="L50" i="35"/>
  <c r="L66" i="35" s="1"/>
  <c r="L70" i="35" s="1"/>
  <c r="H39" i="36" s="1"/>
  <c r="O56" i="35"/>
  <c r="O60" i="35" s="1"/>
  <c r="K30" i="36" s="1"/>
  <c r="N65" i="35"/>
  <c r="N69" i="35" s="1"/>
  <c r="J38" i="36" s="1"/>
  <c r="M50" i="35"/>
  <c r="M56" i="35" s="1"/>
  <c r="M60" i="35" s="1"/>
  <c r="I30" i="36" s="1"/>
  <c r="N56" i="35"/>
  <c r="N60" i="35" s="1"/>
  <c r="J30" i="36" s="1"/>
  <c r="O65" i="35"/>
  <c r="O69" i="35" s="1"/>
  <c r="K38" i="36" s="1"/>
  <c r="N59" i="35"/>
  <c r="J29" i="36" s="1"/>
  <c r="N66" i="35"/>
  <c r="N70" i="35" s="1"/>
  <c r="J39" i="36" s="1"/>
  <c r="M66" i="35" l="1"/>
  <c r="M70" i="35" s="1"/>
  <c r="I39" i="36" s="1"/>
  <c r="L65" i="35"/>
  <c r="L69" i="35" s="1"/>
  <c r="H38" i="36" s="1"/>
  <c r="M65" i="35"/>
  <c r="M69" i="35" s="1"/>
  <c r="I38" i="36" s="1"/>
  <c r="L56" i="35"/>
  <c r="L60" i="35" s="1"/>
  <c r="H30" i="36" s="1"/>
  <c r="M55" i="35"/>
  <c r="M59" i="35" s="1"/>
  <c r="I29" i="36" s="1"/>
  <c r="L55" i="35"/>
  <c r="L59" i="35" s="1"/>
  <c r="H29" i="36" s="1"/>
  <c r="J37" i="33"/>
  <c r="J43" i="33" s="1"/>
  <c r="J26" i="36" s="1"/>
  <c r="H51" i="33"/>
  <c r="H55" i="33" s="1"/>
  <c r="H37" i="36" s="1"/>
  <c r="I51" i="33"/>
  <c r="I55" i="33" s="1"/>
  <c r="I37" i="36" s="1"/>
  <c r="J51" i="33"/>
  <c r="J55" i="33" s="1"/>
  <c r="J37" i="36" s="1"/>
  <c r="K51" i="33"/>
  <c r="L51" i="33"/>
  <c r="L55" i="33" s="1"/>
  <c r="L37" i="36" s="1"/>
  <c r="H26" i="36"/>
  <c r="I37" i="33"/>
  <c r="I43" i="33" s="1"/>
  <c r="I26" i="36" s="1"/>
  <c r="H27" i="36"/>
  <c r="I38" i="33"/>
  <c r="I44" i="33" s="1"/>
  <c r="I27" i="36" s="1"/>
  <c r="K37" i="33" l="1"/>
  <c r="K43" i="33" s="1"/>
  <c r="K26" i="36" s="1"/>
  <c r="K55" i="33"/>
  <c r="K37" i="36" s="1"/>
  <c r="J38" i="33"/>
  <c r="J44" i="33" s="1"/>
  <c r="J27" i="36" s="1"/>
  <c r="L38" i="33"/>
  <c r="L44" i="33" s="1"/>
  <c r="L27" i="36" s="1"/>
  <c r="K38" i="33"/>
  <c r="K44" i="33" s="1"/>
  <c r="K27" i="36" s="1"/>
  <c r="L37" i="33"/>
  <c r="L43" i="33" s="1"/>
  <c r="L26" i="36" s="1"/>
  <c r="H69" i="27" l="1"/>
  <c r="I69" i="27"/>
  <c r="I68" i="27"/>
  <c r="H68" i="27"/>
  <c r="H54" i="27"/>
  <c r="I54" i="27"/>
  <c r="I53" i="27"/>
  <c r="H53" i="27"/>
  <c r="H148" i="27" l="1"/>
  <c r="H150" i="27" s="1"/>
  <c r="H154" i="27"/>
  <c r="I148" i="27"/>
  <c r="I154" i="27"/>
  <c r="I150" i="27" l="1"/>
  <c r="H156" i="27"/>
  <c r="I156" i="27"/>
  <c r="F38" i="27" l="1"/>
  <c r="L216" i="27" l="1"/>
  <c r="O219" i="27"/>
  <c r="P212" i="27"/>
  <c r="P179" i="27"/>
  <c r="O211" i="27"/>
  <c r="M209" i="27"/>
  <c r="N177" i="27"/>
  <c r="M217" i="27"/>
  <c r="N218" i="27"/>
  <c r="P220" i="27"/>
  <c r="L208" i="27"/>
  <c r="L175" i="27"/>
  <c r="O178" i="27"/>
  <c r="N210" i="27"/>
  <c r="M176" i="27"/>
  <c r="M184" i="27"/>
  <c r="N185" i="27"/>
  <c r="P187" i="27"/>
  <c r="L183" i="27"/>
  <c r="O186" i="27"/>
  <c r="H13" i="31"/>
  <c r="F26" i="31" s="1"/>
  <c r="I13" i="31"/>
  <c r="F27" i="31" s="1"/>
  <c r="J13" i="31"/>
  <c r="F28" i="31" s="1"/>
  <c r="K13" i="31"/>
  <c r="F29" i="31" s="1"/>
  <c r="L13" i="31"/>
  <c r="F30" i="31" s="1"/>
  <c r="M13" i="31"/>
  <c r="F31" i="31" s="1"/>
  <c r="N13" i="31"/>
  <c r="F32" i="31" s="1"/>
  <c r="O13" i="31"/>
  <c r="F33" i="31" s="1"/>
  <c r="P13" i="31"/>
  <c r="F34" i="31" s="1"/>
  <c r="H16" i="31"/>
  <c r="F41" i="31" s="1"/>
  <c r="I16" i="31"/>
  <c r="F42" i="31" s="1"/>
  <c r="I41" i="31" s="1"/>
  <c r="J16" i="31"/>
  <c r="F43" i="31" s="1"/>
  <c r="J42" i="31" s="1"/>
  <c r="K16" i="31"/>
  <c r="L16" i="31"/>
  <c r="M16" i="31"/>
  <c r="N16" i="31"/>
  <c r="O16" i="31"/>
  <c r="P16" i="31"/>
  <c r="F49" i="31" s="1"/>
  <c r="P48" i="31" s="1"/>
  <c r="P34" i="27" s="1"/>
  <c r="P211" i="27" s="1"/>
  <c r="P186" i="27" l="1"/>
  <c r="P219" i="27"/>
  <c r="P178" i="27"/>
  <c r="F46" i="31"/>
  <c r="M45" i="31" s="1"/>
  <c r="M31" i="27" s="1"/>
  <c r="N58" i="31"/>
  <c r="F45" i="31"/>
  <c r="L44" i="31" s="1"/>
  <c r="L30" i="27" s="1"/>
  <c r="F48" i="31"/>
  <c r="O47" i="31" s="1"/>
  <c r="O33" i="27" s="1"/>
  <c r="P60" i="31"/>
  <c r="F44" i="31"/>
  <c r="K43" i="31" s="1"/>
  <c r="K42" i="31" s="1"/>
  <c r="K41" i="31" s="1"/>
  <c r="F47" i="31"/>
  <c r="N46" i="31" s="1"/>
  <c r="N32" i="27" s="1"/>
  <c r="O59" i="31"/>
  <c r="J41" i="31"/>
  <c r="N176" i="27" l="1"/>
  <c r="N217" i="27"/>
  <c r="N209" i="27"/>
  <c r="N184" i="27"/>
  <c r="M208" i="27"/>
  <c r="M183" i="27"/>
  <c r="M216" i="27"/>
  <c r="M175" i="27"/>
  <c r="L182" i="27"/>
  <c r="L207" i="27"/>
  <c r="L174" i="27"/>
  <c r="L215" i="27"/>
  <c r="O185" i="27"/>
  <c r="O218" i="27"/>
  <c r="O210" i="27"/>
  <c r="O177" i="27"/>
  <c r="N45" i="31"/>
  <c r="N31" i="27" s="1"/>
  <c r="P47" i="31"/>
  <c r="L43" i="31"/>
  <c r="O46" i="31"/>
  <c r="M44" i="31"/>
  <c r="O58" i="31"/>
  <c r="O57" i="31" s="1"/>
  <c r="K16" i="36" s="1"/>
  <c r="P59" i="31"/>
  <c r="N57" i="31"/>
  <c r="J16" i="36" s="1"/>
  <c r="J27" i="31"/>
  <c r="K28" i="31"/>
  <c r="N31" i="31"/>
  <c r="N21" i="27" s="1"/>
  <c r="O32" i="31"/>
  <c r="O22" i="27" s="1"/>
  <c r="P33" i="31"/>
  <c r="P23" i="27" s="1"/>
  <c r="M30" i="31"/>
  <c r="M20" i="27" s="1"/>
  <c r="L29" i="31"/>
  <c r="L19" i="27" s="1"/>
  <c r="I26" i="31"/>
  <c r="N44" i="31" l="1"/>
  <c r="N30" i="27" s="1"/>
  <c r="N174" i="27" s="1"/>
  <c r="O45" i="31"/>
  <c r="O31" i="27" s="1"/>
  <c r="O32" i="27"/>
  <c r="L42" i="31"/>
  <c r="L28" i="27" s="1"/>
  <c r="L29" i="27"/>
  <c r="P46" i="31"/>
  <c r="P32" i="27" s="1"/>
  <c r="P33" i="27"/>
  <c r="N207" i="27"/>
  <c r="N215" i="27"/>
  <c r="N182" i="27"/>
  <c r="M43" i="31"/>
  <c r="M29" i="27" s="1"/>
  <c r="M30" i="27"/>
  <c r="N208" i="27"/>
  <c r="N216" i="27"/>
  <c r="N183" i="27"/>
  <c r="N175" i="27"/>
  <c r="P58" i="31"/>
  <c r="N43" i="31"/>
  <c r="N29" i="27" s="1"/>
  <c r="P45" i="31"/>
  <c r="P31" i="27" s="1"/>
  <c r="K27" i="31"/>
  <c r="K26" i="31" s="1"/>
  <c r="O31" i="31"/>
  <c r="O21" i="27" s="1"/>
  <c r="M29" i="31"/>
  <c r="M19" i="27" s="1"/>
  <c r="J26" i="31"/>
  <c r="N30" i="31"/>
  <c r="N20" i="27" s="1"/>
  <c r="L28" i="31"/>
  <c r="L18" i="27" s="1"/>
  <c r="P32" i="31"/>
  <c r="P22" i="27" s="1"/>
  <c r="O44" i="31" l="1"/>
  <c r="O30" i="27" s="1"/>
  <c r="M42" i="31"/>
  <c r="M28" i="27" s="1"/>
  <c r="L41" i="31"/>
  <c r="M207" i="27"/>
  <c r="M174" i="27"/>
  <c r="M215" i="27"/>
  <c r="M182" i="27"/>
  <c r="O182" i="27"/>
  <c r="O174" i="27"/>
  <c r="O207" i="27"/>
  <c r="O215" i="27"/>
  <c r="P218" i="27"/>
  <c r="P177" i="27"/>
  <c r="P185" i="27"/>
  <c r="P210" i="27"/>
  <c r="O209" i="27"/>
  <c r="O184" i="27"/>
  <c r="O217" i="27"/>
  <c r="O176" i="27"/>
  <c r="P183" i="27"/>
  <c r="P175" i="27"/>
  <c r="P216" i="27"/>
  <c r="P208" i="27"/>
  <c r="P176" i="27"/>
  <c r="P184" i="27"/>
  <c r="P217" i="27"/>
  <c r="P209" i="27"/>
  <c r="O183" i="27"/>
  <c r="O175" i="27"/>
  <c r="O208" i="27"/>
  <c r="O216" i="27"/>
  <c r="P57" i="31"/>
  <c r="L16" i="36" s="1"/>
  <c r="P31" i="31"/>
  <c r="L27" i="31"/>
  <c r="L17" i="27" s="1"/>
  <c r="M28" i="31"/>
  <c r="M18" i="27" s="1"/>
  <c r="L27" i="27"/>
  <c r="O43" i="31"/>
  <c r="O29" i="27" s="1"/>
  <c r="N29" i="31"/>
  <c r="N19" i="27" s="1"/>
  <c r="P44" i="31"/>
  <c r="P30" i="27" s="1"/>
  <c r="N42" i="31"/>
  <c r="N28" i="27" s="1"/>
  <c r="O30" i="31"/>
  <c r="O20" i="27" s="1"/>
  <c r="M41" i="31" l="1"/>
  <c r="M27" i="27" s="1"/>
  <c r="L166" i="27"/>
  <c r="L167" i="27"/>
  <c r="P30" i="31"/>
  <c r="P20" i="27" s="1"/>
  <c r="P21" i="27"/>
  <c r="P207" i="27"/>
  <c r="P182" i="27"/>
  <c r="P174" i="27"/>
  <c r="P215" i="27"/>
  <c r="O29" i="31"/>
  <c r="O19" i="27" s="1"/>
  <c r="P43" i="31"/>
  <c r="P29" i="27" s="1"/>
  <c r="O42" i="31"/>
  <c r="O28" i="27" s="1"/>
  <c r="L26" i="31"/>
  <c r="L16" i="27" s="1"/>
  <c r="L199" i="27" s="1"/>
  <c r="N41" i="31"/>
  <c r="N27" i="27" s="1"/>
  <c r="N28" i="31"/>
  <c r="N18" i="27" s="1"/>
  <c r="M27" i="31"/>
  <c r="M17" i="27" s="1"/>
  <c r="P29" i="31" l="1"/>
  <c r="F20" i="36" s="1"/>
  <c r="P19" i="27"/>
  <c r="L206" i="27"/>
  <c r="L214" i="27"/>
  <c r="L181" i="27"/>
  <c r="L173" i="27"/>
  <c r="L164" i="27"/>
  <c r="L165" i="27" s="1"/>
  <c r="L192" i="27"/>
  <c r="P42" i="31"/>
  <c r="P28" i="27" s="1"/>
  <c r="M26" i="31"/>
  <c r="M16" i="27" s="1"/>
  <c r="N27" i="31"/>
  <c r="N17" i="27" s="1"/>
  <c r="P28" i="31"/>
  <c r="P18" i="27" s="1"/>
  <c r="O41" i="31"/>
  <c r="O27" i="27" s="1"/>
  <c r="O28" i="31"/>
  <c r="O18" i="27" s="1"/>
  <c r="M214" i="27" l="1"/>
  <c r="M206" i="27"/>
  <c r="M181" i="27"/>
  <c r="M173" i="27"/>
  <c r="L200" i="27"/>
  <c r="L163" i="27"/>
  <c r="L162" i="27"/>
  <c r="L190" i="27" s="1"/>
  <c r="L198" i="27"/>
  <c r="L197" i="27"/>
  <c r="H33" i="36"/>
  <c r="M166" i="27"/>
  <c r="M167" i="27"/>
  <c r="P41" i="31"/>
  <c r="P27" i="27" s="1"/>
  <c r="P27" i="31"/>
  <c r="P17" i="27" s="1"/>
  <c r="O27" i="31"/>
  <c r="O17" i="27" s="1"/>
  <c r="N26" i="31"/>
  <c r="N16" i="27" s="1"/>
  <c r="H48" i="36" l="1"/>
  <c r="H58" i="36" s="1"/>
  <c r="N214" i="27"/>
  <c r="N206" i="27"/>
  <c r="N173" i="27"/>
  <c r="N181" i="27"/>
  <c r="L223" i="27"/>
  <c r="M199" i="27"/>
  <c r="M200" i="27" s="1"/>
  <c r="M164" i="27"/>
  <c r="M165" i="27" s="1"/>
  <c r="M163" i="27"/>
  <c r="M198" i="27"/>
  <c r="M197" i="27"/>
  <c r="M162" i="27"/>
  <c r="M192" i="27"/>
  <c r="I33" i="36" s="1"/>
  <c r="I48" i="36" s="1"/>
  <c r="I58" i="36" s="1"/>
  <c r="N167" i="27"/>
  <c r="N166" i="27"/>
  <c r="P26" i="31"/>
  <c r="P16" i="27" s="1"/>
  <c r="O26" i="31"/>
  <c r="O16" i="27" s="1"/>
  <c r="O214" i="27" l="1"/>
  <c r="O206" i="27"/>
  <c r="O173" i="27"/>
  <c r="O181" i="27"/>
  <c r="P181" i="27"/>
  <c r="P214" i="27"/>
  <c r="P206" i="27"/>
  <c r="P173" i="27"/>
  <c r="M223" i="27"/>
  <c r="M190" i="27"/>
  <c r="N199" i="27"/>
  <c r="N200" i="27" s="1"/>
  <c r="N164" i="27"/>
  <c r="N165" i="27" s="1"/>
  <c r="N198" i="27"/>
  <c r="N163" i="27"/>
  <c r="N162" i="27"/>
  <c r="N197" i="27"/>
  <c r="N192" i="27"/>
  <c r="J33" i="36" s="1"/>
  <c r="J48" i="36" s="1"/>
  <c r="J58" i="36" s="1"/>
  <c r="O166" i="27"/>
  <c r="O167" i="27"/>
  <c r="P167" i="27"/>
  <c r="P166" i="27"/>
  <c r="P192" i="27" l="1"/>
  <c r="N223" i="27"/>
  <c r="N190" i="27"/>
  <c r="O199" i="27"/>
  <c r="O200" i="27" s="1"/>
  <c r="P199" i="27"/>
  <c r="P200" i="27" s="1"/>
  <c r="P164" i="27"/>
  <c r="P165" i="27" s="1"/>
  <c r="O164" i="27"/>
  <c r="O165" i="27" s="1"/>
  <c r="O198" i="27"/>
  <c r="O163" i="27"/>
  <c r="O197" i="27"/>
  <c r="O162" i="27"/>
  <c r="P163" i="27"/>
  <c r="P198" i="27"/>
  <c r="P197" i="27"/>
  <c r="P162" i="27"/>
  <c r="H40" i="36"/>
  <c r="H51" i="36" s="1"/>
  <c r="L33" i="36"/>
  <c r="L48" i="36" s="1"/>
  <c r="L58" i="36" s="1"/>
  <c r="O192" i="27"/>
  <c r="K33" i="36" s="1"/>
  <c r="K48" i="36" s="1"/>
  <c r="K58" i="36" s="1"/>
  <c r="H41" i="36"/>
  <c r="H52" i="36" s="1"/>
  <c r="I31" i="36"/>
  <c r="I46" i="36" s="1"/>
  <c r="I40" i="36"/>
  <c r="I51" i="36" s="1"/>
  <c r="H31" i="36"/>
  <c r="H46" i="36" s="1"/>
  <c r="H32" i="36"/>
  <c r="H47" i="36" s="1"/>
  <c r="H57" i="36" l="1"/>
  <c r="O223" i="27"/>
  <c r="H63" i="36"/>
  <c r="P190" i="27"/>
  <c r="H59" i="36"/>
  <c r="P223" i="27"/>
  <c r="O190" i="27"/>
  <c r="I41" i="36"/>
  <c r="I52" i="36" s="1"/>
  <c r="I63" i="36" s="1"/>
  <c r="J31" i="36"/>
  <c r="J46" i="36" s="1"/>
  <c r="J40" i="36"/>
  <c r="J51" i="36" s="1"/>
  <c r="I32" i="36"/>
  <c r="I47" i="36" s="1"/>
  <c r="I57" i="36" s="1"/>
  <c r="H67" i="36" l="1"/>
  <c r="I59" i="36"/>
  <c r="I67" i="36" s="1"/>
  <c r="J41" i="36"/>
  <c r="J52" i="36" s="1"/>
  <c r="J63" i="36" s="1"/>
  <c r="L31" i="36"/>
  <c r="L46" i="36" s="1"/>
  <c r="K31" i="36"/>
  <c r="K46" i="36" s="1"/>
  <c r="K40" i="36"/>
  <c r="K51" i="36" s="1"/>
  <c r="L40" i="36"/>
  <c r="L51" i="36" s="1"/>
  <c r="J32" i="36"/>
  <c r="J47" i="36" s="1"/>
  <c r="J57" i="36" l="1"/>
  <c r="J59" i="36" s="1"/>
  <c r="J67" i="36" s="1"/>
  <c r="K41" i="36"/>
  <c r="K52" i="36" s="1"/>
  <c r="K63" i="36" s="1"/>
  <c r="L41" i="36"/>
  <c r="L52" i="36" s="1"/>
  <c r="L63" i="36" s="1"/>
  <c r="K32" i="36"/>
  <c r="K47" i="36" s="1"/>
  <c r="L32" i="36"/>
  <c r="L47" i="36" s="1"/>
  <c r="L57" i="36" s="1"/>
  <c r="L59" i="36" l="1"/>
  <c r="L67" i="36" s="1"/>
  <c r="F76" i="36" s="1"/>
  <c r="K57" i="36"/>
  <c r="K59" i="36" s="1"/>
  <c r="F64" i="36"/>
  <c r="K67" i="36" l="1"/>
  <c r="F70" i="36" s="1"/>
  <c r="F60" i="36"/>
  <c r="F77" i="36"/>
  <c r="H79" i="36" s="1"/>
  <c r="F90" i="36" l="1"/>
  <c r="F93" i="36"/>
  <c r="F13" i="37"/>
  <c r="I79" i="36"/>
  <c r="J79" i="36" s="1"/>
  <c r="K79" i="36" s="1"/>
  <c r="L79" i="36" s="1"/>
  <c r="F80" i="36" l="1"/>
  <c r="F83" i="36" s="1"/>
  <c r="F14" i="37"/>
  <c r="F12" i="37" l="1"/>
  <c r="F84" i="36"/>
  <c r="F85" i="36" s="1"/>
  <c r="H91" i="36" l="1"/>
  <c r="I91" i="36" s="1"/>
  <c r="J91" i="36" s="1"/>
  <c r="K91" i="36" s="1"/>
  <c r="L91" i="36" s="1"/>
  <c r="H94" i="36"/>
  <c r="I94" i="36" s="1"/>
  <c r="J94" i="36" s="1"/>
  <c r="K94" i="36" s="1"/>
  <c r="L94" i="36" s="1"/>
  <c r="H86" i="36"/>
  <c r="I86" i="36" s="1"/>
  <c r="J86" i="36" s="1"/>
  <c r="K86" i="36" s="1"/>
  <c r="L86" i="36" s="1"/>
  <c r="F16" i="37"/>
  <c r="H24" i="37" l="1"/>
  <c r="J24" i="37"/>
  <c r="I24" i="37"/>
  <c r="K24" i="37" l="1"/>
  <c r="L24"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8"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<sst xmlns="http://schemas.openxmlformats.org/spreadsheetml/2006/main" count="1264" uniqueCount="622">
  <si>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</si>
  <si>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</si>
  <si>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</si>
  <si>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</si>
  <si>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</si>
  <si>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</si>
  <si>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</si>
  <si>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</si>
  <si>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</si>
  <si>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</si>
  <si>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</si>
  <si>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</si>
  <si>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</si>
  <si>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</si>
  <si>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</si>
  <si>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</si>
  <si>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</si>
  <si>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</si>
  <si>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</si>
  <si>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</si>
  <si>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</si>
  <si>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</si>
  <si>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</si>
  <si>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</si>
  <si>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</si>
  <si>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</si>
  <si>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</si>
  <si>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</si>
  <si>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</si>
  <si>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</si>
  <si>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</si>
  <si>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</si>
  <si>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</si>
  <si>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</si>
  <si>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</si>
  <si>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</si>
  <si>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</si>
  <si>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</si>
  <si>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</si>
  <si>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</si>
  <si>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</si>
  <si>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</si>
  <si>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</si>
  <si>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</si>
  <si>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</si>
  <si>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</si>
  <si>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</si>
  <si>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</si>
  <si>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</si>
  <si>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</si>
  <si>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</si>
  <si>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</si>
  <si>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</si>
  <si>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</si>
  <si>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</si>
  <si>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</si>
  <si>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</si>
  <si>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</si>
  <si>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</si>
  <si>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</si>
  <si>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</si>
  <si>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</si>
  <si>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</si>
  <si>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</si>
  <si>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</si>
  <si>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</si>
  <si>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</si>
  <si>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</si>
  <si>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</si>
  <si>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</si>
  <si>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</si>
  <si>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</si>
  <si>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</si>
  <si>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</si>
  <si>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</si>
  <si>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t>
  </si>
  <si>
    <t>Jaarlijkse CPI</t>
  </si>
  <si>
    <t>1+CPI</t>
  </si>
  <si>
    <t>CPI</t>
  </si>
  <si>
    <t>Frontier shift</t>
  </si>
  <si>
    <t>EUR, pp jaar</t>
  </si>
  <si>
    <t>Berekening CPI-mutatie</t>
  </si>
  <si>
    <t>Berekening frontier shift</t>
  </si>
  <si>
    <t>Kosten (opbrengsten) InterTSO Compensation</t>
  </si>
  <si>
    <t>Operationele kosten EHS</t>
  </si>
  <si>
    <t>Operationele kosten HS</t>
  </si>
  <si>
    <t>2019</t>
  </si>
  <si>
    <t>CPI september jaar t-2 t/m augustus jaar t-1</t>
  </si>
  <si>
    <t>WACC</t>
  </si>
  <si>
    <t>Invulmodule reguleringsdata TenneT 2018</t>
  </si>
  <si>
    <t>Invulmodule reguleringsdata TenneT 2019</t>
  </si>
  <si>
    <t>Reguleringsdata TenneT 2018</t>
  </si>
  <si>
    <t>Reguleringsdata TenneT 2019</t>
  </si>
  <si>
    <t>Tabel 1 - Resultaat</t>
  </si>
  <si>
    <t>Tabel 4 - Operationele kosten</t>
  </si>
  <si>
    <t>Tabel 5 - Berekening op parameters</t>
  </si>
  <si>
    <t>1+CPI van 2018 naar jaar</t>
  </si>
  <si>
    <t>1+CPI van 2019 naar jaar</t>
  </si>
  <si>
    <t>1+CPI van 2020 naar jaar</t>
  </si>
  <si>
    <t xml:space="preserve">1+CPI </t>
  </si>
  <si>
    <t>1-Frontier shift</t>
  </si>
  <si>
    <t>1-FS van 2018 naar jaar</t>
  </si>
  <si>
    <t>1-FS van 2019 naar jaar</t>
  </si>
  <si>
    <t>1-FS van 2020 naar jaar</t>
  </si>
  <si>
    <t>1+%</t>
  </si>
  <si>
    <t>Verwachte operationele kosten EHS binnen scope</t>
  </si>
  <si>
    <t>Verwachte operationele kosten HS buiten scope</t>
  </si>
  <si>
    <t>Verwachte operationele kosten HS binnen scope</t>
  </si>
  <si>
    <t>Tabel 8 - Berekening verwachte operationele kosten</t>
  </si>
  <si>
    <t>GAW Ultimo 2020 HS</t>
  </si>
  <si>
    <t>GAW Ultimo 2020 EHS</t>
  </si>
  <si>
    <t>Afschrijvingen activa geactiveerd t/m 2020 EHS binnen scope</t>
  </si>
  <si>
    <t>GAW activa geactiveerd t/m 2020  EHS binnen scope</t>
  </si>
  <si>
    <t>GAW activa geactiveerd t/m 2020  EHS buiten scope</t>
  </si>
  <si>
    <t>Afschrijvingen activa geactiveerd t/m 2020 HS binnen scope</t>
  </si>
  <si>
    <t>Afschrijvingen activa geactiveerd t/m 2020  HS buiten scope</t>
  </si>
  <si>
    <t>GAW activa geactiveerd t/m 2020 HS buiten scope</t>
  </si>
  <si>
    <t>Kapitaalkosten doorrollen</t>
  </si>
  <si>
    <t>Vermogenskosten</t>
  </si>
  <si>
    <t>Formule</t>
  </si>
  <si>
    <t>Tabel 6 - Berekening kapitaalkosten doorrollen</t>
  </si>
  <si>
    <t>Afschrijvingen en GAW EHS</t>
  </si>
  <si>
    <t>Afschrijvingen en GAW HS</t>
  </si>
  <si>
    <t>Percentage bijschatten bestaand vermogen</t>
  </si>
  <si>
    <t>Percentage bijschatten nieuw vermogen</t>
  </si>
  <si>
    <t>Stijging GAW</t>
  </si>
  <si>
    <t>Totale bijgeschatte GAW</t>
  </si>
  <si>
    <t>Totale doorgerolde GAW</t>
  </si>
  <si>
    <t>Stijging benodigd vermogen</t>
  </si>
  <si>
    <t>Totale GAW ultimo 2020</t>
  </si>
  <si>
    <t>GAW activa doorrollen t/m 2020 binnen scope EHS</t>
  </si>
  <si>
    <t>Verwachte kapitaalkosten bijschatten EHS binnen scope</t>
  </si>
  <si>
    <t>Verwachte kapitaalkosten bijschatten EHS buiten scope</t>
  </si>
  <si>
    <t>GAW activa doorrollen t/m 2020 binnen scope HS</t>
  </si>
  <si>
    <t>GAW activa doorrollen t/m 2020 buiten scope HS</t>
  </si>
  <si>
    <t>Verwachte kapitaalkosten bijschatten HS binnen scope</t>
  </si>
  <si>
    <t>Verwachte kapitaalkosten bijschatten HS buiten scope</t>
  </si>
  <si>
    <t>Vermogenskosten doorrollen HS binnen scope</t>
  </si>
  <si>
    <t>Vermogenskosten doorrollen HS buiten scope</t>
  </si>
  <si>
    <t>Kapitaalkosten doorrollen HS binnen scope</t>
  </si>
  <si>
    <t>Kapitaalkosten doorrollen HS buiten scope</t>
  </si>
  <si>
    <t>Vermogenskosten doorrollen EHS binnen scope</t>
  </si>
  <si>
    <t>Kapitaalkosten doorrollen EHS binnen scope</t>
  </si>
  <si>
    <t>GAW activa geactiveerd t/m 2020 HS binnen scope</t>
  </si>
  <si>
    <t>Afschrijvingen activa geactiveerd t/m 2020 HS buiten scope</t>
  </si>
  <si>
    <t>Toegestane inkomsten</t>
  </si>
  <si>
    <t>X-factor</t>
  </si>
  <si>
    <t>X-factor (onafgerond)</t>
  </si>
  <si>
    <t>EUR, pp 2021</t>
  </si>
  <si>
    <t>Begininkomsten</t>
  </si>
  <si>
    <t>Definitieve resultaten</t>
  </si>
  <si>
    <t>Netto contante waarde 2022</t>
  </si>
  <si>
    <t>Totale toegestane inkomsten x-factormethode</t>
  </si>
  <si>
    <t>Toegestane inkomsten die volgen uit begininkomsten en x-factor</t>
  </si>
  <si>
    <t>EUR,  pp 2026</t>
  </si>
  <si>
    <t>Eindinkomsten</t>
  </si>
  <si>
    <t>De waarde in de roze cel is door de oplosser berekend. Zie de toelichting bij de oplosser in het tabblad 'Bronnen en toepassingen' voor een meer gedetailleerdere toelichting.</t>
  </si>
  <si>
    <t>EUR,  pp 2021</t>
  </si>
  <si>
    <t>Hulpberekeningen voor de oplosser</t>
  </si>
  <si>
    <t xml:space="preserve">Berekening x-factor &amp; begininkomsten </t>
  </si>
  <si>
    <t>Totale verwachte efficiënte kosten</t>
  </si>
  <si>
    <t>Verwachte efficiënte kosten</t>
  </si>
  <si>
    <t>Berekening verwachte efficiënte kosten</t>
  </si>
  <si>
    <t>Berekening verwachte kosten</t>
  </si>
  <si>
    <t>1+ CPI van 2021 naar 2026</t>
  </si>
  <si>
    <t>Jaarlijkse consumentenprijsindex</t>
  </si>
  <si>
    <t>1+ discontovoet</t>
  </si>
  <si>
    <t>Op dit tabblad berekent de ACM de verwachte kosten, de verwachte efficiënte kosten, de begininkomsten, de eindinkomsten, de x-factor en de toegestane inkomsten. De eindinkomsten zijn gelijk aan de verwachte efficiënte kosten 2026. De x-factor is het resultaat van een berekening van het verschil tussen de verwachte jaarlijkse ontwikkeling van de CPI in de periode 2021-2026 en de jaarlijkse ontwikkeling tussen de begininkomsten en de eindinkomsten. Zie 'toelichting bij bijzonderheden' voor een toelichting bij de berekening van de begininkomsten.</t>
  </si>
  <si>
    <t>Tabel 9 - X-factorberekening</t>
  </si>
  <si>
    <t>Nominale WACC bestaand vermogen</t>
  </si>
  <si>
    <t>Verwachte kosten EHS binnen scope</t>
  </si>
  <si>
    <t>Verwachte efficiënte kosten EHS</t>
  </si>
  <si>
    <t>Verwachte kosten HS binnen scope</t>
  </si>
  <si>
    <t>Verwachte kosten HS buiten scope</t>
  </si>
  <si>
    <t>Verwachte efficiënte kosten HS</t>
  </si>
  <si>
    <t>Verwachte kosten HS</t>
  </si>
  <si>
    <t>Verwachte kosten EHS</t>
  </si>
  <si>
    <t>Op dit tabblad toont de ACM de begininkomsten, toegestane inkomsten en x-factor. Deze gegevens zijn het resultaat van berekening op de berekeningstabbladen in dit bestand. Voor de tarievenbesluiten zijn enkel de begininkomsten en x-factor van belang. De geschatte CPI en toegestane inkomsten dienen om een globaal beeld te geven van de inkomsten gedurende de periode. De daadwerkelijke inflatie kan afwijken, waarmee ook de toegestane inkomsten in de tarievenbesluiten kunnen afwijken. Ook worden er in de tarievenbesluiten nog correcties doorgevoerd die van invloed zijn op de toegestane inkomsten.</t>
  </si>
  <si>
    <t>Begininkomsten en X-factor</t>
  </si>
  <si>
    <t>Geschatte inflatie</t>
  </si>
  <si>
    <t>Samenhang van dit bestand met andere bestanden</t>
  </si>
  <si>
    <t>Reguleringsdata</t>
  </si>
  <si>
    <t>GAW model</t>
  </si>
  <si>
    <t>X-factormodel</t>
  </si>
  <si>
    <t>Toelichting samenhang tabbladen:</t>
  </si>
  <si>
    <t>Inputs</t>
  </si>
  <si>
    <t>Berekeningen</t>
  </si>
  <si>
    <t>2. Reguleringsparameters</t>
  </si>
  <si>
    <t>5. Berekening op parameters</t>
  </si>
  <si>
    <t>[berekeningstabbladen]</t>
  </si>
  <si>
    <t>3. GAW model</t>
  </si>
  <si>
    <t>6. Berekening doorrollen</t>
  </si>
  <si>
    <t>7. Berekening bijschatten</t>
  </si>
  <si>
    <t>9. Berekening x-factor</t>
  </si>
  <si>
    <t>1. Resultaat</t>
  </si>
  <si>
    <t>4. Operationele kosten</t>
  </si>
  <si>
    <t>8. Berekening oper. kosten</t>
  </si>
  <si>
    <t>Oplosser</t>
  </si>
  <si>
    <t>Gebruik van oplosser</t>
  </si>
  <si>
    <t xml:space="preserve">Op het tabblad ‘X-factor berekening’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‘X-factorberekening’ worden aangepast, dan veranderen de begininkomsten niet automatisch mee. In dat geval moet de oplosser worden gebruikt om de begininkomsten opnieuw te berekenen.  De begininkomsten met de oplosserworden als volgt berekend:
Op het tabblad 'X-factor berekening' gebruikt de ACM de invoegtoepassing "oplosser". Uitleg over hoe deze invoegtoepassing ingeladen kan worden is te vinden via deze link:
</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</si>
  <si>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</si>
  <si>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</si>
  <si>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Berekening kapitaalkosten doorrollen EHS</t>
  </si>
  <si>
    <t>Inkoopkosten energie &amp; vermogen EHS (buiten scope)</t>
  </si>
  <si>
    <t>Inkoopkosten energie &amp; vermogen HS (buiten scope)</t>
  </si>
  <si>
    <t>1-%</t>
  </si>
  <si>
    <t>EUR, pp 2019</t>
  </si>
  <si>
    <t>COBRA - TenneT Kennisgevingsformulier COBRAcable (COBRA) - 20200722 (FINAL)</t>
  </si>
  <si>
    <t>COBRA - TenneT Kennisgevingsformulier</t>
  </si>
  <si>
    <t>COBRA - TenneT Kennisgevingsformulier, tabel 2 (B), rij 32, regulatorische waarde uit kolom Q</t>
  </si>
  <si>
    <t>Belastingen</t>
  </si>
  <si>
    <t>Inkoop transport bij regionale netbeheerders</t>
  </si>
  <si>
    <t>Rekenmodule RCR-investeringen, tab 31, cel L29</t>
  </si>
  <si>
    <t>Rekenmodule RCR-investeringen, tab 31, cel L39</t>
  </si>
  <si>
    <t>Rekenmodule RCR-investeringen</t>
  </si>
  <si>
    <t>Rekenmodule RCR-investeringen TenneT 2021</t>
  </si>
  <si>
    <t>De ACM gebruikt de oplosser om de begininkomsten te berekenen. De aanleiding daarvoor is als volgt. Een gevolg van de gewijzigde methode is dat een preciezere schatting van de ontwikkeling van de efficiënte kapitaalkosten mogelijk is.  Dat leidt er echter ook toe dat er niet per definitie sprake is van een gelijkmatige ontwikkeling van de efficiënte kosten tijdens de reguleringsperiode. Een gewijzigde verdeling van kapitaalkosten over de tijd leidt bijvoorbeeld tot een stijging vanaf het ingangsjaar en een verwachte daling daarna.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x-factor. Daardoor ontstaat – zeker bij een ongelijkmatige ontwikkeling van de verwachte efficiënte kosten – het risico dat TenneT gesommeerd over de reguleringsperiode aanzienlijk meer of minder dan haar verwachte efficiënte kosten kan terugverdienen via de tarieven. Dat zou leiden tot over- of onderdekking van de verwachte efficiënte kosten over de reguleringsperiode.
Het doel van de methode is dat TenneT in beginsel haar verwachte efficiënte kosten inclusief een redelijk rendement dat in het economisch verkeer gebruikelijk is terug kan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TenneT haar verwachte efficiënte kosten terug kan verdienen.
Een expliciete berekening voor de begininkomsten 2021 inbouwen in het x-factormodel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</si>
  <si>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 xml:space="preserve">Het percentage van de GAW dat onder de WACC nieuw vermogen valt wordt over beide netvlakken gezamenlijk bepaald. Als de totale activawaarde (de GAW van doorrollen + bijschatten) hoger is dan de GAW ultimo 2020 wordt over de stijging de WACC nieuw vermogen toegepast. </t>
  </si>
  <si>
    <t>1 - Frontier shift van … naar …</t>
  </si>
  <si>
    <t xml:space="preserve">1+ CPI van … naar … </t>
  </si>
  <si>
    <t>Berekening discontovoet</t>
  </si>
  <si>
    <t>1 + Discontovoet</t>
  </si>
  <si>
    <t xml:space="preserve">Nominale WACC </t>
  </si>
  <si>
    <t>1 + Discontovoet van ... naar…</t>
  </si>
  <si>
    <t>COBRA - TenneT Kennisgevingsformulier, tabel 2 (A), rij 32, regulatorische waarde uit kolom P + tabel 2 (B), rij 32, regulatorische waarde uit kolom P</t>
  </si>
  <si>
    <t>Link</t>
  </si>
  <si>
    <t>Netverliezen</t>
  </si>
  <si>
    <t>Blindvermogen betrekken</t>
  </si>
  <si>
    <t>Oplossen transportbeperkingen</t>
  </si>
  <si>
    <t>Netverliezen EHS (buiten scope)</t>
  </si>
  <si>
    <t>Blindvermogen betrekken EHS (buiten scope)</t>
  </si>
  <si>
    <t>Oplossen transportbeperkingen EHS (buiten scope)</t>
  </si>
  <si>
    <t>Netverliezen HS (buiten scope)</t>
  </si>
  <si>
    <t>Blindvermogen betrekken HS (buiten scope)</t>
  </si>
  <si>
    <t>Oplossen transportbeperkingen HS (buiten scope)</t>
  </si>
  <si>
    <t>ACM/UIT/505474</t>
  </si>
  <si>
    <t>Ja</t>
  </si>
  <si>
    <t xml:space="preserve">Op dit tabblad berekent de ACM de bijschating van kapitaalkosten van activa geactiveerd vanaf 2020 (bijschatten). De hoogte van de bijschatting en de daaruit volgende GAW en afschrijvingen worden berekend in het GAW model. De kapitaalkosten bestaan uit de afschrijvingen en de vermogenskosten. De vermogenskosten worden berekend door de gestandaardiseerde activawaarde (GAW) te vermenigvuldigen met de gewogen gemiddelde kosten van kapitaal (WACC). </t>
  </si>
  <si>
    <t>Theta beginjaar reguleringsperiode</t>
  </si>
  <si>
    <t>jaren</t>
  </si>
  <si>
    <t>Resterende ingroeiperiode bij aanvang reguleringsperiode</t>
  </si>
  <si>
    <t xml:space="preserve">Verwachte operationele kosten HS binnen scope </t>
  </si>
  <si>
    <t>Uitkomst projectspecifieke doelmatigheidstoets</t>
  </si>
  <si>
    <t>Directe algemene operationele kosten EHS</t>
  </si>
  <si>
    <t>Directe algemene operationele kosten EHS (buiten scope)</t>
  </si>
  <si>
    <t>Directe algemene operationele kosten HS</t>
  </si>
  <si>
    <t>Directe algemene operationele kosten HS (buiten scope)</t>
  </si>
  <si>
    <t>Indirecte algemene operationele kosten TenneT</t>
  </si>
  <si>
    <t>GAW activa bijschatten vanaf 2021 EHS binnen scope</t>
  </si>
  <si>
    <t>GAW activa bijschatten vanaf 2021 EHS buiten scope</t>
  </si>
  <si>
    <t>Afschrijvingen activa bijschatten vanaf 2021 EHS buiten scope</t>
  </si>
  <si>
    <t>Afschrijvingen activa bijschatten vanaf 2021 EHS binnen scope</t>
  </si>
  <si>
    <t>Afschrijvingen activa bijschatten vanaf 2021 HS binnen scope</t>
  </si>
  <si>
    <t>GAW activa bijschatten vanaf 2021 HS binnen scope</t>
  </si>
  <si>
    <t>Afschrijvingen activa bijschatten vanaf 2021 HS buiten scope</t>
  </si>
  <si>
    <t>GAW activa bijschatten vanaf 2021 HS buiten scope</t>
  </si>
  <si>
    <t>1+ discontovoet van pp 2022 naar pp jaar</t>
  </si>
  <si>
    <t>1- FS</t>
  </si>
  <si>
    <t>Verwachte efficiënte kosten voor alle netvlakken</t>
  </si>
  <si>
    <t>Berekening kapitaalkosten doorrollen HS</t>
  </si>
  <si>
    <t>Marge</t>
  </si>
  <si>
    <t>Statische efficiëntiescore</t>
  </si>
  <si>
    <t>Statische efficiëntie</t>
  </si>
  <si>
    <t>Parameters ten behoeve van berekening vergoeding Cobra-kabel</t>
  </si>
  <si>
    <t>Uitkomst projectspecifieke doelmatigheidstoets Cobra-kabel</t>
  </si>
  <si>
    <t>Vergoeding operationele kosten na ingebruikname Cobra-kabel</t>
  </si>
  <si>
    <t>OPEX na ingebruikname voor Cobra-kabel onshore</t>
  </si>
  <si>
    <t>OPEX na ingebruikname voor Cobra-kabel offshore</t>
  </si>
  <si>
    <t>Waarde activa per IBN incl. afloopinvesteringen Cobra-kabel onshore (excl. subsidie)</t>
  </si>
  <si>
    <t>Waarde activa per IBN incl. afloopinvesteringen Cobra-kabel offshore (excl. subsidie)</t>
  </si>
  <si>
    <t>Cumulatieve vermogenskosten Cobra-kabel totaal</t>
  </si>
  <si>
    <t>Cumulatieve vermogenskosten Cobra-kabel offshore</t>
  </si>
  <si>
    <t>Afschrijvingen activa geactiveerd t/m 2020  EHS buiten scope excl. Cobra-kabel</t>
  </si>
  <si>
    <t>Vermogenskosten doorrollen EHS buiten scope excl. Cobra-kabel</t>
  </si>
  <si>
    <t>Kapitaalkosten doorrollen EHS buiten scope excl. Cobra-kabel</t>
  </si>
  <si>
    <t>GAW activa doorrollen t/m 2020 buiten scope EHS excl. Cobra-kabel</t>
  </si>
  <si>
    <t>Algemene operationele kosten Cobra-kabel onshore (buiten scope)</t>
  </si>
  <si>
    <t>Algemene operationele kosten Cobra-kabel offshore (buiten scope)</t>
  </si>
  <si>
    <t>Verwachte operationele kosten EHS buiten scope excl. Cobra-kabel</t>
  </si>
  <si>
    <t>Verwachte operationele kosten EHS buiten scope Cobra-kabel</t>
  </si>
  <si>
    <t>Verwachte kosten EHS buiten scope excl. Cobra-kabel</t>
  </si>
  <si>
    <t>Verwachte efficiënte kosten EHS Cobra-kabel</t>
  </si>
  <si>
    <t>Efficiënte kapitaalkosten doorrollen EHS buiten scope Cobra-kabel</t>
  </si>
  <si>
    <t>Verwachte efficiënte kosten EHS buiten scope Cobra-kabel</t>
  </si>
  <si>
    <t>Verwachte efficiënte kosten EHS excl. Cobra-kabel</t>
  </si>
  <si>
    <t>Tabel 2 - Reguleringsparameters</t>
  </si>
  <si>
    <t>Verwachte verandering OPEX a.g.v. uitbreiding/krimp van de netomvang: % van verandering aanschafwaarden</t>
  </si>
  <si>
    <t>Verwachte verandering OPEX a.g.v. uitbreiding/krimp van de netomvang</t>
  </si>
  <si>
    <t xml:space="preserve">Directe algemene operationele kosten HS </t>
  </si>
  <si>
    <t>Op dit tabblad voert de ACM berekeningen op de CPI, de frontier shift, de nominale WACC en de thèta uit, zodat deze toegepast kunnen worden in de berekening van de verwachte efficiënte kosten. In de tariefregulering is de WACC de schatting van de vermogenskostenvoet. Daarom gebruikt de ACM de WACC als disconteringsvoet voor de verschillen. De ACM gebruikt de nominale WACC omdat deze WACC ook een inflatievergoeding voor vermogensverschaffers bevat.</t>
  </si>
  <si>
    <t>Tabel 7 - Berekening verwachte kapitaalkosten bijschatten</t>
  </si>
  <si>
    <t>Toerekening directe algemene operationele kosten aan binnen of buiten scope</t>
  </si>
  <si>
    <t>Berekening verwachte operationele kosten EHS</t>
  </si>
  <si>
    <t>Reële aanschafwaarden</t>
  </si>
  <si>
    <t>Berekening verwachte operationele kosten HS</t>
  </si>
  <si>
    <t>Methodebesluit 2017-2021</t>
  </si>
  <si>
    <t>CBS</t>
  </si>
  <si>
    <t>CBS Statline Jaarmutatie consumentenprijsindex</t>
  </si>
  <si>
    <t>Op dit tabblad berekent de ACM de kapitaalkosten van activa geactiveerd tot en met 2020 (doorrollen). De kapitaalkosten bestaan uit de afschrijvingen en de vermogenskosten. De vermogenskosten worden berekend door de gestandardiseerde activawaarde (GAW) te vermenigvuldigen met de gewogen gemiddelde kosten van kapitaal (WACC). Bij het bepalen van de efficiënte kapitaalkosten van de Cobra-kabel past de ACM het percentage uit de projectspecifieke doelmatigheidstoets toe.</t>
  </si>
  <si>
    <t>Verwachte kapitaalkosten bijschatten</t>
  </si>
  <si>
    <t>Verwachte vermogenskosten</t>
  </si>
  <si>
    <t>Verwachte vermogenskosten bijschatten EHS binnen scope</t>
  </si>
  <si>
    <t>Verwachte vermogenskosten bijschatten EHS buiten scope</t>
  </si>
  <si>
    <t>Berekening verwachte kapitaalkosten bijschatten EHS</t>
  </si>
  <si>
    <t>Berekening verwachte kapitaalkosten bijschatten HS</t>
  </si>
  <si>
    <t>Verwachte vermogenskosten bijschatten HS binnen scope</t>
  </si>
  <si>
    <t>Verwachte vermogenskosten bijschatten HS buiten scope</t>
  </si>
  <si>
    <t>Gewijzigd Methodebesluit Transporttaken TenneT 2017-2021</t>
  </si>
  <si>
    <t>Verwachte operationele kosten wegens het in stand houden van het net EHS</t>
  </si>
  <si>
    <t>Verwachte verandering operationele kosten a.g.v. veranderende netomvang EHS</t>
  </si>
  <si>
    <t>Verwachte operationele kosten EHS</t>
  </si>
  <si>
    <t>Verwachte operationele kosten wegens het in stand houden van het net HS</t>
  </si>
  <si>
    <t>Verwachte verandering operationele kosten a.g.v. veranderende netomvang HS</t>
  </si>
  <si>
    <t>Verwachte operationele kosten HS</t>
  </si>
  <si>
    <t xml:space="preserve">Verwachte efficiënte kosten EHS </t>
  </si>
  <si>
    <t>Totale verwachte efficiënte kosten EHS</t>
  </si>
  <si>
    <t>Totale verwachte efficiënte kosten HS</t>
  </si>
  <si>
    <t>Toegestane inkomsten EHS</t>
  </si>
  <si>
    <t>Toegestane inkomsten HS</t>
  </si>
  <si>
    <t>Begininkomsten EHS</t>
  </si>
  <si>
    <t>Begininkomsten HS</t>
  </si>
  <si>
    <t>Berekening begininkomsten en toegestane inkomsten per netvlak</t>
  </si>
  <si>
    <t xml:space="preserve">Directe algemene operationele kosten excl. kosten voor Cobra-kabel </t>
  </si>
  <si>
    <t>Directe algemene operationele kosten</t>
  </si>
  <si>
    <t>Aanvulling reguleringsdata TenneT 2018-2019, tab 2A. Algemene OPEX 2018, cel N54; Aanvulling reguleringsdata TenneT 2018-2019, tab 2A. Algemene OPEX 2019, cel N54; Reguleringsdata TenneT 2020, tab 2A, cel N54</t>
  </si>
  <si>
    <t>Aanvulling reguleringsdata TenneT 2018-2019, tab 2A. Algemene OPEX 2018, cel L54; Aanvulling reguleringsdata TenneT 2018-2019, tab 2A. Algemene OPEX 2019, cel L54; Reguleringsdata TenneT 2020, tab 2A, cel L54</t>
  </si>
  <si>
    <t>Aanvulling reguleringsdata TenneT 2018-2019, tab 2A. Algemene OPEX 2018, cel L31; Aanvulling reguleringsdata TenneT 2018-2019, tab 2A. Algemene OPEX 2019, cel L31; Reguleringsdata TenneT 2020, tab 2A, cel L31</t>
  </si>
  <si>
    <t>Aanvulling reguleringsdata TenneT 2018-2019, tab 2A. Algemene OPEX 2018, cel N33; Aanvulling reguleringsdata TenneT 2018-2019, tab 2A. Algemene OPEX 2019, cel N33; Reguleringsdata TenneT 2020, tab 2A, cel N33</t>
  </si>
  <si>
    <t xml:space="preserve">Aanvulling reguleringsdata TenneT 2018-2019, tab 2A. Algemene OPEX 2018, som van cellen J23 en J36 t/m J42; Aanvulling reguleringsdata TenneT 2018-2019, tab 2A. Algemene OPEX 2019, som van cellen J23 en J36 t/m J42; Reguleringsdata TenneT 2020, tab 2A, som van cellen J23 en J36 t/m J42 </t>
  </si>
  <si>
    <t>Aanvulling reguleringsdata TenneT 2018-2019, tab 2A. Algemene OPEX 2018, som van cellen J45 t/m J48, J50 en J51; Aanvulling reguleringsdata TenneT 2018-2019, tab 2A. Algemene OPEX 2019, som van cellen J45 t/m J48, J50 en J51; Reguleringsdata TenneT 2020, tab 2A, som van cellen J45 t/m J48, J50 en J51</t>
  </si>
  <si>
    <t>Aanvulling reguleringsdata TenneT 2018-2019, tab 2A. Algemene OPEX 2018, cel J26; Aanvulling reguleringsdata TenneT 2018-2019, tab 2A. Algemene OPEX 2019, cel J26; Reguleringsdata TenneT 2020, tab 2A, cel J26</t>
  </si>
  <si>
    <t>Precario</t>
  </si>
  <si>
    <t>Kosten bedrijfsvoering NorNed-kabel</t>
  </si>
  <si>
    <t>Onderhouds- en exploitatiekosten transportnetten: Landowner compensation, right-of-way and easement fees</t>
  </si>
  <si>
    <t>Huisvestingskosten: Rent/lease main office building</t>
  </si>
  <si>
    <t>Grondslagendocument RD2020, p.30</t>
  </si>
  <si>
    <t>Grondslagendocument RD2020, p.29</t>
  </si>
  <si>
    <t>Directe algemene operationele kosten EHS excl. Cobra-kabel en kosten (opbrengsten) InterTSO Compensation</t>
  </si>
  <si>
    <t xml:space="preserve">Directe algemene operationele kosten EHS buiten scope excl. Cobra-kabel </t>
  </si>
  <si>
    <t>Directe algemene operationele kosten HS excl. inkoopkosten naastgelegen netten</t>
  </si>
  <si>
    <t>Directe algemene operationele kosten HS buiten scope</t>
  </si>
  <si>
    <t>Directe algemene operationele kosten HS binnen scope</t>
  </si>
  <si>
    <t xml:space="preserve">Directe algemene operationele kosten EHS binnen scope </t>
  </si>
  <si>
    <t>Indirecte algemene operationele kosten EHS buiten scope</t>
  </si>
  <si>
    <t>Indirecte algemene operationele kosten HS buiten scope</t>
  </si>
  <si>
    <t>Percentage indirecte algemene operationele kosten toegewezen aan EHS op basis van verdeelsleutel 2</t>
  </si>
  <si>
    <t>Percentage indirecte algemene operationele kosten toegewezen aan EHS op basis van verdeelsleutel 3</t>
  </si>
  <si>
    <t>Percentage indirecte algemene operationele kosten toegewezen aan EHS op basis van verdeelsleutel 4</t>
  </si>
  <si>
    <t>Percentage indirecte algemene operationele kosten toegewezen aan HS op basis van verdeelsleutel 2</t>
  </si>
  <si>
    <t>Percentage indirecte algemene operationele kosten toegewezen aan HS op basis van verdeelsleutel 3</t>
  </si>
  <si>
    <t>Percentage indirecte algemene operationele kosten toegewezen aan HS op basis van verdeelsleutel 4</t>
  </si>
  <si>
    <t>Verdeelsleutels indirecte algemene operationele kosten 2020</t>
  </si>
  <si>
    <t>Reguleringsdata TenneT 2020</t>
  </si>
  <si>
    <t>Aanvulling reguleringsdata TenneT 2018-2019</t>
  </si>
  <si>
    <t>Invulmodule reguleringsdata TenneT - Aanvulling 2018-2019</t>
  </si>
  <si>
    <t>Invulmodule reguleringsdata TenneT 2020</t>
  </si>
  <si>
    <t>Grondslagendocument RD2020</t>
  </si>
  <si>
    <t>Grondslagendocument bij CODATA-verzoek Reguleringsdata TenneT TSO B.V. 2020</t>
  </si>
  <si>
    <t>Indirecte algemene operationele kosten TenneT toebedeeld op basis van verdeelsleutel 2</t>
  </si>
  <si>
    <t>Indirecte algemene operationele kosten TenneT toebedeeld op basis van verdeelsleutel 3</t>
  </si>
  <si>
    <t>Indirecte algemene operationele kosten TenneT toebedeeld op basis van verdeelsleutel 4</t>
  </si>
  <si>
    <t xml:space="preserve">Op dit tabblad geeft de ACM een overzicht van de relevante reguleringsparameters voor de reguleringsperiode 2022-2026, te weten: WACC, CPI, de statische efficiëntiescore, frontier shift, verwachte verandering opex als gevolg van uitbreiding/krimp van de netomvang, enkele parameters ten behoeve van de berekening van de vergoeding Cobra-kabel en de verdeelsleutels voor de indirecte algemene operationele kosten. Aan de hand van deze reguleringsparameters berekent de ACM de verwachte efficiënte kosten van TenneT voor de jaren 2022 t/m 2026 en uiteindelijk de x-factor. </t>
  </si>
  <si>
    <t>Op dit tabblad berekent de ACM de verwachte operationele kosten van TenneT. De ACM schat de operationele kosten voor ieder jaar van de reguleringsperiode op basis van de gerealiseerde algemene operationele kosten exclusief Cobra-kabel en inkoopkosten energie &amp; vermogen in de jaren 2018 t/m 2020, een vast percentage voor de operationele kosten van het efficiënte investeringsbedrag (inclusief bouwrente) van de Cobra-kabel en een verandering als gevolg van de veranderende netomvang. Hierbij worden de gerealiseerde indirecte algemene operationele kosten in de jaren 2018 t/m 2020 op basis van de verdeelsleutels 2020 toebedeeld aan het EHS/HS net.</t>
  </si>
  <si>
    <t>Investeringswaarden Cobra-kabel</t>
  </si>
  <si>
    <t>Invulmodule RD OPEX buiten scope, tab 1A, cel L21; Invulmodule RD OPEX buiten scope, tab 1B, cel L21; Invulmodule RD OPEX buiten scope, tab 1C, cel L21</t>
  </si>
  <si>
    <t>Invulmodule RD OPEX buiten scope, tab 1A, cel N21; Invulmodule RD OPEX buiten scope, tab 1B, cel N21; Invulmodule RD OPEX buiten scope, tab 1C, cel N21</t>
  </si>
  <si>
    <t>Invulmodule RD OPEX buiten scope, tab 1A, cel L26; Invulmodule RD OPEX buiten scope, tab 1B, cel L26; Invulmodule RD OPEX buiten scope, tab 1C, cel L26</t>
  </si>
  <si>
    <t>Invulmodule RD OPEX buiten scope, tab 1A, cel L27; Invulmodule RD OPEX buiten scope, tab 1B, cel L27; Invulmodule RD OPEX buiten scope, tab 1C, cel L27</t>
  </si>
  <si>
    <t>Invulmodule RD OPEX buiten scope, tab 1A, cel L29; Invulmodule RD OPEX buiten scope, tab 1B, cel L29; Invulmodule RD OPEX buiten scope, tab 1C, cel L29</t>
  </si>
  <si>
    <t>Invulmodule RD OPEX buiten scope, tab 1A, cel N26; Invulmodule RD OPEX buiten scope, tab 1B, cel N26; Invulmodule RD OPEX buiten scope, tab 1C, cel N26</t>
  </si>
  <si>
    <t>Invulmodule RD OPEX buiten scope, tab 1A, cel N27; Invulmodule RD OPEX buiten scope, tab 1B, cel N27; Invulmodule RD OPEX buiten scope, tab 1C, cel N27</t>
  </si>
  <si>
    <t>Invulmodule RD OPEX buiten scope</t>
  </si>
  <si>
    <t>Om de begininkomsten te bepalen, gebruikt de ACM de invoegtoepassing 'Oplosser'. Een expliciete berekening voor de begininkomsten 2021 modelleren in het x-factormodel is namelijk onevenredig complex. Voor meer toelichting hierbij, zie het tabblad 'Bronnen en toepassingen'.
De ACM verdeelt de begininkomsten naar rato over de netvlakken. Dit doet zij op basis van het aandeel van de totale verwachte efficiënte kosten EHS en HS in de totale verwachte efficiënte kosten.</t>
  </si>
  <si>
    <t xml:space="preserve">Indirecte algemene operationele kosten TenneT </t>
  </si>
  <si>
    <t>Onderhouds- en exploitatiekosten transportnetten: Non-grid insurance voor I buiten scope</t>
  </si>
  <si>
    <t>Personnel expenses voor I buiten scope</t>
  </si>
  <si>
    <t>Overige bedrijfskosten: Taxes and levies</t>
  </si>
  <si>
    <t>Other expenses voor I buiten scope</t>
  </si>
  <si>
    <t>Invulmodule RD OPEX buiten scope, tab 1A, cel M21; Invulmodule RD OPEX buiten scope, tab 1B, cel M21; Invulmodule RD OPEX buiten scope, tab 1C, cel M21</t>
  </si>
  <si>
    <t>Invulmodule RD OPEX buiten scope, tab 1A, cel M23; Invulmodule RD OPEX buiten scope, tab 1B, cel M23; Invulmodule RD OPEX buiten scope, tab 1C, cel M23</t>
  </si>
  <si>
    <t>Invulmodule RD OPEX buiten scope, tab 1A, cel M41; Invulmodule RD OPEX buiten scope, tab 1B, cel M41; Invulmodule RD OPEX buiten scope, tab 1C, cel M41</t>
  </si>
  <si>
    <t>Invulmodule RD OPEX buiten scope, tab 1A, cel M45; Invulmodule RD OPEX buiten scope, tab 1B, cel M45; Invulmodule RD OPEX buiten scope, tab 1C, cel M45</t>
  </si>
  <si>
    <t>Invulmodule RD OPEX buiten scope, tab 1A, cel M52; Invulmodule RD OPEX buiten scope, tab 1B, cel M52; Invulmodule RD OPEX buiten scope, tab 1C, cel M52</t>
  </si>
  <si>
    <t>Invulmodule RD OPEX buiten scope, tab 1A, cel M54; Invulmodule RD OPEX buiten scope, tab 1B, cel M54; Invulmodule RD OPEX buiten scope, tab 1C, cel M54</t>
  </si>
  <si>
    <t>Invulmodule RD OPEX buiten scope, tab 1A, cel O21; Invulmodule RD OPEX buiten scope, tab 1B, cel O21; Invulmodule RD OPEX buiten scope, tab 1C, cel O21</t>
  </si>
  <si>
    <t>Invulmodule RD OPEX buiten scope, tab 1A, cel O23; Invulmodule RD OPEX buiten scope, tab 1B, cel O23; Invulmodule RD OPEX buiten scope, tab 1C, cel O23</t>
  </si>
  <si>
    <t>Invulmodule RD OPEX buiten scope, tab 1A, cel O41; Invulmodule RD OPEX buiten scope, tab 1B, cel O41; Invulmodule RD OPEX buiten scope, tab 1C, cel O41</t>
  </si>
  <si>
    <t>Invulmodule RD OPEX buiten scope, tab 1A, cel O45; Invulmodule RD OPEX buiten scope, tab 1B, cel O45; Invulmodule RD OPEX buiten scope, tab 1C, cel O45</t>
  </si>
  <si>
    <t>Invulmodule RD OPEX buiten scope, tab 1A, cel O52; Invulmodule RD OPEX buiten scope, tab 1B, cel O52; Invulmodule RD OPEX buiten scope, tab 1C, cel O52</t>
  </si>
  <si>
    <t>Invulmodule RD OPEX buiten scope, tab 1A, cel O54; Invulmodule RD OPEX buiten scope, tab 1B, cel O54; Invulmodule RD OPEX buiten scope, tab 1C, cel O54</t>
  </si>
  <si>
    <t>Onderzoekskosten</t>
  </si>
  <si>
    <t>ACM toezicht</t>
  </si>
  <si>
    <t>Invulmodule RD OPEX buiten scope, tab 1A, cel M48; Invulmodule RD OPEX buiten scope, tab 1B, cel M48; Invulmodule RD OPEX buiten scope, tab 1C, cel M48</t>
  </si>
  <si>
    <t>Invulmodule RD OPEX buiten scope, tab 1A, cel M50; Invulmodule RD OPEX buiten scope, tab 1B, cel M50; Invulmodule RD OPEX buiten scope, tab 1C, cel M50</t>
  </si>
  <si>
    <t>Invulmodule RD OPEX buiten scope, tab 1A, cel O50; Invulmodule RD OPEX buiten scope, tab 1B, cel O50; Invulmodule RD OPEX buiten scope, tab 1C, cel O50</t>
  </si>
  <si>
    <t>Indirecte algemene operationele kosten toegewezen aan HS o.b.v. originele verdeelsleutel buiten scope</t>
  </si>
  <si>
    <t>Indirecte algemene operationele kosten toegewezen aan EHS o.b.v. originele verdeelsleutel buiten scope</t>
  </si>
  <si>
    <t>Indirecte algemene operationele kosten EHS binnen scope</t>
  </si>
  <si>
    <t>Reële aanschafwaarde bijgeschatte investeringen 2021 EHS binnen scope</t>
  </si>
  <si>
    <t>Reële aanschafwaarde bijgeschatte investeringen 2022 EHS binnen scope</t>
  </si>
  <si>
    <t>Reële aanschafwaarde bijgeschatte investeringen 2023 EHS binnen scope</t>
  </si>
  <si>
    <t>Reële aanschafwaarde bijgeschatte investeringen 2024 EHS binnen scope</t>
  </si>
  <si>
    <t>Reële aanschafwaarde bijgeschatte investeringen 2025 EHS binnen scope</t>
  </si>
  <si>
    <t>Reële aanschafwaarde bijgeschatte investeringen 2026 EHS binnen scope</t>
  </si>
  <si>
    <t xml:space="preserve">Reële aanschafwaarde bijgeschatte investeringen 2021 EHS buiten scope </t>
  </si>
  <si>
    <t xml:space="preserve">Reële aanschafwaarde bijgeschatte investeringen 2022 EHS buiten scope </t>
  </si>
  <si>
    <t xml:space="preserve">Reële aanschafwaarde bijgeschatte investeringen 2023 EHS buiten scope </t>
  </si>
  <si>
    <t xml:space="preserve">Reële aanschafwaarde bijgeschatte investeringen 2024 EHS buiten scope </t>
  </si>
  <si>
    <t xml:space="preserve">Reële aanschafwaarde bijgeschatte investeringen 2025 EHS buiten scope </t>
  </si>
  <si>
    <t xml:space="preserve">Reële aanschafwaarde bijgeschatte investeringen 2026 EHS buiten scope </t>
  </si>
  <si>
    <t>Reële aanschafwaarde bijgeschatte investeringen 2021 HS binnen scope</t>
  </si>
  <si>
    <t>Reële aanschafwaarde bijgeschatte investeringen 2022 HS binnen scope</t>
  </si>
  <si>
    <t>Reële aanschafwaarde bijgeschatte investeringen 2023 HS binnen scope</t>
  </si>
  <si>
    <t>Reële aanschafwaarde bijgeschatte investeringen 2024 HS binnen scope</t>
  </si>
  <si>
    <t>Reële aanschafwaarde bijgeschatte investeringen 2025 HS binnen scope</t>
  </si>
  <si>
    <t>Reële aanschafwaarde bijgeschatte investeringen 2026 HS binnen scope</t>
  </si>
  <si>
    <t xml:space="preserve">Reële aanschafwaarde bijgeschatte investeringen 2021 HS buiten scope </t>
  </si>
  <si>
    <t xml:space="preserve">Reële aanschafwaarde bijgeschatte investeringen 2022 HS buiten scope </t>
  </si>
  <si>
    <t xml:space="preserve">Reële aanschafwaarde bijgeschatte investeringen 2023 HS buiten scope </t>
  </si>
  <si>
    <t xml:space="preserve">Reële aanschafwaarde bijgeschatte investeringen 2024 HS buiten scope </t>
  </si>
  <si>
    <t xml:space="preserve">Reële aanschafwaarde bijgeschatte investeringen 2025 HS buiten scope </t>
  </si>
  <si>
    <t xml:space="preserve">Reële aanschafwaarde bijgeschatte investeringen 2026 HS buiten scope </t>
  </si>
  <si>
    <t>Reële aanschafwaarde nog niet volledig afgeschreven activa in 2020 EHS binnen scope</t>
  </si>
  <si>
    <t>Reële aanschafwaarde nog niet volledig afgeschreven activa in 2020 EHS buiten scope excl. Cobra-kabel</t>
  </si>
  <si>
    <t>Reële aanschafwaarde nog niet volledig afgeschreven activa in 2020 HS binnen scope</t>
  </si>
  <si>
    <t xml:space="preserve">Reële aanschafwaarde nog niet volledig afgeschreven activa in 2020 HS buiten scope </t>
  </si>
  <si>
    <t>Invulmodule RD OPEX buiten scope, tab 1A, cel O48; Invulmodule RD OPEX buiten scope, tab 1B, cel O48; Invulmodule RD OPEX buiten scope, tab 1C, cel O48</t>
  </si>
  <si>
    <t>Invulmodule RD OPEX buiten scope - variant (REG2022)</t>
  </si>
  <si>
    <t>Indirecte algemene operationele kosten EHS o.b.v. originele verdeelsleutel buiten scope</t>
  </si>
  <si>
    <t>Indirecte algemene operationele kosten HS o.b.v. originele verdeelsleutel buiten scope</t>
  </si>
  <si>
    <t>Indirecte algemene operationele kosten HS binnen scope</t>
  </si>
  <si>
    <t>Verandering operationele kosten door bijgeschatte investeringen in 2021 EHS binnen scope</t>
  </si>
  <si>
    <t>Verandering operationele kosten door bijgeschatte investeringen in 2022 EHS binnen scope</t>
  </si>
  <si>
    <t>Verandering operationele kosten door bijgeschatte investeringen in 2023 EHS binnen scope</t>
  </si>
  <si>
    <t>Verandering operationele kosten door bijgeschatte investeringen in 2024 EHS binnen scope</t>
  </si>
  <si>
    <t>Verandering operationele kosten door bijgeschatte investeringen in 2025 EHS binnen scope</t>
  </si>
  <si>
    <t>Verandering operationele kosten door bijgeschatte investeringen in 2026 EHS binnen scope</t>
  </si>
  <si>
    <t>Verandering operationele kosten door bijgeschatte investeringen in 2021 EHS buiten scope</t>
  </si>
  <si>
    <t>Verandering operationele kosten door bijgeschatte investeringen in 2022 EHS buiten scope</t>
  </si>
  <si>
    <t>Verandering operationele kosten door bijgeschatte investeringen in 2023 EHS buiten scope</t>
  </si>
  <si>
    <t>Verandering operationele kosten door bijgeschatte investeringen in 2024 EHS buiten scope</t>
  </si>
  <si>
    <t>Verandering operationele kosten door bijgeschatte investeringen in 2025 EHS buiten scope</t>
  </si>
  <si>
    <t>Verandering operationele kosten door bijgeschatte investeringen in 2026 EHS buiten scope</t>
  </si>
  <si>
    <t>Verandering door verandering in aanschafwaarden ten opzichte van gemiddelde 2018-2020 binnen scope</t>
  </si>
  <si>
    <t>Verandering door verandering in aanschafwaarden ten opzichte van gemiddelde 2018-2020 buiten scope</t>
  </si>
  <si>
    <t>1+CPI van 2021 naar jaar</t>
  </si>
  <si>
    <t>1+CPI van 2022 naar jaar</t>
  </si>
  <si>
    <t>1+CPI van 2023 naar jaar</t>
  </si>
  <si>
    <t>1+CPI van 2024 naar jaar</t>
  </si>
  <si>
    <t>1+CPI van 2025 naar jaar</t>
  </si>
  <si>
    <t>1+CPI van 2026 naar jaar</t>
  </si>
  <si>
    <t>1-FS van 2021 naar jaar</t>
  </si>
  <si>
    <t>1-FS van 2022 naar jaar</t>
  </si>
  <si>
    <t>1-FS van 2023 naar jaar</t>
  </si>
  <si>
    <t>1-FS van 2024 naar jaar</t>
  </si>
  <si>
    <t>1-FS van 2025 naar jaar</t>
  </si>
  <si>
    <t>1-FS van 2026 naar jaar</t>
  </si>
  <si>
    <t>Verwachte verandering OPEX a.g.v. uitbreiding/krimp van de netomvang: % van verandering aanschafwaarde</t>
  </si>
  <si>
    <t>Verandering operationele kosten door bijgeschatte investeringen in 2021 HS binnen scope</t>
  </si>
  <si>
    <t>Verandering operationele kosten door bijgeschatte investeringen in 2022 HS binnen scope</t>
  </si>
  <si>
    <t>Verandering operationele kosten door bijgeschatte investeringen in 2023 HS binnen scope</t>
  </si>
  <si>
    <t>Verandering operationele kosten door bijgeschatte investeringen in 2024 HS binnen scope</t>
  </si>
  <si>
    <t>Verandering operationele kosten door bijgeschatte investeringen in 2025 HS binnen scope</t>
  </si>
  <si>
    <t>Verandering operationele kosten door bijgeschatte investeringen in 2026 HS binnen scope</t>
  </si>
  <si>
    <t>Verandering operationele kosten door bijgeschatte investeringen in 2021 HS buiten scope</t>
  </si>
  <si>
    <t>Verandering operationele kosten door bijgeschatte investeringen in 2022 HS buiten scope</t>
  </si>
  <si>
    <t>Verandering operationele kosten door bijgeschatte investeringen in 2023 HS buiten scope</t>
  </si>
  <si>
    <t>Verandering operationele kosten door bijgeschatte investeringen in 2024 HS buiten scope</t>
  </si>
  <si>
    <t>Verandering operationele kosten door bijgeschatte investeringen in 2025 HS buiten scope</t>
  </si>
  <si>
    <t>Verandering operationele kosten door bijgeschatte investeringen in 2026 HS buiten scope</t>
  </si>
  <si>
    <t>Begininkomsten totaal</t>
  </si>
  <si>
    <t>waarvan: begininkomsten EHS</t>
  </si>
  <si>
    <t>waarvan: begininkomsten HS</t>
  </si>
  <si>
    <t>Reëel-plus WACC bestaand vermogen</t>
  </si>
  <si>
    <t>Reëel-plus WACC nieuw vermogen</t>
  </si>
  <si>
    <t>De indirecte algemene operationele kosten buiten scope worden op basis van de originele verdeelsleutels toebedeeld aan het EHS/HS net, omdat de ACM alleen inzicht heeft in de gerapporteerde kosten op de buiten scope kostensoorten voor het EHS/HS net en niet voor de andere netvlakken. Bij de berekening van de indirecte algemene operationele kosten binnen scope worden de totale indirecte algemene operationele kosten in de jaren 2018 t/m 2020 op basis van de verdeelsleutels 2020 toebedeeld aan het EHS/HS net en worden deze verminderd met de berekende indirecte algemene operationele kosten buiten scope op basis van de originele verdeelsleutels.</t>
  </si>
  <si>
    <t>Afschrijvingen activa geactiveerd t/m 2020 EHS buiten scope Cobra-kabel excl. ARO</t>
  </si>
  <si>
    <t>GAW activa geactiveerd t/m 2020  EHS buiten scope Cobra-kabel excl. ARO</t>
  </si>
  <si>
    <t>Afschrijvingen activa geactiveerd t/m 2020 EHS buiten scope Cobra-kabel ARO</t>
  </si>
  <si>
    <t>GAW activa geactiveerd t/m 2020  EHS buiten scope Cobra-kabel ARO</t>
  </si>
  <si>
    <t>Vermogenskosten doorrollen EHS buiten scope Cobra-kabel excl. ARO</t>
  </si>
  <si>
    <t>Vermogenskosten doorrollen EHS buiten scope Cobra-kabel ARO</t>
  </si>
  <si>
    <t>GAW activa doorrollen t/m 2020 buiten scope EHS Cobra-kabel excl. ARO</t>
  </si>
  <si>
    <t>GAW activa doorrollen t/m 2020 buiten scope EHS Cobra-kabel ARO</t>
  </si>
  <si>
    <t xml:space="preserve">Op dit tabblad geeft de ACM een overzicht van de operationele kosten van TenneT voor de jaren 2018 t/m 2020. Deze zijn de basis voor de verwachte (efficiënte) operationele kosten voor de reguleringsperiode 2022-2026. De operationele kosten kunnen worden opgesplitst in algemene operationele kosten en inkoopkosten energie &amp; vermogen. Binnen de algemene operationele kosten maakt de ACM nog een verder onderscheid tussen directe en indirecte algemene operationele kosten. Daarnaast maakt de ACM een onderscheid tussen operationele kosten binnen- en buiten scope van de benchmarkstudie. </t>
  </si>
  <si>
    <t xml:space="preserve">TenneT gebruikt verschillende verdeelsleutels om de indirecte algemene kosten aan de verschillende segmenten (EHS, HS, systeem, NOZ fase I en NOZ fase II) toe te bedelen. De kosten die met verdeelsleutel 2, ofwel de algemene sleutel uren toebedeeld worden betreffen kosten voor systemen en primaire bedrijfsprocessen en personeelskosten. De kosten die met verdeelsleutel 3, ofwel de algemene sleutel circuitlengte en stations (inclusief toerekening aan systeemtaak en NOZ) toebedeeld worden betreffen kosten voor algemeen beheer. De kosten die met verdeelsleutel 4, ofwel de algemene sleutel circuitlengte en stations (exclusief toerekening aan systeemtaak en NoZ) toebedeeld worden betreffen onderhouds- en exploitatiekosten transportnetten.
De ACM heeft voor enkele bestaande kostensoorten in de reguleringsdata die deels binnen en deels buiten scope van de benchmark vallen, het buiten-scope gedeelte uitgevraagd middels een nieuwe kostensoort. Alle kostensoorten buiten scope, inclusief de nieuw uitgevraagde kostensoorten zijn op dit tabblad opgenomen. De kostensoorten binnen scope worden niet op dit tabblad weergegeven, omdat de ACM hiervoor geen nieuwe kostensoorten uitgevraagd heeft. </t>
  </si>
  <si>
    <t>N.v.t.</t>
  </si>
  <si>
    <t>Door afronding op 1 decimaal tellen de verschillende toewijzingen van indirecte operationele kosten o.b.v. verdeelsleutel 2 samen op tot 100,1%. De ACM vermindert de toewijzing naar het netvlak met de hoogste waarde, zijnde EHS, daarom met 0,1 %-punt zodat de verschillende toewijzingen o.b.v. verdeelsleutel 2 samen optellen tot exact 100%.</t>
  </si>
  <si>
    <t>Deze activawaarde komt niet overeen met de opgave in de RD, welke de activawaarde inclusief subsidie bevat. De waarde exclusief subsidie is relevant voor het OPEX-budget.</t>
  </si>
  <si>
    <t>25 t/m 29</t>
  </si>
  <si>
    <t xml:space="preserve">Dit bestand is bedoeld ter verduidelijking van de berekeningen door ACM. Aan dit bestand kunnen geen rechten worden ontleend. </t>
  </si>
  <si>
    <t>ACM/23/186810</t>
  </si>
  <si>
    <t>Gewijzigd X-factorbesluit en Rekenvoluminabesluit Transporttaken TenneT 2022-2026</t>
  </si>
  <si>
    <t>ACM/UIT/608683</t>
  </si>
  <si>
    <t>Gewijzigd methodebesluit 2022-2026, paragraaf 7.4.1</t>
  </si>
  <si>
    <t>Gewijzigd methodebesluit 2022-2026, paragraaf 7.4.3</t>
  </si>
  <si>
    <r>
      <t xml:space="preserve">2018 t/m 2021: Methodebesluit 2017-2021, paragraaf 8.2.4; 2022 t/m 2026: </t>
    </r>
    <r>
      <rPr>
        <sz val="10"/>
        <color rgb="FFFF0000"/>
        <rFont val="Arial"/>
        <family val="2"/>
      </rPr>
      <t>Gewijzigd methodebesluit 2022-2026</t>
    </r>
    <r>
      <rPr>
        <sz val="10"/>
        <rFont val="Arial"/>
        <family val="2"/>
      </rPr>
      <t>, paragraaf 7.4.4</t>
    </r>
  </si>
  <si>
    <t>Niet meer van toepassing vanwege uitspraak CBb</t>
  </si>
  <si>
    <t>Gewijzigd vanwege uitspraak CBb</t>
  </si>
  <si>
    <t>CBb uitspraak</t>
  </si>
  <si>
    <t>Uitspraak van het College van Beroep voor het bedrijfsleven 4 juli 2023, ECLI:NL:CBB:2023:319</t>
  </si>
  <si>
    <t>De roze gemarkeerde cellen bevatten gewijzigde input ten opzichte van de X-factorberekening Transporttaken TenneT 2022-2026 behorende bij het methodebesluit van 16 september 2021 (zie ook tab 'Toelichting')</t>
  </si>
  <si>
    <t>Gewijzigd methodebesluit 2022-2026</t>
  </si>
  <si>
    <t>Gewijzigd methodebesluit Transporttaken TenneT 2022-2026</t>
  </si>
  <si>
    <t>2018 t/m 2021: CBS; 2022 t/m 2026: Gewijzigd methodebesluit 2022-2026, paragraaf 7.4.2</t>
  </si>
  <si>
    <t>Gewijzigd methodebesluit 2022-2026, paragraaf 7.3.3</t>
  </si>
  <si>
    <t>ACM/UIT/600678</t>
  </si>
  <si>
    <t>Gewijzigde GAW-berekening TenneT</t>
  </si>
  <si>
    <t>Tabel 3 - Input uit het Gewijzigde GAW model</t>
  </si>
  <si>
    <t>Gewijzigde GAW-berekening TenneT, tabel 2, cellen  L15:P15</t>
  </si>
  <si>
    <t>Gewijzigde GAW-berekening TenneT, tabel 2, cellen  L16:P16</t>
  </si>
  <si>
    <t>Gewijzigde GAW-berekening TenneT, tabel 2, cellen  L17:P17</t>
  </si>
  <si>
    <t>Gewijzigde GAW-berekening TenneT, tabel 2, cellen  L18:P18</t>
  </si>
  <si>
    <t>Gewijzigde GAW-berekening TenneT, tabel 2, cellen  L19:P19</t>
  </si>
  <si>
    <t>Gewijzigde GAW-berekening TenneT, tabel 2, cellen  L20:P20</t>
  </si>
  <si>
    <t>Gewijzigde GAW-berekening TenneT, tabel 2, cellen  L21:P21</t>
  </si>
  <si>
    <t>Gewijzigde GAW-berekening TenneT, tabel 2, cellen  L22:P22</t>
  </si>
  <si>
    <t>Gewijzigde GAW-berekening TenneT, tabel 2, cellen  L26:P26</t>
  </si>
  <si>
    <t>Gewijzigde GAW-berekening TenneT, tabel 2, cellen  L27:P27</t>
  </si>
  <si>
    <t>Gewijzigde GAW-berekening TenneT, tabel 2, cellen  L28:P28</t>
  </si>
  <si>
    <t>Gewijzigde GAW-berekening TenneT, tabel 2, cellen  L29:P29</t>
  </si>
  <si>
    <t>Gewijzigde GAW-berekening TenneT, tabel 2, cellen  L33:P33</t>
  </si>
  <si>
    <t>Gewijzigde GAW-berekening TenneT, tabel 2, cellen  L34:P34</t>
  </si>
  <si>
    <t>Gewijzigde GAW-berekening TenneT, tabel 2, cellen  L35:P35</t>
  </si>
  <si>
    <t>Gewijzigde GAW-berekening TenneT, tabel 2, cellen  L36:P36</t>
  </si>
  <si>
    <t>Gewijzigde GAW-berekening TenneT, tabel 2, cel J40</t>
  </si>
  <si>
    <t>Gewijzigde GAW-berekening TenneT, tabel 2, cellen  L44:P44</t>
  </si>
  <si>
    <t>Gewijzigde GAW-berekening TenneT, tabel 2, cellen  L45:P45</t>
  </si>
  <si>
    <t>Gewijzigde GAW-berekening TenneT, tabel 2, cellen  L46:P46</t>
  </si>
  <si>
    <t>Gewijzigde GAW-berekening TenneT, tabel 2, cellen  L47:P47</t>
  </si>
  <si>
    <t>Gewijzigde GAW-berekening TenneT, tabel 2, cel J51</t>
  </si>
  <si>
    <t>Gewijzigde GAW-berekening TenneT, tabel 2, cellen  H55:P55</t>
  </si>
  <si>
    <t>Gewijzigde GAW-berekening TenneT, tabel 2, cellen  H56:P56</t>
  </si>
  <si>
    <t>Gewijzigde GAW-berekening TenneT, tabel 2, cellen  H57:P57</t>
  </si>
  <si>
    <t>Gewijzigde GAW-berekening TenneT, tabel 2, cellen  H58:P58</t>
  </si>
  <si>
    <t>Gewijzigde GAW-berekening TenneT, tabel 2, cellen  H59:P59</t>
  </si>
  <si>
    <t>Gewijzigde GAW-berekening TenneT, tabel 2, cellen  H60:P60</t>
  </si>
  <si>
    <t>Gewijzigde GAW-berekening TenneT, tabel 2, cellen  H61:P61</t>
  </si>
  <si>
    <t>Gewijzigde GAW-berekening TenneT, tabel 2, cellen  H63:P63</t>
  </si>
  <si>
    <t>Gewijzigde GAW-berekening TenneT, tabel 2, cellen  H64:P64</t>
  </si>
  <si>
    <t>Gewijzigde GAW-berekening TenneT, tabel 2, cellen  H65:P65</t>
  </si>
  <si>
    <t>Gewijzigde GAW-berekening TenneT, tabel 2, cellen  H66:P66</t>
  </si>
  <si>
    <t>Gewijzigde GAW-berekening TenneT, tabel 2, cellen  H67:P67</t>
  </si>
  <si>
    <t>Gewijzigde GAW-berekening TenneT, tabel 2, cellen  H68:P68</t>
  </si>
  <si>
    <t>Gewijzigde GAW-berekening TenneT, tabel 2, cellen  H69:P69</t>
  </si>
  <si>
    <t>Gewijzigde GAW-berekening TenneT, tabel 2, cellen  H71:P71</t>
  </si>
  <si>
    <t>Gewijzigde GAW-berekening TenneT, tabel 2, cellen  H72:P72</t>
  </si>
  <si>
    <t>Gewijzigde GAW-berekening TenneT, tabel 2, cellen  H73:P73</t>
  </si>
  <si>
    <t>Gewijzigde GAW-berekening TenneT, tabel 2, cellen  H74:P74</t>
  </si>
  <si>
    <t>Gewijzigde GAW-berekening TenneT, tabel 2, cellen  H75:P75</t>
  </si>
  <si>
    <t>Gewijzigde GAW-berekening TenneT, tabel 2, cellen  H76:P76</t>
  </si>
  <si>
    <t>Gewijzigde GAW-berekening TenneT, tabel 2, cellen  H77:P77</t>
  </si>
  <si>
    <t>Gewijzigde GAW-berekening TenneT, tabel 2, cellen  H79:P79</t>
  </si>
  <si>
    <t>Gewijzigde GAW-berekening TenneT, tabel 2, cellen  H80:P80</t>
  </si>
  <si>
    <t>Gewijzigde GAW-berekening TenneT, tabel 2, cellen  H81:P81</t>
  </si>
  <si>
    <t>Gewijzigde GAW-berekening TenneT, tabel 2, cellen  H82:P82</t>
  </si>
  <si>
    <t>Gewijzigde GAW-berekening TenneT, tabel 2, cellen  H83:P83</t>
  </si>
  <si>
    <t>Gewijzigde GAW-berekening TenneT, tabel 2, cellen  H84:P84</t>
  </si>
  <si>
    <t>Gewijzigde GAW-berekening TenneT, tabel 2, cellen  H85:P85</t>
  </si>
  <si>
    <t>De roze gemarkeerde cellen bevatten gewijzigde input ten opzichte van de X-factorberekening Transporttaken TenneT 2022-2026 behorende bij het methodebesluit van 16 september 2021 (zie ook tab 'Toelichting').</t>
  </si>
  <si>
    <t xml:space="preserve">Dit bestand bevat de berekening van de begininkomsten en x-factor voor TenneT voor de periode 2022-2026. De verhouding tussen de begininkomsten 2021 en de eindinkomsten 2026 bepaalt de x-factor. De eindinkomsten zijn gelijk aan de verwachte efficiënte kosten in het jaar 2026. De begininkomsten worden vastgesteld op een bedrag dat zodanig is dat de netto contante waarde van de jaarlijkse toegestane inkomsten die volgen uit de begininkomsten, de x-factor en de verwachte inflatie gelijk is aan de netto contante waarde van de jaarlijkse verwachte efficiënte kosten.
In dit bestand zijn naar aanleiding van een CBb uitspraak op 4 juli 2023 (ECLI:NL:CBB:2023:319) wijzigingen opgenomen ten opzichte van de X-factorberekening Transporttaken TenneT 2022-2026 behorende bij het methodebesluit van 16 september 2021. De wijzigingen naar aanleiding van deze uitspraak zien op de hoogte van de WACC (tabblad 2, cellen L15:P17) en de hoogte van de statische efficiëntieparameter (tabblad 2, cellen F25:F28). Daarnaast heeft de ACM een fout in een inputwaarde uit de reguleringsdata in het GAW-model hersteld. In dit bestand baseert de ACM zich daardoor op gewijzigde inputdata uit het GAW-model (tabblad 3, cellen L28:P29 en J79:P79). Deze cellen zijn roze gemarkeerd.  </t>
  </si>
  <si>
    <t>Gewijzigde GAW-berekening TenneT voor de reguleringsperiode 2022-2026</t>
  </si>
  <si>
    <t>Gewijzigde X-factorberekening Transporttaken TenneT 2022-2026</t>
  </si>
  <si>
    <r>
      <rPr>
        <i/>
        <sz val="10"/>
        <rFont val="Arial"/>
        <family val="2"/>
      </rPr>
      <t>Opmerking TenneT:</t>
    </r>
    <r>
      <rPr>
        <sz val="10"/>
        <rFont val="Arial"/>
        <family val="2"/>
      </rPr>
      <t xml:space="preserve"> Bedrijfsvertrouwelijk</t>
    </r>
  </si>
  <si>
    <t>='4. Operationele kosten'!H26</t>
  </si>
  <si>
    <t>='4. Operationele kosten'!H27</t>
  </si>
  <si>
    <t>='4. Operationele kosten'!H28</t>
  </si>
  <si>
    <t>='4. Operationele kosten'!I26</t>
  </si>
  <si>
    <t>='4. Operationele kosten'!I27</t>
  </si>
  <si>
    <t>='4. Operationele kosten'!I28</t>
  </si>
  <si>
    <t>='4. Operationele kosten'!J26</t>
  </si>
  <si>
    <t>='4. Operationele kosten'!J27</t>
  </si>
  <si>
    <t>='4. Operationele kosten'!J28</t>
  </si>
  <si>
    <t>='4. Operationele kosten'!H42</t>
  </si>
  <si>
    <t>='4. Operationele kosten'!H43</t>
  </si>
  <si>
    <t>='4. Operationele kosten'!H44</t>
  </si>
  <si>
    <t>='4. Operationele kosten'!I42</t>
  </si>
  <si>
    <t>='4. Operationele kosten'!I43</t>
  </si>
  <si>
    <t>='4. Operationele kosten'!I44</t>
  </si>
  <si>
    <t>='4. Operationele kosten'!J42</t>
  </si>
  <si>
    <t>='4. Operationele kosten'!J43</t>
  </si>
  <si>
    <t>='4. Operationele kosten'!J44</t>
  </si>
  <si>
    <t>=GEMIDDELDE($H$63*L$16*L$27;$I$63*L$17*L$28;$J$63*L$18*L$29)</t>
  </si>
  <si>
    <t>=GEMIDDELDE($H$64*L$16*L$27;$I$64*L$17*L$28;$J$64*L$18*L$29)</t>
  </si>
  <si>
    <t>=GEMIDDELDE($H$65*L$16*L$27;$I$65*L$17*L$28;$J$65*L$18*L$29)</t>
  </si>
  <si>
    <t>=GEMIDDELDE($H$63*M$16*M$27;$I$63*M$17*M$28;$J$63*M$18*M$29)</t>
  </si>
  <si>
    <t>=GEMIDDELDE($H$64*M$16*M$27;$I$64*M$17*M$28;$J$64*M$18*M$29)</t>
  </si>
  <si>
    <t>=GEMIDDELDE($H$65*M$16*M$27;$I$65*M$17*M$28;$J$65*M$18*M$29)</t>
  </si>
  <si>
    <t>=GEMIDDELDE($H$63*N$16*N$27;$I$63*N$17*N$28;$J$63*N$18*N$29)</t>
  </si>
  <si>
    <t>=GEMIDDELDE($H$64*N$16*N$27;$I$64*N$17*N$28;$J$64*N$18*N$29)</t>
  </si>
  <si>
    <t>=GEMIDDELDE($H$65*N$16*N$27;$I$65*N$17*N$28;$J$65*N$18*N$29)</t>
  </si>
  <si>
    <t>=GEMIDDELDE($H$63*O$16*O$27;$I$63*O$17*O$28;$J$63*O$18*O$29)</t>
  </si>
  <si>
    <t>=GEMIDDELDE($H$64*O$16*O$27;$I$64*O$17*O$28;$J$64*O$18*O$29)</t>
  </si>
  <si>
    <t>=GEMIDDELDE($H$65*O$16*O$27;$I$65*O$17*O$28;$J$65*O$18*O$29)</t>
  </si>
  <si>
    <t>=GEMIDDELDE($H$63*P$16*P$27;$I$63*P$17*P$28;$J$63*P$18*P$29)</t>
  </si>
  <si>
    <t>=GEMIDDELDE($H$64*P$16*P$27;$I$64*P$17*P$28;$J$64*P$18*P$29)</t>
  </si>
  <si>
    <t>=GEMIDDELDE($H$65*P$16*P$27;$I$65*P$17*P$28;$J$65*P$18*P$29)</t>
  </si>
  <si>
    <t>=GEMIDDELDE($H$77*L$16*L$27;$I$77*L$17*L$28; $J$77*L$18*L$29)</t>
  </si>
  <si>
    <t>=GEMIDDELDE($H$78*L$16*L$27;$I$78*L$17*L$28; $J$78*L$18*L$29)</t>
  </si>
  <si>
    <t>=GEMIDDELDE($H$79*L$16*L$27;$I$79*L$17*L$28; $J$79*L$18*L$29)</t>
  </si>
  <si>
    <t>=GEMIDDELDE($H$77*M$16*M$27;$I$77*M$17*M$28; $J$77*M$18*M$29)</t>
  </si>
  <si>
    <t>=GEMIDDELDE($H$78*M$16*M$27;$I$78*M$17*M$28; $J$78*M$18*M$29)</t>
  </si>
  <si>
    <t>=GEMIDDELDE($H$79*M$16*M$27;$I$79*M$17*M$28; $J$79*M$18*M$29)</t>
  </si>
  <si>
    <t>=GEMIDDELDE($H$77*N$16*N$27;$I$77*N$17*N$28; $J$77*N$18*N$29)</t>
  </si>
  <si>
    <t>=GEMIDDELDE($H$78*N$16*N$27;$I$78*N$17*N$28; $J$78*N$18*N$29)</t>
  </si>
  <si>
    <t>=GEMIDDELDE($H$79*N$16*N$27;$I$79*N$17*N$28; $J$79*N$18*N$29)</t>
  </si>
  <si>
    <t>=GEMIDDELDE($H$77*O$16*O$27;$I$77*O$17*O$28; $J$77*O$18*O$29)</t>
  </si>
  <si>
    <t>=GEMIDDELDE($H$78*O$16*O$27;$I$78*O$17*O$28; $J$78*O$18*O$29)</t>
  </si>
  <si>
    <t>=GEMIDDELDE($H$79*O$16*O$27;$I$79*O$17*O$28; $J$79*O$18*O$29)</t>
  </si>
  <si>
    <t>=GEMIDDELDE($H$77*P$16*P$27;$I$77*P$17*P$28; $J$77*P$18*P$29)</t>
  </si>
  <si>
    <t>=GEMIDDELDE($H$78*P$16*P$27;$I$78*P$17*P$28; $J$78*P$18*P$29)</t>
  </si>
  <si>
    <t>=GEMIDDELDE($H$79*P$16*P$27;$I$79*P$17*P$28; $J$79*P$18*P$29)</t>
  </si>
  <si>
    <t>Nee</t>
  </si>
  <si>
    <t>GAW ultimo 2020 HS</t>
  </si>
  <si>
    <t>Afschrijvingen en GAW HS (bijschatten)</t>
  </si>
  <si>
    <t>GAW ultimo 2020 EHS</t>
  </si>
  <si>
    <t>Afschrijvingen en GAW EHS (bijschatten)</t>
  </si>
  <si>
    <t>Afschrijvingen en GAW EHS (doorrollen)</t>
  </si>
  <si>
    <t>GAW activa geactiveerd t/m 2020  EHS buiten scope excl. Cobra-kabel</t>
  </si>
  <si>
    <t>Afschrijvingen en GAW HS (doorrollen)</t>
  </si>
  <si>
    <t>Op dit tabblad geeft de ACM de GAW-waarden ultimo 2020 weer. Daarnaast toont dit tabblad de GAW en afschrijvingen voor de periode 2022-2026 zoals berekend in het GAW-model op basis van "doorrollen en bijschatten". Voor de bijgeschatte investeringen zijn in dit tabblad de waarden opgenomen voor de jaren 2022 t/m 2026. Deze gegevens zijn afkomstig uit het GAW-model en worden gebruikt voor de berekening van de verwachte kapitaalkosten. Tevens zijn op dit tabblad de reële aanschafwaarden opgenomen. Deze gegevens zijn afkomstig uit het GAW-model en worden gebruikt voor de berekening van de verwachte operationele kosten.</t>
  </si>
  <si>
    <t>GAW activa geactiveerd t/m 2020  HS binnen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</si>
</sst>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_ ;_ * \-#,##0.000_ ;_ * &quot;-&quot;_ ;_ @_ "/>
    <numFmt numFmtId="165" formatCode="_(* #,##0_);_(* \(#,##0\);_(* &quot;-&quot;_);_(@_)"/>
    <numFmt numFmtId="166" formatCode="_(* #,##0.00_);_(* \(#,##0.00\);_(* &quot;-&quot;??_);_(@_)"/>
    <numFmt numFmtId="167" formatCode="0.0%"/>
    <numFmt numFmtId="168" formatCode="_(* #,##0_);_(* \(#,##0\);_(* &quot;-&quot;??_);_(@_)"/>
    <numFmt numFmtId="169" formatCode="_ * #,##0_ ;_ * \-#,##0_ ;_ * &quot;-&quot;??_ ;_ @_ "/>
    <numFmt numFmtId="170" formatCode="_ * #,##0.00000_ ;_ * \-#,##0.00000_ ;_ * &quot;-&quot;_ ;_ @_ "/>
    <numFmt numFmtId="171" formatCode="_ * #,##0.000_ ;_ * \-#,##0.000_ ;_ * &quot;-&quot;???_ ;_ @_ "/>
  </numFmts>
  <fonts count="37">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0"/>
      <name val="DTLArgoT"/>
    </font>
    <font>
      <sz val="10"/>
      <color rgb="FFFF0000"/>
      <name val="DTLArgoT"/>
    </font>
    <font>
      <i/>
      <sz val="10"/>
      <color theme="1"/>
      <name val="Arial"/>
      <family val="2"/>
    </font>
    <font>
      <sz val="8"/>
      <name val="Arial"/>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auto="1"/>
      </top>
      <bottom style="thin">
        <color auto="1"/>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83">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0" borderId="0">
      <alignment vertical="top"/>
    </xf>
    <xf numFmtId="49" fontId="10" fillId="5" borderId="1">
      <alignment vertical="top"/>
    </xf>
    <xf numFmtId="49" fontId="8" fillId="20" borderId="1">
      <alignment vertical="top"/>
    </xf>
    <xf numFmtId="49" fontId="8" fillId="0" borderId="0">
      <alignment vertical="top"/>
    </xf>
    <xf numFmtId="41" fontId="7" fillId="13" borderId="0">
      <alignment vertical="top"/>
    </xf>
    <xf numFmtId="41" fontId="7" fillId="12" borderId="0">
      <alignment vertical="top"/>
    </xf>
    <xf numFmtId="41" fontId="7" fillId="47" borderId="0">
      <alignment vertical="top"/>
    </xf>
    <xf numFmtId="41" fontId="7" fillId="14" borderId="0">
      <alignment vertical="top"/>
    </xf>
    <xf numFmtId="49" fontId="12" fillId="0" borderId="0">
      <alignment vertical="top"/>
    </xf>
    <xf numFmtId="49" fontId="11" fillId="0" borderId="0">
      <alignment vertical="top"/>
    </xf>
    <xf numFmtId="0" fontId="18" fillId="16" borderId="3" applyNumberFormat="0" applyAlignment="0" applyProtection="0"/>
    <xf numFmtId="0" fontId="19" fillId="17" borderId="4" applyNumberFormat="0" applyAlignment="0" applyProtection="0"/>
    <xf numFmtId="0" fontId="20" fillId="17" borderId="3" applyNumberFormat="0" applyAlignment="0" applyProtection="0"/>
    <xf numFmtId="0" fontId="21" fillId="0" borderId="5" applyNumberFormat="0" applyFill="0" applyAlignment="0" applyProtection="0"/>
    <xf numFmtId="0" fontId="15" fillId="18" borderId="6" applyNumberFormat="0" applyAlignment="0" applyProtection="0"/>
    <xf numFmtId="0" fontId="17" fillId="19" borderId="7"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0" fillId="44"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7" fillId="45" borderId="0" applyNumberFormat="0">
      <alignment vertical="top"/>
    </xf>
    <xf numFmtId="43" fontId="7" fillId="12" borderId="0" applyFont="0" applyFill="0" applyBorder="0" applyAlignment="0" applyProtection="0">
      <alignment vertical="top"/>
    </xf>
    <xf numFmtId="10" fontId="7" fillId="0" borderId="0" applyFont="0" applyFill="0" applyBorder="0" applyAlignment="0" applyProtection="0">
      <alignment vertical="top"/>
    </xf>
    <xf numFmtId="0" fontId="5" fillId="3" borderId="0" applyNumberFormat="0" applyBorder="0" applyAlignment="0" applyProtection="0"/>
    <xf numFmtId="165" fontId="7" fillId="10" borderId="0">
      <alignment vertical="top"/>
    </xf>
    <xf numFmtId="165" fontId="7" fillId="8" borderId="0">
      <alignment vertical="top"/>
    </xf>
    <xf numFmtId="0" fontId="18" fillId="16" borderId="3" applyNumberFormat="0" applyAlignment="0" applyProtection="0"/>
    <xf numFmtId="0" fontId="19" fillId="17" borderId="4" applyNumberFormat="0" applyAlignment="0" applyProtection="0"/>
    <xf numFmtId="0" fontId="15" fillId="18" borderId="6" applyNumberFormat="0" applyAlignment="0" applyProtection="0"/>
    <xf numFmtId="0" fontId="2" fillId="19" borderId="7" applyNumberFormat="0" applyFont="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6" fontId="7" fillId="12" borderId="0" applyFont="0" applyFill="0" applyBorder="0" applyAlignment="0" applyProtection="0">
      <alignment vertical="top"/>
    </xf>
    <xf numFmtId="165" fontId="7" fillId="46" borderId="0">
      <alignment vertical="top"/>
    </xf>
    <xf numFmtId="0" fontId="2" fillId="0" borderId="0"/>
    <xf numFmtId="0" fontId="33" fillId="0" borderId="0"/>
    <xf numFmtId="0" fontId="2" fillId="0" borderId="0"/>
    <xf numFmtId="166" fontId="7" fillId="12" borderId="0" applyFont="0" applyFill="0" applyBorder="0" applyAlignment="0" applyProtection="0">
      <alignment vertical="top"/>
    </xf>
    <xf numFmtId="0" fontId="1" fillId="0" borderId="0"/>
    <xf numFmtId="43" fontId="7" fillId="10" borderId="0">
      <alignment vertical="top"/>
    </xf>
  </cellStyleXfs>
  <cellXfs count="144">
    <xf numFmtId="0" fontId="0" fillId="0" borderId="0" xfId="0">
      <alignment vertical="top"/>
    </xf>
    <xf numFmtId="49" fontId="8" fillId="20" borderId="12" xfId="6" applyBorder="1">
      <alignment vertical="top"/>
    </xf>
    <xf numFmtId="49" fontId="10" fillId="5" borderId="12" xfId="5" applyBorder="1">
      <alignment vertical="top"/>
    </xf>
    <xf numFmtId="10" fontId="7" fillId="13" borderId="0" xfId="8" applyNumberFormat="1">
      <alignment vertical="top"/>
    </xf>
    <xf numFmtId="10" fontId="7" fillId="12" borderId="0" xfId="9" applyNumberFormat="1">
      <alignment vertical="top"/>
    </xf>
    <xf numFmtId="167" fontId="7" fillId="47" borderId="0" xfId="10" applyNumberFormat="1">
      <alignment vertical="top"/>
    </xf>
    <xf numFmtId="43" fontId="7" fillId="14" borderId="0" xfId="11" applyNumberFormat="1">
      <alignment vertical="top"/>
    </xf>
    <xf numFmtId="0" fontId="8" fillId="0" borderId="0" xfId="4" applyFont="1">
      <alignment vertical="top"/>
    </xf>
    <xf numFmtId="0" fontId="7" fillId="0" borderId="0" xfId="4">
      <alignment vertical="top"/>
    </xf>
    <xf numFmtId="0" fontId="9" fillId="0" borderId="0" xfId="4" applyFont="1">
      <alignment vertical="top"/>
    </xf>
    <xf numFmtId="0" fontId="11" fillId="0" borderId="0" xfId="4" applyFont="1">
      <alignment vertical="top"/>
    </xf>
    <xf numFmtId="0" fontId="12" fillId="0" borderId="0" xfId="4" applyFont="1">
      <alignment vertical="top"/>
    </xf>
    <xf numFmtId="0" fontId="7" fillId="0" borderId="2" xfId="4" applyBorder="1">
      <alignment vertical="top"/>
    </xf>
    <xf numFmtId="49" fontId="10" fillId="5" borderId="1" xfId="5">
      <alignment vertical="top"/>
    </xf>
    <xf numFmtId="49" fontId="8" fillId="20" borderId="1" xfId="6">
      <alignment vertical="top"/>
    </xf>
    <xf numFmtId="0" fontId="9" fillId="0" borderId="2" xfId="4" applyFont="1" applyBorder="1" applyAlignment="1">
      <alignment horizontal="left" vertical="top" wrapText="1"/>
    </xf>
    <xf numFmtId="0" fontId="7" fillId="0" borderId="2" xfId="4" applyBorder="1" applyAlignment="1">
      <alignment horizontal="left" vertical="top" wrapText="1"/>
    </xf>
    <xf numFmtId="2" fontId="7" fillId="11" borderId="0" xfId="4" applyNumberFormat="1" applyFill="1">
      <alignment vertical="top"/>
    </xf>
    <xf numFmtId="1" fontId="7" fillId="0" borderId="0" xfId="4" applyNumberFormat="1">
      <alignment vertical="top"/>
    </xf>
    <xf numFmtId="1" fontId="11" fillId="0" borderId="0" xfId="4" applyNumberFormat="1" applyFont="1">
      <alignment vertical="top"/>
    </xf>
    <xf numFmtId="0" fontId="14" fillId="0" borderId="0" xfId="4" applyFont="1">
      <alignment vertical="top"/>
    </xf>
    <xf numFmtId="0" fontId="15" fillId="6" borderId="1" xfId="4" applyFont="1" applyFill="1" applyBorder="1">
      <alignment vertical="top"/>
    </xf>
    <xf numFmtId="49" fontId="9" fillId="20" borderId="2" xfId="6" applyFont="1" applyBorder="1">
      <alignment vertical="top"/>
    </xf>
    <xf numFmtId="0" fontId="10" fillId="5" borderId="1" xfId="5" applyNumberFormat="1">
      <alignment vertical="top"/>
    </xf>
    <xf numFmtId="0" fontId="16" fillId="0" borderId="0" xfId="4" applyFont="1">
      <alignment vertical="top"/>
    </xf>
    <xf numFmtId="0" fontId="7" fillId="0" borderId="0" xfId="4" applyAlignment="1">
      <alignment horizontal="center" vertical="top"/>
    </xf>
    <xf numFmtId="0" fontId="7" fillId="15" borderId="0" xfId="4" applyFill="1">
      <alignment vertical="top"/>
    </xf>
    <xf numFmtId="49" fontId="7" fillId="20" borderId="2" xfId="6" applyFont="1" applyBorder="1">
      <alignment vertical="top"/>
    </xf>
    <xf numFmtId="0" fontId="9" fillId="0" borderId="0" xfId="4" applyFont="1" applyAlignment="1">
      <alignment horizontal="left" vertical="top" wrapText="1"/>
    </xf>
    <xf numFmtId="49" fontId="8" fillId="0" borderId="0" xfId="7">
      <alignment vertical="top"/>
    </xf>
    <xf numFmtId="49" fontId="11" fillId="0" borderId="0" xfId="13">
      <alignment vertical="top"/>
    </xf>
    <xf numFmtId="41" fontId="7" fillId="13" borderId="0" xfId="8">
      <alignment vertical="top"/>
    </xf>
    <xf numFmtId="41" fontId="7" fillId="47" borderId="0" xfId="10">
      <alignment vertical="top"/>
    </xf>
    <xf numFmtId="10" fontId="7" fillId="0" borderId="0" xfId="62">
      <alignment vertical="top"/>
    </xf>
    <xf numFmtId="41" fontId="7" fillId="14" borderId="0" xfId="11">
      <alignment vertical="top"/>
    </xf>
    <xf numFmtId="41" fontId="7" fillId="12" borderId="0" xfId="9">
      <alignment vertical="top"/>
    </xf>
    <xf numFmtId="0" fontId="7" fillId="20" borderId="0" xfId="4" applyFill="1">
      <alignment vertical="top"/>
    </xf>
    <xf numFmtId="41" fontId="7" fillId="0" borderId="0" xfId="10" applyFill="1">
      <alignment vertical="top"/>
    </xf>
    <xf numFmtId="10" fontId="7" fillId="0" borderId="0" xfId="62" applyFill="1">
      <alignment vertical="top"/>
    </xf>
    <xf numFmtId="0" fontId="8" fillId="0" borderId="0" xfId="4" applyFont="1" applyAlignment="1">
      <alignment horizontal="right" vertical="top"/>
    </xf>
    <xf numFmtId="164" fontId="7" fillId="12" borderId="0" xfId="9" applyNumberFormat="1">
      <alignment vertical="top"/>
    </xf>
    <xf numFmtId="41" fontId="7" fillId="45" borderId="0" xfId="60" applyNumberFormat="1">
      <alignment vertical="top"/>
    </xf>
    <xf numFmtId="0" fontId="7" fillId="0" borderId="0" xfId="4" applyAlignment="1">
      <alignment vertical="top" wrapText="1"/>
    </xf>
    <xf numFmtId="10" fontId="7" fillId="14" borderId="0" xfId="11" applyNumberFormat="1">
      <alignment vertical="top"/>
    </xf>
    <xf numFmtId="0" fontId="7" fillId="0" borderId="0" xfId="4" applyAlignment="1">
      <alignment horizontal="left" vertical="top" wrapText="1"/>
    </xf>
    <xf numFmtId="0" fontId="7" fillId="7" borderId="0" xfId="4" applyFill="1">
      <alignment vertical="top"/>
    </xf>
    <xf numFmtId="49" fontId="7" fillId="0" borderId="0" xfId="7" applyFont="1">
      <alignment vertical="top"/>
    </xf>
    <xf numFmtId="168" fontId="7" fillId="0" borderId="0" xfId="4" applyNumberFormat="1">
      <alignment vertical="top"/>
    </xf>
    <xf numFmtId="0" fontId="7" fillId="48" borderId="0" xfId="4" applyFill="1">
      <alignment vertical="top"/>
    </xf>
    <xf numFmtId="43" fontId="7" fillId="48" borderId="0" xfId="4" applyNumberFormat="1" applyFill="1">
      <alignment vertical="top"/>
    </xf>
    <xf numFmtId="168" fontId="7" fillId="48" borderId="0" xfId="75" applyNumberFormat="1" applyFill="1">
      <alignment vertical="top"/>
    </xf>
    <xf numFmtId="0" fontId="7" fillId="0" borderId="0" xfId="4" applyAlignment="1">
      <alignment horizontal="left" vertical="top"/>
    </xf>
    <xf numFmtId="0" fontId="33" fillId="0" borderId="0" xfId="78"/>
    <xf numFmtId="3" fontId="7" fillId="0" borderId="0" xfId="4" applyNumberFormat="1">
      <alignment vertical="top"/>
    </xf>
    <xf numFmtId="168" fontId="7" fillId="14" borderId="0" xfId="75" applyNumberFormat="1" applyFill="1">
      <alignment vertical="top"/>
    </xf>
    <xf numFmtId="167" fontId="7" fillId="0" borderId="0" xfId="4" applyNumberFormat="1">
      <alignment vertical="top"/>
    </xf>
    <xf numFmtId="168" fontId="7" fillId="48" borderId="0" xfId="4" applyNumberFormat="1" applyFill="1">
      <alignment vertical="top"/>
    </xf>
    <xf numFmtId="0" fontId="33" fillId="0" borderId="0" xfId="78" applyAlignment="1">
      <alignment horizontal="center"/>
    </xf>
    <xf numFmtId="0" fontId="33" fillId="48" borderId="0" xfId="78" applyFill="1"/>
    <xf numFmtId="0" fontId="33" fillId="48" borderId="0" xfId="78" applyFill="1" applyAlignment="1">
      <alignment horizontal="center"/>
    </xf>
    <xf numFmtId="168" fontId="33" fillId="48" borderId="0" xfId="75" applyNumberFormat="1" applyFont="1" applyFill="1" applyAlignment="1"/>
    <xf numFmtId="0" fontId="7" fillId="48" borderId="0" xfId="4" applyFill="1" applyAlignment="1">
      <alignment horizontal="center" vertical="top"/>
    </xf>
    <xf numFmtId="0" fontId="11" fillId="0" borderId="0" xfId="4" applyFont="1" applyAlignment="1">
      <alignment horizontal="left" vertical="top" wrapText="1"/>
    </xf>
    <xf numFmtId="168" fontId="7" fillId="14" borderId="0" xfId="4" applyNumberFormat="1" applyFill="1">
      <alignment vertical="top"/>
    </xf>
    <xf numFmtId="10" fontId="7" fillId="48" borderId="0" xfId="62" applyFill="1">
      <alignment vertical="top"/>
    </xf>
    <xf numFmtId="0" fontId="7" fillId="48" borderId="0" xfId="4" applyFill="1" applyAlignment="1">
      <alignment horizontal="left" vertical="top"/>
    </xf>
    <xf numFmtId="0" fontId="8" fillId="48" borderId="0" xfId="4" applyFont="1" applyFill="1" applyAlignment="1">
      <alignment horizontal="left" vertical="top"/>
    </xf>
    <xf numFmtId="3" fontId="7" fillId="48" borderId="0" xfId="4" applyNumberFormat="1" applyFill="1">
      <alignment vertical="top"/>
    </xf>
    <xf numFmtId="168" fontId="7" fillId="10" borderId="0" xfId="80" applyNumberFormat="1" applyFill="1">
      <alignment vertical="top"/>
    </xf>
    <xf numFmtId="49" fontId="7" fillId="48" borderId="0" xfId="7" applyFont="1" applyFill="1">
      <alignment vertical="top"/>
    </xf>
    <xf numFmtId="0" fontId="0" fillId="0" borderId="0" xfId="81" applyFont="1"/>
    <xf numFmtId="0" fontId="16" fillId="0" borderId="0" xfId="4" applyFont="1" applyAlignment="1">
      <alignment vertical="top" wrapText="1"/>
    </xf>
    <xf numFmtId="0" fontId="16" fillId="0" borderId="13" xfId="4" applyFont="1" applyBorder="1" applyAlignment="1">
      <alignment horizontal="center" vertical="top" wrapText="1"/>
    </xf>
    <xf numFmtId="0" fontId="16" fillId="0" borderId="13" xfId="4" applyFont="1" applyBorder="1" applyAlignment="1">
      <alignment vertical="top" wrapText="1"/>
    </xf>
    <xf numFmtId="0" fontId="16" fillId="0" borderId="0" xfId="4" applyFont="1" applyAlignment="1">
      <alignment horizontal="center" vertical="top" wrapText="1"/>
    </xf>
    <xf numFmtId="0" fontId="0" fillId="48" borderId="0" xfId="0" applyFill="1">
      <alignment vertical="top"/>
    </xf>
    <xf numFmtId="0" fontId="29" fillId="48" borderId="0" xfId="0" applyFont="1" applyFill="1" applyAlignment="1"/>
    <xf numFmtId="0" fontId="0" fillId="0" borderId="0" xfId="0" applyAlignment="1"/>
    <xf numFmtId="0" fontId="32" fillId="0" borderId="0" xfId="0" applyFont="1" applyAlignment="1"/>
    <xf numFmtId="0" fontId="7" fillId="0" borderId="14" xfId="4" applyBorder="1">
      <alignment vertical="top"/>
    </xf>
    <xf numFmtId="0" fontId="7" fillId="0" borderId="15" xfId="4" applyBorder="1">
      <alignment vertical="top"/>
    </xf>
    <xf numFmtId="0" fontId="7" fillId="0" borderId="16" xfId="4" applyBorder="1">
      <alignment vertical="top"/>
    </xf>
    <xf numFmtId="0" fontId="7" fillId="0" borderId="17" xfId="4" applyBorder="1">
      <alignment vertical="top"/>
    </xf>
    <xf numFmtId="0" fontId="7" fillId="47" borderId="0" xfId="4" applyFill="1" applyAlignment="1">
      <alignment horizontal="center" vertical="top"/>
    </xf>
    <xf numFmtId="0" fontId="7" fillId="0" borderId="18" xfId="4" applyBorder="1">
      <alignment vertical="top"/>
    </xf>
    <xf numFmtId="0" fontId="7" fillId="12" borderId="0" xfId="4" applyFill="1" applyAlignment="1">
      <alignment horizontal="center" vertical="top"/>
    </xf>
    <xf numFmtId="0" fontId="7" fillId="13" borderId="0" xfId="4" applyFill="1" applyAlignment="1">
      <alignment horizontal="center" vertical="top"/>
    </xf>
    <xf numFmtId="0" fontId="7" fillId="0" borderId="19" xfId="4" applyBorder="1">
      <alignment vertical="top"/>
    </xf>
    <xf numFmtId="0" fontId="7" fillId="0" borderId="20" xfId="4" applyBorder="1">
      <alignment vertical="top"/>
    </xf>
    <xf numFmtId="0" fontId="7" fillId="0" borderId="21" xfId="4" applyBorder="1">
      <alignment vertical="top"/>
    </xf>
    <xf numFmtId="0" fontId="32" fillId="0" borderId="0" xfId="0" applyFont="1" applyAlignment="1">
      <alignment horizontal="center" vertical="top"/>
    </xf>
    <xf numFmtId="0" fontId="11" fillId="12" borderId="0" xfId="4" applyFont="1" applyFill="1" applyAlignment="1">
      <alignment horizontal="center" vertical="top"/>
    </xf>
    <xf numFmtId="165" fontId="7" fillId="10" borderId="0" xfId="64">
      <alignment vertical="top"/>
    </xf>
    <xf numFmtId="165" fontId="7" fillId="8" borderId="0" xfId="65">
      <alignment vertical="top"/>
    </xf>
    <xf numFmtId="165" fontId="7" fillId="46" borderId="0" xfId="76">
      <alignment vertical="top"/>
    </xf>
    <xf numFmtId="0" fontId="0" fillId="0" borderId="2" xfId="0" applyBorder="1">
      <alignment vertical="top"/>
    </xf>
    <xf numFmtId="166" fontId="14" fillId="0" borderId="0" xfId="75" applyFont="1" applyFill="1">
      <alignment vertical="top"/>
    </xf>
    <xf numFmtId="0" fontId="7" fillId="9" borderId="0" xfId="4" applyFill="1">
      <alignment vertical="top"/>
    </xf>
    <xf numFmtId="0" fontId="7" fillId="12" borderId="0" xfId="4" applyFill="1">
      <alignment vertical="top"/>
    </xf>
    <xf numFmtId="167" fontId="7" fillId="12" borderId="0" xfId="9" applyNumberFormat="1">
      <alignment vertical="top"/>
    </xf>
    <xf numFmtId="0" fontId="16" fillId="0" borderId="0" xfId="4" applyFont="1" applyAlignment="1">
      <alignment horizontal="center" vertical="top"/>
    </xf>
    <xf numFmtId="0" fontId="34" fillId="0" borderId="0" xfId="78" applyFont="1"/>
    <xf numFmtId="0" fontId="34" fillId="0" borderId="0" xfId="78" applyFont="1" applyAlignment="1">
      <alignment horizontal="center"/>
    </xf>
    <xf numFmtId="0" fontId="29" fillId="0" borderId="0" xfId="77" applyFont="1"/>
    <xf numFmtId="0" fontId="16" fillId="48" borderId="0" xfId="4" applyFont="1" applyFill="1" applyAlignment="1">
      <alignment horizontal="center" vertical="top"/>
    </xf>
    <xf numFmtId="49" fontId="23" fillId="0" borderId="2" xfId="59" applyBorder="1" applyAlignment="1">
      <alignment vertical="top"/>
    </xf>
    <xf numFmtId="41" fontId="7" fillId="0" borderId="0" xfId="4" applyNumberFormat="1">
      <alignment vertical="top"/>
    </xf>
    <xf numFmtId="170" fontId="7" fillId="45" borderId="0" xfId="60" applyNumberFormat="1">
      <alignment vertical="top"/>
    </xf>
    <xf numFmtId="169" fontId="7" fillId="0" borderId="0" xfId="61" applyNumberFormat="1" applyFill="1">
      <alignment vertical="top"/>
    </xf>
    <xf numFmtId="0" fontId="8" fillId="20" borderId="1" xfId="6" applyNumberFormat="1">
      <alignment vertical="top"/>
    </xf>
    <xf numFmtId="164" fontId="7" fillId="0" borderId="0" xfId="4" applyNumberFormat="1">
      <alignment vertical="top"/>
    </xf>
    <xf numFmtId="164" fontId="7" fillId="20" borderId="0" xfId="4" applyNumberFormat="1" applyFill="1">
      <alignment vertical="top"/>
    </xf>
    <xf numFmtId="0" fontId="0" fillId="0" borderId="0" xfId="79" applyFont="1"/>
    <xf numFmtId="0" fontId="8" fillId="20" borderId="1" xfId="6" applyNumberFormat="1" applyAlignment="1">
      <alignment horizontal="left" vertical="top"/>
    </xf>
    <xf numFmtId="49" fontId="8" fillId="20" borderId="1" xfId="6" applyAlignment="1">
      <alignment horizontal="center" vertical="top"/>
    </xf>
    <xf numFmtId="169" fontId="7" fillId="0" borderId="0" xfId="4" applyNumberFormat="1">
      <alignment vertical="top"/>
    </xf>
    <xf numFmtId="167" fontId="7" fillId="14" borderId="0" xfId="11" applyNumberFormat="1">
      <alignment vertical="top"/>
    </xf>
    <xf numFmtId="9" fontId="7" fillId="14" borderId="0" xfId="11" applyNumberFormat="1">
      <alignment vertical="top"/>
    </xf>
    <xf numFmtId="9" fontId="7" fillId="47" borderId="0" xfId="10" applyNumberFormat="1">
      <alignment vertical="top"/>
    </xf>
    <xf numFmtId="49" fontId="16" fillId="0" borderId="0" xfId="12" applyFont="1">
      <alignment vertical="top"/>
    </xf>
    <xf numFmtId="0" fontId="0" fillId="0" borderId="0" xfId="0" applyAlignment="1">
      <alignment horizontal="left" vertical="top" wrapText="1"/>
    </xf>
    <xf numFmtId="49" fontId="7" fillId="20" borderId="0" xfId="6" applyFont="1" applyBorder="1">
      <alignment vertical="top"/>
    </xf>
    <xf numFmtId="0" fontId="35" fillId="0" borderId="0" xfId="0" applyFont="1" applyAlignment="1">
      <alignment horizontal="left" vertical="top" wrapText="1"/>
    </xf>
    <xf numFmtId="171" fontId="7" fillId="0" borderId="0" xfId="4" applyNumberFormat="1">
      <alignment vertical="top"/>
    </xf>
    <xf numFmtId="49" fontId="7" fillId="0" borderId="0" xfId="12" applyFont="1">
      <alignment vertical="top"/>
    </xf>
    <xf numFmtId="41" fontId="7" fillId="7" borderId="0" xfId="4" applyNumberFormat="1" applyFill="1">
      <alignment vertical="top"/>
    </xf>
    <xf numFmtId="171" fontId="7" fillId="45" borderId="0" xfId="60" applyNumberFormat="1">
      <alignment vertical="top"/>
    </xf>
    <xf numFmtId="171" fontId="7" fillId="14" borderId="0" xfId="11" applyNumberFormat="1">
      <alignment vertical="top"/>
    </xf>
    <xf numFmtId="0" fontId="7" fillId="0" borderId="0" xfId="4" applyAlignment="1">
      <alignment horizontal="left" vertical="top" indent="1"/>
    </xf>
    <xf numFmtId="0" fontId="7" fillId="0" borderId="0" xfId="0" applyFont="1">
      <alignment vertical="top"/>
    </xf>
    <xf numFmtId="167" fontId="7" fillId="10" borderId="0" xfId="64" applyNumberFormat="1">
      <alignment vertical="top"/>
    </xf>
    <xf numFmtId="167" fontId="7" fillId="45" borderId="0" xfId="60" applyNumberFormat="1">
      <alignment vertical="top"/>
    </xf>
    <xf numFmtId="9" fontId="7" fillId="45" borderId="0" xfId="60" applyNumberFormat="1">
      <alignment vertical="top"/>
    </xf>
    <xf numFmtId="165" fontId="7" fillId="45" borderId="0" xfId="60" applyNumberFormat="1">
      <alignment vertical="top"/>
    </xf>
    <xf numFmtId="0" fontId="7" fillId="0" borderId="0" xfId="81" applyFont="1"/>
    <xf numFmtId="0" fontId="7" fillId="0" borderId="0" xfId="4" applyAlignment="1">
      <alignment horizontal="left" vertical="top" wrapText="1"/>
    </xf>
    <xf numFmtId="0" fontId="7" fillId="0" borderId="2" xfId="4" applyFont="1" applyBorder="1">
      <alignment vertical="top"/>
    </xf>
    <xf numFmtId="41" fontId="7" fillId="10" borderId="0" xfId="82" applyNumberFormat="1">
      <alignment vertical="top"/>
    </xf>
    <xf numFmtId="41" fontId="7" fillId="14" borderId="0" xfId="11" quotePrefix="1">
      <alignment vertical="top"/>
    </xf>
    <xf numFmtId="41" fontId="7" fillId="12" borderId="0" xfId="9" quotePrefix="1">
      <alignment vertical="top"/>
    </xf>
    <xf numFmtId="41" fontId="7" fillId="49" borderId="0" xfId="10" applyFill="1">
      <alignment vertical="top"/>
    </xf>
    <xf numFmtId="0" fontId="7" fillId="0" borderId="0" xfId="4" applyAlignment="1">
      <alignment horizontal="left" vertical="top" wrapText="1"/>
    </xf>
    <xf numFmtId="49" fontId="23" fillId="0" borderId="0" xfId="59" applyAlignment="1">
      <alignment horizontal="left" vertical="top" wrapText="1"/>
    </xf>
    <xf numFmtId="0" fontId="0" fillId="0" borderId="0" xfId="0" applyAlignment="1">
      <alignment horizontal="left" vertical="top" wrapText="1"/>
    </xf>
  </cellXfs>
  <cellStyles count="83">
    <cellStyle name="_x000d__x000a_JournalTemplate=C:\COMFO\CTALK\JOURSTD.TPL_x000d__x000a_LbStateAddress=3 3 0 251 1 89 2 311_x000d__x000a_LbStateJou_01. TS-TAR(i)-12-09" xfId="78" xr:uid="{00000000-0005-0000-0000-000000000000}"/>
    <cellStyle name="_kop1 Bladtitel" xfId="5" xr:uid="{00000000-0005-0000-0000-000001000000}"/>
    <cellStyle name="_kop2 Bloktitel" xfId="6" xr:uid="{00000000-0005-0000-0000-000003000000}"/>
    <cellStyle name="_kop3 Subkop" xfId="7" xr:uid="{00000000-0005-0000-0000-000005000000}"/>
    <cellStyle name="20% - Accent1" xfId="35" builtinId="30" hidden="1"/>
    <cellStyle name="20% - Accent2" xfId="39" builtinId="34" hidden="1"/>
    <cellStyle name="20% - Accent3" xfId="43" builtinId="38" hidden="1"/>
    <cellStyle name="20% - Accent4" xfId="47" builtinId="42" hidden="1"/>
    <cellStyle name="20% - Accent5" xfId="51" builtinId="46" hidden="1"/>
    <cellStyle name="20% - Accent6" xfId="55" builtinId="50" hidden="1"/>
    <cellStyle name="40% - Accent1" xfId="36" builtinId="31" hidden="1"/>
    <cellStyle name="40% - Accent2" xfId="40" builtinId="35" hidden="1"/>
    <cellStyle name="40% - Accent3" xfId="44" builtinId="39" hidden="1"/>
    <cellStyle name="40% - Accent4" xfId="48" builtinId="43" hidden="1"/>
    <cellStyle name="40% - Accent5" xfId="52" builtinId="47" hidden="1"/>
    <cellStyle name="40% - Accent6" xfId="56" builtinId="51" hidden="1"/>
    <cellStyle name="60% - Accent1" xfId="37" builtinId="32" hidden="1"/>
    <cellStyle name="60% - Accent2" xfId="41" builtinId="36" hidden="1"/>
    <cellStyle name="60% - Accent3" xfId="45" builtinId="40" hidden="1"/>
    <cellStyle name="60% - Accent4" xfId="49" builtinId="44" hidden="1"/>
    <cellStyle name="60% - Accent5" xfId="53" builtinId="48" hidden="1"/>
    <cellStyle name="60% - Accent6" xfId="57" builtinId="52" hidden="1"/>
    <cellStyle name="Accent1" xfId="34" builtinId="29" hidden="1"/>
    <cellStyle name="Accent2" xfId="38" builtinId="33" hidden="1"/>
    <cellStyle name="Accent3" xfId="42" builtinId="37" hidden="1"/>
    <cellStyle name="Accent4" xfId="46" builtinId="41" hidden="1"/>
    <cellStyle name="Accent5" xfId="50" builtinId="45" hidden="1"/>
    <cellStyle name="Accent6" xfId="54" builtinId="49" hidden="1"/>
    <cellStyle name="Bad" xfId="63" hidden="1" xr:uid="{00000000-0005-0000-0000-00001E000000}"/>
    <cellStyle name="Berekening" xfId="16" builtinId="22" hidden="1"/>
    <cellStyle name="Cel (tussen)resultaat" xfId="8" xr:uid="{00000000-0005-0000-0000-000020000000}"/>
    <cellStyle name="Cel Berekening" xfId="9" xr:uid="{00000000-0005-0000-0000-000022000000}"/>
    <cellStyle name="Cel Bijzonderheid" xfId="82" xr:uid="{40E8DA15-B6D5-40E3-B8D9-1AAEA02E40EC}"/>
    <cellStyle name="Cel Bijzonderheid 2" xfId="64" xr:uid="{00000000-0005-0000-0000-000025000000}"/>
    <cellStyle name="Cel Dataverzoek 2" xfId="76" xr:uid="{00000000-0005-0000-0000-000026000000}"/>
    <cellStyle name="Cel Input" xfId="10" xr:uid="{00000000-0005-0000-0000-000027000000}"/>
    <cellStyle name="Cel n.v.t. (leeg)" xfId="60" xr:uid="{00000000-0005-0000-0000-000029000000}"/>
    <cellStyle name="Cel PM extern 2" xfId="65" xr:uid="{00000000-0005-0000-0000-00002B000000}"/>
    <cellStyle name="Cel Verwijzing" xfId="11" xr:uid="{00000000-0005-0000-0000-00002C000000}"/>
    <cellStyle name="Check Cell" xfId="68" hidden="1" xr:uid="{00000000-0005-0000-0000-00002E000000}"/>
    <cellStyle name="Controlecel" xfId="18" builtinId="23" hidden="1"/>
    <cellStyle name="Explanatory Text" xfId="74" hidden="1" xr:uid="{00000000-0005-0000-0000-000030000000}"/>
    <cellStyle name="Gekoppelde cel" xfId="17" builtinId="24" hidden="1"/>
    <cellStyle name="Gevolgde hyperlink" xfId="58" builtinId="9" hidden="1"/>
    <cellStyle name="Goed" xfId="1" builtinId="26" hidden="1"/>
    <cellStyle name="Heading 1" xfId="70" hidden="1" xr:uid="{00000000-0005-0000-0000-000034000000}"/>
    <cellStyle name="Heading 2" xfId="71" hidden="1" xr:uid="{00000000-0005-0000-0000-000035000000}"/>
    <cellStyle name="Heading 3" xfId="72" hidden="1" xr:uid="{00000000-0005-0000-0000-000036000000}"/>
    <cellStyle name="Heading 4" xfId="73" hidden="1" xr:uid="{00000000-0005-0000-0000-000037000000}"/>
    <cellStyle name="Hyperlink" xfId="20" builtinId="8" hidden="1"/>
    <cellStyle name="Hyperlink" xfId="59" builtinId="8" customBuiltin="1"/>
    <cellStyle name="Input" xfId="66" hidden="1" xr:uid="{00000000-0005-0000-0000-00003A000000}"/>
    <cellStyle name="Invoer" xfId="14" builtinId="20" hidden="1"/>
    <cellStyle name="Komma" xfId="21" builtinId="3" hidden="1"/>
    <cellStyle name="Komma" xfId="61" builtinId="3"/>
    <cellStyle name="Komma [0]" xfId="22" builtinId="6" hidden="1"/>
    <cellStyle name="Komma 14" xfId="75" xr:uid="{00000000-0005-0000-0000-00003F000000}"/>
    <cellStyle name="Komma 2 5" xfId="80" xr:uid="{00000000-0005-0000-0000-000040000000}"/>
    <cellStyle name="Kop 1" xfId="27" builtinId="16" hidden="1"/>
    <cellStyle name="Kop 2" xfId="28" builtinId="17" hidden="1"/>
    <cellStyle name="Kop 3" xfId="29" builtinId="18" hidden="1"/>
    <cellStyle name="Kop 4" xfId="30" builtinId="19" hidden="1"/>
    <cellStyle name="Neutraal" xfId="3" builtinId="28" hidden="1"/>
    <cellStyle name="Note" xfId="69" hidden="1" xr:uid="{00000000-0005-0000-0000-000046000000}"/>
    <cellStyle name="Notitie" xfId="19" builtinId="10" hidden="1"/>
    <cellStyle name="Ongeldig" xfId="2" builtinId="27" hidden="1"/>
    <cellStyle name="Opm. INTERN" xfId="12" xr:uid="{00000000-0005-0000-0000-000049000000}"/>
    <cellStyle name="Output" xfId="67" hidden="1" xr:uid="{00000000-0005-0000-0000-00004A000000}"/>
    <cellStyle name="Procent" xfId="25" builtinId="5" hidden="1"/>
    <cellStyle name="Procent" xfId="62" builtinId="5"/>
    <cellStyle name="Standaard" xfId="0" builtinId="0" customBuiltin="1"/>
    <cellStyle name="Standaard 26" xfId="79" xr:uid="{00000000-0005-0000-0000-00004E000000}"/>
    <cellStyle name="Standaard 32" xfId="77" xr:uid="{00000000-0005-0000-0000-00004F000000}"/>
    <cellStyle name="Standaard 32 2" xfId="81" xr:uid="{00000000-0005-0000-0000-000050000000}"/>
    <cellStyle name="Standaard ACM-DE" xfId="4" xr:uid="{00000000-0005-0000-0000-000051000000}"/>
    <cellStyle name="Titel" xfId="26" builtinId="15" hidden="1"/>
    <cellStyle name="Toelichting" xfId="13" xr:uid="{00000000-0005-0000-0000-000053000000}"/>
    <cellStyle name="Totaal" xfId="33" builtinId="25" hidden="1"/>
    <cellStyle name="Uitvoer" xfId="15" builtinId="21" hidden="1"/>
    <cellStyle name="Valuta" xfId="23" builtinId="4" hidden="1"/>
    <cellStyle name="Valuta [0]" xfId="24" builtinId="7" hidden="1"/>
    <cellStyle name="Verklarende tekst" xfId="32" builtinId="53" hidden="1"/>
    <cellStyle name="Waarschuwingstekst" xfId="31" builtinId="11" hidden="1"/>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FFCC99"/>
      <color rgb="FFFFFFCC"/>
      <color rgb="FFE1FFE1"/>
      <color rgb="FFFF66FF"/>
      <color rgb="FFCCC8D9"/>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10584</xdr:colOff>
      <xdr:row>4</xdr:row>
      <xdr:rowOff>0</xdr:rowOff>
    </xdr:from>
    <xdr:to>
      <xdr:col>1</xdr:col>
      <xdr:colOff>1848909</xdr:colOff>
      <xdr:row>10</xdr:row>
      <xdr:rowOff>126229</xdr:rowOff>
    </xdr:to>
    <xdr:pic>
      <xdr:nvPicPr>
        <xdr:cNvPr id="3" name="Afbeelding 2">
          <a:extLst>
            <a:ext uri="{FF2B5EF4-FFF2-40B4-BE49-F238E27FC236}">
              <a16:creationId xmlns:a16="http://schemas.microsoft.com/office/drawing/2014/main" id="{F5B37F9C-1254-445F-A95D-38EAE6552557}"/>
            </a:ext>
          </a:extLst>
        </xdr:cNvPr>
        <xdr:cNvPicPr>
          <a:picLocks noChangeAspect="1"/>
        </xdr:cNvPicPr>
      </xdr:nvPicPr>
      <xdr:blipFill>
        <a:blip xmlns:r="http://schemas.openxmlformats.org/officeDocument/2006/relationships" r:embed="rId1"/>
        <a:stretch>
          <a:fillRect/>
        </a:stretch>
      </xdr:blipFill>
      <xdr:spPr>
        <a:xfrm>
          <a:off x="328084" y="709083"/>
          <a:ext cx="1838325" cy="1072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50573</xdr:colOff>
      <xdr:row>23</xdr:row>
      <xdr:rowOff>9525</xdr:rowOff>
    </xdr:from>
    <xdr:to>
      <xdr:col>5</xdr:col>
      <xdr:colOff>1352323</xdr:colOff>
      <xdr:row>23</xdr:row>
      <xdr:rowOff>9526</xdr:rowOff>
    </xdr:to>
    <xdr:cxnSp macro="">
      <xdr:nvCxnSpPr>
        <xdr:cNvPr id="2" name="Straight Arrow Connector 4">
          <a:extLst>
            <a:ext uri="{FF2B5EF4-FFF2-40B4-BE49-F238E27FC236}">
              <a16:creationId xmlns:a16="http://schemas.microsoft.com/office/drawing/2014/main" id="{00000000-0008-0000-0400-000002000000}"/>
            </a:ext>
          </a:extLst>
        </xdr:cNvPr>
        <xdr:cNvCxnSpPr/>
      </xdr:nvCxnSpPr>
      <xdr:spPr>
        <a:xfrm>
          <a:off x="4720544" y="4668611"/>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48078</xdr:colOff>
      <xdr:row>32</xdr:row>
      <xdr:rowOff>155086</xdr:rowOff>
    </xdr:from>
    <xdr:to>
      <xdr:col>5</xdr:col>
      <xdr:colOff>1351278</xdr:colOff>
      <xdr:row>32</xdr:row>
      <xdr:rowOff>155087</xdr:rowOff>
    </xdr:to>
    <xdr:cxnSp macro="">
      <xdr:nvCxnSpPr>
        <xdr:cNvPr id="3" name="Straight Arrow Connector 14">
          <a:extLst>
            <a:ext uri="{FF2B5EF4-FFF2-40B4-BE49-F238E27FC236}">
              <a16:creationId xmlns:a16="http://schemas.microsoft.com/office/drawing/2014/main" id="{00000000-0008-0000-0400-000003000000}"/>
            </a:ext>
          </a:extLst>
        </xdr:cNvPr>
        <xdr:cNvCxnSpPr/>
      </xdr:nvCxnSpPr>
      <xdr:spPr>
        <a:xfrm>
          <a:off x="4722655" y="6221778"/>
          <a:ext cx="13032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39688</xdr:colOff>
      <xdr:row>43</xdr:row>
      <xdr:rowOff>92808</xdr:rowOff>
    </xdr:from>
    <xdr:to>
      <xdr:col>5</xdr:col>
      <xdr:colOff>1341438</xdr:colOff>
      <xdr:row>43</xdr:row>
      <xdr:rowOff>92809</xdr:rowOff>
    </xdr:to>
    <xdr:cxnSp macro="">
      <xdr:nvCxnSpPr>
        <xdr:cNvPr id="4" name="Straight Arrow Connector 16">
          <a:extLst>
            <a:ext uri="{FF2B5EF4-FFF2-40B4-BE49-F238E27FC236}">
              <a16:creationId xmlns:a16="http://schemas.microsoft.com/office/drawing/2014/main" id="{00000000-0008-0000-0400-000004000000}"/>
            </a:ext>
          </a:extLst>
        </xdr:cNvPr>
        <xdr:cNvCxnSpPr/>
      </xdr:nvCxnSpPr>
      <xdr:spPr>
        <a:xfrm>
          <a:off x="4714265" y="7932616"/>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1341437</xdr:colOff>
      <xdr:row>25</xdr:row>
      <xdr:rowOff>7938</xdr:rowOff>
    </xdr:from>
    <xdr:to>
      <xdr:col>7</xdr:col>
      <xdr:colOff>1341437</xdr:colOff>
      <xdr:row>26</xdr:row>
      <xdr:rowOff>142875</xdr:rowOff>
    </xdr:to>
    <xdr:cxnSp macro="">
      <xdr:nvCxnSpPr>
        <xdr:cNvPr id="5" name="Straight Arrow Connector 12">
          <a:extLst>
            <a:ext uri="{FF2B5EF4-FFF2-40B4-BE49-F238E27FC236}">
              <a16:creationId xmlns:a16="http://schemas.microsoft.com/office/drawing/2014/main" id="{00000000-0008-0000-0400-000005000000}"/>
            </a:ext>
          </a:extLst>
        </xdr:cNvPr>
        <xdr:cNvCxnSpPr/>
      </xdr:nvCxnSpPr>
      <xdr:spPr>
        <a:xfrm>
          <a:off x="7437437" y="4446588"/>
          <a:ext cx="0" cy="2968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49510</xdr:colOff>
      <xdr:row>33</xdr:row>
      <xdr:rowOff>88001</xdr:rowOff>
    </xdr:from>
    <xdr:to>
      <xdr:col>5</xdr:col>
      <xdr:colOff>1352710</xdr:colOff>
      <xdr:row>38</xdr:row>
      <xdr:rowOff>74040</xdr:rowOff>
    </xdr:to>
    <xdr:cxnSp macro="">
      <xdr:nvCxnSpPr>
        <xdr:cNvPr id="6" name="Elbow Connector 18">
          <a:extLst>
            <a:ext uri="{FF2B5EF4-FFF2-40B4-BE49-F238E27FC236}">
              <a16:creationId xmlns:a16="http://schemas.microsoft.com/office/drawing/2014/main" id="{00000000-0008-0000-0400-000006000000}"/>
            </a:ext>
          </a:extLst>
        </xdr:cNvPr>
        <xdr:cNvCxnSpPr/>
      </xdr:nvCxnSpPr>
      <xdr:spPr>
        <a:xfrm>
          <a:off x="4724087" y="6315886"/>
          <a:ext cx="1303200" cy="792000"/>
        </a:xfrm>
        <a:prstGeom prst="bentConnector3">
          <a:avLst>
            <a:gd name="adj1" fmla="val 54658"/>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46404</xdr:colOff>
      <xdr:row>38</xdr:row>
      <xdr:rowOff>78154</xdr:rowOff>
    </xdr:from>
    <xdr:to>
      <xdr:col>9</xdr:col>
      <xdr:colOff>1348154</xdr:colOff>
      <xdr:row>38</xdr:row>
      <xdr:rowOff>78155</xdr:rowOff>
    </xdr:to>
    <xdr:cxnSp macro="">
      <xdr:nvCxnSpPr>
        <xdr:cNvPr id="7" name="Straight Arrow Connector 19">
          <a:extLst>
            <a:ext uri="{FF2B5EF4-FFF2-40B4-BE49-F238E27FC236}">
              <a16:creationId xmlns:a16="http://schemas.microsoft.com/office/drawing/2014/main" id="{00000000-0008-0000-0400-000007000000}"/>
            </a:ext>
          </a:extLst>
        </xdr:cNvPr>
        <xdr:cNvCxnSpPr/>
      </xdr:nvCxnSpPr>
      <xdr:spPr>
        <a:xfrm>
          <a:off x="9190404" y="711200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50825</xdr:colOff>
      <xdr:row>38</xdr:row>
      <xdr:rowOff>68519</xdr:rowOff>
    </xdr:from>
    <xdr:to>
      <xdr:col>13</xdr:col>
      <xdr:colOff>1352575</xdr:colOff>
      <xdr:row>38</xdr:row>
      <xdr:rowOff>68520</xdr:rowOff>
    </xdr:to>
    <xdr:cxnSp macro="">
      <xdr:nvCxnSpPr>
        <xdr:cNvPr id="8" name="Straight Arrow Connector 21">
          <a:extLst>
            <a:ext uri="{FF2B5EF4-FFF2-40B4-BE49-F238E27FC236}">
              <a16:creationId xmlns:a16="http://schemas.microsoft.com/office/drawing/2014/main" id="{00000000-0008-0000-0400-000008000000}"/>
            </a:ext>
          </a:extLst>
        </xdr:cNvPr>
        <xdr:cNvCxnSpPr/>
      </xdr:nvCxnSpPr>
      <xdr:spPr>
        <a:xfrm>
          <a:off x="13915912" y="7266106"/>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43542</xdr:colOff>
      <xdr:row>23</xdr:row>
      <xdr:rowOff>157842</xdr:rowOff>
    </xdr:from>
    <xdr:to>
      <xdr:col>5</xdr:col>
      <xdr:colOff>1346742</xdr:colOff>
      <xdr:row>28</xdr:row>
      <xdr:rowOff>97414</xdr:rowOff>
    </xdr:to>
    <xdr:cxnSp macro="">
      <xdr:nvCxnSpPr>
        <xdr:cNvPr id="9" name="Elbow Connector 22">
          <a:extLst>
            <a:ext uri="{FF2B5EF4-FFF2-40B4-BE49-F238E27FC236}">
              <a16:creationId xmlns:a16="http://schemas.microsoft.com/office/drawing/2014/main" id="{00000000-0008-0000-0400-000009000000}"/>
            </a:ext>
          </a:extLst>
        </xdr:cNvPr>
        <xdr:cNvCxnSpPr/>
      </xdr:nvCxnSpPr>
      <xdr:spPr>
        <a:xfrm>
          <a:off x="4713513" y="4816928"/>
          <a:ext cx="1303200" cy="7560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39077</xdr:colOff>
      <xdr:row>33</xdr:row>
      <xdr:rowOff>56172</xdr:rowOff>
    </xdr:from>
    <xdr:to>
      <xdr:col>9</xdr:col>
      <xdr:colOff>1340827</xdr:colOff>
      <xdr:row>37</xdr:row>
      <xdr:rowOff>95403</xdr:rowOff>
    </xdr:to>
    <xdr:cxnSp macro="">
      <xdr:nvCxnSpPr>
        <xdr:cNvPr id="10" name="Elbow Connector 24">
          <a:extLst>
            <a:ext uri="{FF2B5EF4-FFF2-40B4-BE49-F238E27FC236}">
              <a16:creationId xmlns:a16="http://schemas.microsoft.com/office/drawing/2014/main" id="{00000000-0008-0000-0400-00000A000000}"/>
            </a:ext>
          </a:extLst>
        </xdr:cNvPr>
        <xdr:cNvCxnSpPr/>
      </xdr:nvCxnSpPr>
      <xdr:spPr>
        <a:xfrm>
          <a:off x="9183077" y="6284057"/>
          <a:ext cx="1301750" cy="6840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39076</xdr:colOff>
      <xdr:row>39</xdr:row>
      <xdr:rowOff>43473</xdr:rowOff>
    </xdr:from>
    <xdr:to>
      <xdr:col>9</xdr:col>
      <xdr:colOff>1342276</xdr:colOff>
      <xdr:row>43</xdr:row>
      <xdr:rowOff>82703</xdr:rowOff>
    </xdr:to>
    <xdr:cxnSp macro="">
      <xdr:nvCxnSpPr>
        <xdr:cNvPr id="11" name="Elbow Connector 25">
          <a:extLst>
            <a:ext uri="{FF2B5EF4-FFF2-40B4-BE49-F238E27FC236}">
              <a16:creationId xmlns:a16="http://schemas.microsoft.com/office/drawing/2014/main" id="{00000000-0008-0000-0400-00000B000000}"/>
            </a:ext>
          </a:extLst>
        </xdr:cNvPr>
        <xdr:cNvCxnSpPr/>
      </xdr:nvCxnSpPr>
      <xdr:spPr>
        <a:xfrm flipV="1">
          <a:off x="9183076" y="7238511"/>
          <a:ext cx="1303200" cy="6840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40821</xdr:colOff>
      <xdr:row>34</xdr:row>
      <xdr:rowOff>20934</xdr:rowOff>
    </xdr:from>
    <xdr:to>
      <xdr:col>5</xdr:col>
      <xdr:colOff>1344021</xdr:colOff>
      <xdr:row>42</xdr:row>
      <xdr:rowOff>135396</xdr:rowOff>
    </xdr:to>
    <xdr:cxnSp macro="">
      <xdr:nvCxnSpPr>
        <xdr:cNvPr id="12" name="Elbow Connector 13">
          <a:extLst>
            <a:ext uri="{FF2B5EF4-FFF2-40B4-BE49-F238E27FC236}">
              <a16:creationId xmlns:a16="http://schemas.microsoft.com/office/drawing/2014/main" id="{00000000-0008-0000-0400-00000C000000}"/>
            </a:ext>
          </a:extLst>
        </xdr:cNvPr>
        <xdr:cNvCxnSpPr/>
      </xdr:nvCxnSpPr>
      <xdr:spPr>
        <a:xfrm>
          <a:off x="4715398" y="6410011"/>
          <a:ext cx="1303200" cy="14040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13</xdr:row>
      <xdr:rowOff>63500</xdr:rowOff>
    </xdr:from>
    <xdr:to>
      <xdr:col>9</xdr:col>
      <xdr:colOff>1341438</xdr:colOff>
      <xdr:row>13</xdr:row>
      <xdr:rowOff>63501</xdr:rowOff>
    </xdr:to>
    <xdr:cxnSp macro="">
      <xdr:nvCxnSpPr>
        <xdr:cNvPr id="13" name="Straight Arrow Connector 17">
          <a:extLst>
            <a:ext uri="{FF2B5EF4-FFF2-40B4-BE49-F238E27FC236}">
              <a16:creationId xmlns:a16="http://schemas.microsoft.com/office/drawing/2014/main" id="{00000000-0008-0000-0400-00000D000000}"/>
            </a:ext>
          </a:extLst>
        </xdr:cNvPr>
        <xdr:cNvCxnSpPr/>
      </xdr:nvCxnSpPr>
      <xdr:spPr>
        <a:xfrm>
          <a:off x="9031288" y="255905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13</xdr:row>
      <xdr:rowOff>54428</xdr:rowOff>
    </xdr:from>
    <xdr:to>
      <xdr:col>5</xdr:col>
      <xdr:colOff>1328964</xdr:colOff>
      <xdr:row>13</xdr:row>
      <xdr:rowOff>54429</xdr:rowOff>
    </xdr:to>
    <xdr:cxnSp macro="">
      <xdr:nvCxnSpPr>
        <xdr:cNvPr id="14" name="Straight Arrow Connector 20">
          <a:extLst>
            <a:ext uri="{FF2B5EF4-FFF2-40B4-BE49-F238E27FC236}">
              <a16:creationId xmlns:a16="http://schemas.microsoft.com/office/drawing/2014/main" id="{00000000-0008-0000-0400-00000E000000}"/>
            </a:ext>
          </a:extLst>
        </xdr:cNvPr>
        <xdr:cNvCxnSpPr/>
      </xdr:nvCxnSpPr>
      <xdr:spPr>
        <a:xfrm>
          <a:off x="4561114" y="2549978"/>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83344</xdr:rowOff>
    </xdr:from>
    <xdr:to>
      <xdr:col>11</xdr:col>
      <xdr:colOff>1375172</xdr:colOff>
      <xdr:row>10</xdr:row>
      <xdr:rowOff>83344</xdr:rowOff>
    </xdr:to>
    <xdr:cxnSp macro="">
      <xdr:nvCxnSpPr>
        <xdr:cNvPr id="15" name="Straight Connector 23">
          <a:extLst>
            <a:ext uri="{FF2B5EF4-FFF2-40B4-BE49-F238E27FC236}">
              <a16:creationId xmlns:a16="http://schemas.microsoft.com/office/drawing/2014/main" id="{00000000-0008-0000-0400-00000F000000}"/>
            </a:ext>
          </a:extLst>
        </xdr:cNvPr>
        <xdr:cNvCxnSpPr/>
      </xdr:nvCxnSpPr>
      <xdr:spPr>
        <a:xfrm flipH="1">
          <a:off x="3007519" y="2093119"/>
          <a:ext cx="90547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95251</xdr:rowOff>
    </xdr:from>
    <xdr:to>
      <xdr:col>3</xdr:col>
      <xdr:colOff>1369219</xdr:colOff>
      <xdr:row>11</xdr:row>
      <xdr:rowOff>158751</xdr:rowOff>
    </xdr:to>
    <xdr:cxnSp macro="">
      <xdr:nvCxnSpPr>
        <xdr:cNvPr id="16" name="Straight Connector 26">
          <a:extLst>
            <a:ext uri="{FF2B5EF4-FFF2-40B4-BE49-F238E27FC236}">
              <a16:creationId xmlns:a16="http://schemas.microsoft.com/office/drawing/2014/main" id="{00000000-0008-0000-0400-000010000000}"/>
            </a:ext>
          </a:extLst>
        </xdr:cNvPr>
        <xdr:cNvCxnSpPr/>
      </xdr:nvCxnSpPr>
      <xdr:spPr>
        <a:xfrm flipV="1">
          <a:off x="3007519" y="2105026"/>
          <a:ext cx="0" cy="225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1381126</xdr:colOff>
      <xdr:row>10</xdr:row>
      <xdr:rowOff>95250</xdr:rowOff>
    </xdr:from>
    <xdr:to>
      <xdr:col>11</xdr:col>
      <xdr:colOff>1381126</xdr:colOff>
      <xdr:row>12</xdr:row>
      <xdr:rowOff>11907</xdr:rowOff>
    </xdr:to>
    <xdr:cxnSp macro="">
      <xdr:nvCxnSpPr>
        <xdr:cNvPr id="17" name="Straight Arrow Connector 27">
          <a:extLst>
            <a:ext uri="{FF2B5EF4-FFF2-40B4-BE49-F238E27FC236}">
              <a16:creationId xmlns:a16="http://schemas.microsoft.com/office/drawing/2014/main" id="{00000000-0008-0000-0400-000011000000}"/>
            </a:ext>
          </a:extLst>
        </xdr:cNvPr>
        <xdr:cNvCxnSpPr/>
      </xdr:nvCxnSpPr>
      <xdr:spPr>
        <a:xfrm>
          <a:off x="12068176" y="2105025"/>
          <a:ext cx="0" cy="2405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acm.nl/nl/publicaties/gewijzigd-methodebesluit-tennet-transporttaken-2017-2021" TargetMode="External"/><Relationship Id="rId1" Type="http://schemas.openxmlformats.org/officeDocument/2006/relationships/hyperlink" Target="https://support.office.com/nl-nl/article/de-invoegtoepassing-oplosser-laden-in-excel-612926fc-d53b-46b4-872c-e24772f078ca" TargetMode="External"/><Relationship Id="rId6" Type="http://schemas.openxmlformats.org/officeDocument/2006/relationships/printerSettings" Target="../printerSettings/printerSettings3.bin"/><Relationship Id="rId5" Type="http://schemas.openxmlformats.org/officeDocument/2006/relationships/hyperlink" Target="https://www.acm.nl/nl/publicaties/gewijzigd-methodebesluit-tennet-transport-2022-2026" TargetMode="External"/><Relationship Id="rId4" Type="http://schemas.openxmlformats.org/officeDocument/2006/relationships/hyperlink" Target="https://uitspraken.rechtspraak.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CCC8D9"/>
  </sheetPr>
  <dimension ref="B2:D37"/>
  <sheetViews>
    <sheetView showGridLines="0" tabSelected="1" zoomScale="85" zoomScaleNormal="85" workbookViewId="0">
      <pane ySplit="3" topLeftCell="A4" activePane="bottomLeft" state="frozen"/>
      <selection activeCell="O39" sqref="O39"/>
      <selection pane="bottomLeft"/>
    </sheetView>
  </sheetViews>
  <sheetFormatPr defaultColWidth="9.140625" defaultRowHeight="12.75"/>
  <cols>
    <col min="1" max="1" width="4.7109375" style="8" customWidth="1"/>
    <col min="2" max="2" width="39.85546875" style="8" customWidth="1"/>
    <col min="3" max="3" width="91.85546875" style="8" customWidth="1"/>
    <col min="4" max="16384" width="9.140625" style="8"/>
  </cols>
  <sheetData>
    <row r="2" spans="2:3" s="13" customFormat="1" ht="18">
      <c r="B2" s="13" t="s">
        <v>0</v>
      </c>
    </row>
    <row r="6" spans="2:3">
      <c r="B6" s="9"/>
    </row>
    <row r="13" spans="2:3" s="14" customFormat="1">
      <c r="B13" s="14" t="s">
        <v>1</v>
      </c>
    </row>
    <row r="15" spans="2:3">
      <c r="B15" s="15" t="s">
        <v>2</v>
      </c>
      <c r="C15" s="16" t="s">
        <v>491</v>
      </c>
    </row>
    <row r="16" spans="2:3">
      <c r="B16" s="15" t="s">
        <v>3</v>
      </c>
      <c r="C16" s="16" t="s">
        <v>562</v>
      </c>
    </row>
    <row r="17" spans="2:3">
      <c r="B17" s="15" t="s">
        <v>4</v>
      </c>
      <c r="C17" s="16" t="s">
        <v>486</v>
      </c>
    </row>
    <row r="18" spans="2:3">
      <c r="B18" s="15" t="s">
        <v>5</v>
      </c>
      <c r="C18" s="16" t="s">
        <v>492</v>
      </c>
    </row>
    <row r="19" spans="2:3">
      <c r="B19" s="15" t="s">
        <v>6</v>
      </c>
      <c r="C19" s="16" t="s">
        <v>486</v>
      </c>
    </row>
    <row r="20" spans="2:3">
      <c r="B20" s="15" t="s">
        <v>7</v>
      </c>
      <c r="C20" s="16" t="s">
        <v>493</v>
      </c>
    </row>
    <row r="21" spans="2:3">
      <c r="B21" s="15" t="s">
        <v>8</v>
      </c>
      <c r="C21" s="16" t="s">
        <v>561</v>
      </c>
    </row>
    <row r="22" spans="2:3">
      <c r="B22" s="15" t="s">
        <v>9</v>
      </c>
      <c r="C22" s="16" t="s">
        <v>486</v>
      </c>
    </row>
    <row r="25" spans="2:3" s="14" customFormat="1">
      <c r="B25" s="14" t="s">
        <v>10</v>
      </c>
    </row>
    <row r="27" spans="2:3">
      <c r="B27" s="15" t="s">
        <v>11</v>
      </c>
      <c r="C27" s="16" t="s">
        <v>236</v>
      </c>
    </row>
    <row r="28" spans="2:3">
      <c r="B28" s="16" t="s">
        <v>68</v>
      </c>
      <c r="C28" s="16" t="s">
        <v>236</v>
      </c>
    </row>
    <row r="29" spans="2:3" ht="25.5">
      <c r="B29" s="15" t="s">
        <v>12</v>
      </c>
      <c r="C29" s="16" t="s">
        <v>236</v>
      </c>
    </row>
    <row r="30" spans="2:3">
      <c r="B30" s="16" t="s">
        <v>67</v>
      </c>
      <c r="C30" s="16" t="s">
        <v>612</v>
      </c>
    </row>
    <row r="31" spans="2:3">
      <c r="B31" s="15" t="s">
        <v>13</v>
      </c>
      <c r="C31" s="16" t="s">
        <v>486</v>
      </c>
    </row>
    <row r="32" spans="2:3">
      <c r="B32" s="15" t="s">
        <v>9</v>
      </c>
      <c r="C32" s="16" t="s">
        <v>486</v>
      </c>
    </row>
    <row r="34" spans="2:4">
      <c r="B34" s="28"/>
      <c r="C34" s="28"/>
      <c r="D34" s="11"/>
    </row>
    <row r="35" spans="2:4" s="14" customFormat="1">
      <c r="B35" s="14" t="s">
        <v>14</v>
      </c>
    </row>
    <row r="37" spans="2:4">
      <c r="B37" s="129" t="s">
        <v>490</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FFFFCC"/>
  </sheetPr>
  <dimension ref="B2:T61"/>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40625" defaultRowHeight="12.75"/>
  <cols>
    <col min="1" max="1" width="4.7109375" style="8" customWidth="1"/>
    <col min="2" max="2" width="65.7109375" style="8" customWidth="1"/>
    <col min="3" max="3" width="2.7109375" style="8" customWidth="1"/>
    <col min="4" max="4" width="13.7109375" style="8" customWidth="1"/>
    <col min="5" max="5" width="2.7109375" style="8" customWidth="1"/>
    <col min="6" max="6" width="13.7109375" style="8" customWidth="1"/>
    <col min="7" max="7" width="2.7109375" style="8" customWidth="1"/>
    <col min="8" max="9" width="13.7109375" style="8" customWidth="1"/>
    <col min="10" max="16" width="12.5703125" style="8" customWidth="1"/>
    <col min="17" max="17" width="2.7109375" style="8" customWidth="1"/>
    <col min="18" max="18" width="13.7109375" style="8" customWidth="1"/>
    <col min="19" max="19" width="2.7109375" style="8" customWidth="1"/>
    <col min="20" max="20" width="13.7109375" style="8" customWidth="1"/>
    <col min="21" max="21" width="2.7109375" style="8" customWidth="1"/>
    <col min="22" max="36" width="13.7109375" style="8" customWidth="1"/>
    <col min="37" max="16384" width="9.140625" style="8"/>
  </cols>
  <sheetData>
    <row r="2" spans="2:20" s="23" customFormat="1" ht="18">
      <c r="B2" s="23" t="s">
        <v>95</v>
      </c>
    </row>
    <row r="4" spans="2:20">
      <c r="B4" s="29" t="s">
        <v>56</v>
      </c>
      <c r="J4"/>
    </row>
    <row r="5" spans="2:20" ht="66.75" customHeight="1">
      <c r="B5" s="141" t="s">
        <v>289</v>
      </c>
      <c r="C5" s="141"/>
      <c r="D5" s="141"/>
      <c r="E5" s="42"/>
      <c r="F5" s="42"/>
    </row>
    <row r="7" spans="2:20" s="14" customFormat="1">
      <c r="B7" s="14" t="s">
        <v>45</v>
      </c>
      <c r="D7" s="14" t="s">
        <v>27</v>
      </c>
      <c r="F7" s="14" t="s">
        <v>28</v>
      </c>
      <c r="H7" s="109">
        <v>2018</v>
      </c>
      <c r="I7" s="109">
        <v>2019</v>
      </c>
      <c r="J7" s="109">
        <v>2020</v>
      </c>
      <c r="K7" s="109">
        <v>2021</v>
      </c>
      <c r="L7" s="109">
        <v>2022</v>
      </c>
      <c r="M7" s="109">
        <v>2023</v>
      </c>
      <c r="N7" s="109">
        <v>2024</v>
      </c>
      <c r="O7" s="109">
        <v>2025</v>
      </c>
      <c r="P7" s="109">
        <v>2026</v>
      </c>
      <c r="R7" s="14" t="s">
        <v>119</v>
      </c>
      <c r="T7" s="14" t="s">
        <v>47</v>
      </c>
    </row>
    <row r="10" spans="2:20" s="14" customFormat="1">
      <c r="B10" s="14" t="s">
        <v>48</v>
      </c>
    </row>
    <row r="12" spans="2:20">
      <c r="B12" s="7" t="s">
        <v>76</v>
      </c>
    </row>
    <row r="13" spans="2:20">
      <c r="B13" s="8" t="s">
        <v>87</v>
      </c>
      <c r="D13" s="8" t="s">
        <v>75</v>
      </c>
      <c r="F13" s="38"/>
      <c r="H13" s="43">
        <f>'2. Reguleringsparameters'!H21</f>
        <v>1.4E-2</v>
      </c>
      <c r="I13" s="43">
        <f>'2. Reguleringsparameters'!I21</f>
        <v>2.1000000000000001E-2</v>
      </c>
      <c r="J13" s="43">
        <f>'2. Reguleringsparameters'!J21</f>
        <v>2.8000000000000001E-2</v>
      </c>
      <c r="K13" s="43">
        <f>'2. Reguleringsparameters'!K21</f>
        <v>7.0000000000000001E-3</v>
      </c>
      <c r="L13" s="43">
        <f>'2. Reguleringsparameters'!L21</f>
        <v>1.7999999999999999E-2</v>
      </c>
      <c r="M13" s="43">
        <f>'2. Reguleringsparameters'!M21</f>
        <v>1.7999999999999999E-2</v>
      </c>
      <c r="N13" s="43">
        <f>'2. Reguleringsparameters'!N21</f>
        <v>1.7999999999999999E-2</v>
      </c>
      <c r="O13" s="43">
        <f>'2. Reguleringsparameters'!O21</f>
        <v>1.7999999999999999E-2</v>
      </c>
      <c r="P13" s="43">
        <f>'2. Reguleringsparameters'!P21</f>
        <v>1.7999999999999999E-2</v>
      </c>
    </row>
    <row r="15" spans="2:20">
      <c r="B15" s="7" t="s">
        <v>79</v>
      </c>
    </row>
    <row r="16" spans="2:20">
      <c r="B16" s="8" t="s">
        <v>79</v>
      </c>
      <c r="D16" s="8" t="s">
        <v>75</v>
      </c>
      <c r="F16" s="38"/>
      <c r="H16" s="43">
        <f>'2. Reguleringsparameters'!H32</f>
        <v>0</v>
      </c>
      <c r="I16" s="43">
        <f>'2. Reguleringsparameters'!I32</f>
        <v>0</v>
      </c>
      <c r="J16" s="43">
        <f>'2. Reguleringsparameters'!J32</f>
        <v>0</v>
      </c>
      <c r="K16" s="43">
        <f>'2. Reguleringsparameters'!K32</f>
        <v>0</v>
      </c>
      <c r="L16" s="43">
        <f>'2. Reguleringsparameters'!L32</f>
        <v>5.0000000000000001E-3</v>
      </c>
      <c r="M16" s="43">
        <f>'2. Reguleringsparameters'!M32</f>
        <v>5.0000000000000001E-3</v>
      </c>
      <c r="N16" s="43">
        <f>'2. Reguleringsparameters'!N32</f>
        <v>5.0000000000000001E-3</v>
      </c>
      <c r="O16" s="43">
        <f>'2. Reguleringsparameters'!O32</f>
        <v>5.0000000000000001E-3</v>
      </c>
      <c r="P16" s="43">
        <f>'2. Reguleringsparameters'!P32</f>
        <v>5.0000000000000001E-3</v>
      </c>
    </row>
    <row r="17" spans="2:16" s="48" customFormat="1">
      <c r="F17" s="64"/>
      <c r="H17" s="64"/>
      <c r="I17" s="64"/>
      <c r="J17" s="64"/>
      <c r="K17" s="64"/>
      <c r="L17" s="64"/>
      <c r="M17" s="64"/>
      <c r="N17" s="64"/>
      <c r="O17" s="64"/>
      <c r="P17" s="64"/>
    </row>
    <row r="18" spans="2:16">
      <c r="B18" s="7" t="s">
        <v>222</v>
      </c>
    </row>
    <row r="19" spans="2:16">
      <c r="B19" s="8" t="s">
        <v>169</v>
      </c>
      <c r="D19" s="8" t="s">
        <v>75</v>
      </c>
      <c r="H19" s="45"/>
      <c r="I19" s="45"/>
      <c r="J19" s="45"/>
      <c r="K19" s="45"/>
      <c r="L19" s="43">
        <f>'2. Reguleringsparameters'!L17</f>
        <v>3.3000000000000002E-2</v>
      </c>
      <c r="M19" s="43">
        <f>'2. Reguleringsparameters'!M17</f>
        <v>3.2000000000000001E-2</v>
      </c>
      <c r="N19" s="43">
        <f>'2. Reguleringsparameters'!N17</f>
        <v>3.6999999999999998E-2</v>
      </c>
      <c r="O19" s="43">
        <f>'2. Reguleringsparameters'!O17</f>
        <v>3.6999999999999998E-2</v>
      </c>
      <c r="P19" s="43">
        <f>'2. Reguleringsparameters'!P17</f>
        <v>3.6999999999999998E-2</v>
      </c>
    </row>
    <row r="20" spans="2:16">
      <c r="B20" s="7"/>
    </row>
    <row r="22" spans="2:16" s="14" customFormat="1">
      <c r="B22" s="14" t="s">
        <v>81</v>
      </c>
    </row>
    <row r="24" spans="2:16">
      <c r="B24" s="7" t="s">
        <v>219</v>
      </c>
    </row>
    <row r="25" spans="2:16">
      <c r="B25" s="39"/>
      <c r="F25" s="8" t="s">
        <v>77</v>
      </c>
      <c r="H25" s="8">
        <v>2018</v>
      </c>
      <c r="I25" s="8">
        <v>2019</v>
      </c>
      <c r="J25" s="8">
        <v>2020</v>
      </c>
      <c r="K25" s="8">
        <v>2021</v>
      </c>
      <c r="L25" s="8">
        <v>2022</v>
      </c>
      <c r="M25" s="8">
        <v>2023</v>
      </c>
      <c r="N25" s="8">
        <v>2024</v>
      </c>
      <c r="O25" s="8">
        <v>2025</v>
      </c>
      <c r="P25" s="8">
        <v>2026</v>
      </c>
    </row>
    <row r="26" spans="2:16">
      <c r="B26" s="8">
        <v>2018</v>
      </c>
      <c r="D26" s="8" t="s">
        <v>104</v>
      </c>
      <c r="F26" s="40">
        <f>1+H13</f>
        <v>1.014</v>
      </c>
      <c r="G26" s="110"/>
      <c r="H26" s="106">
        <v>1</v>
      </c>
      <c r="I26" s="40">
        <f>I27*$F27</f>
        <v>1.0209999999999999</v>
      </c>
      <c r="J26" s="40">
        <f t="shared" ref="J26:P32" si="0">J27*$F27</f>
        <v>1.049588</v>
      </c>
      <c r="K26" s="40">
        <f t="shared" si="0"/>
        <v>1.056935116</v>
      </c>
      <c r="L26" s="40">
        <f t="shared" si="0"/>
        <v>1.075959948088</v>
      </c>
      <c r="M26" s="40">
        <f t="shared" si="0"/>
        <v>1.0953272271535839</v>
      </c>
      <c r="N26" s="40">
        <f t="shared" si="0"/>
        <v>1.1150431172423485</v>
      </c>
      <c r="O26" s="40">
        <f t="shared" si="0"/>
        <v>1.1351138933527105</v>
      </c>
      <c r="P26" s="40">
        <f t="shared" si="0"/>
        <v>1.1555459434330595</v>
      </c>
    </row>
    <row r="27" spans="2:16">
      <c r="B27" s="8">
        <v>2019</v>
      </c>
      <c r="D27" s="8" t="s">
        <v>104</v>
      </c>
      <c r="F27" s="40">
        <f>1+I13</f>
        <v>1.0209999999999999</v>
      </c>
      <c r="G27" s="110"/>
      <c r="H27" s="111"/>
      <c r="I27" s="106">
        <v>1</v>
      </c>
      <c r="J27" s="40">
        <f>J28*$F28</f>
        <v>1.028</v>
      </c>
      <c r="K27" s="40">
        <f t="shared" si="0"/>
        <v>1.035196</v>
      </c>
      <c r="L27" s="40">
        <f t="shared" si="0"/>
        <v>1.0538295280000001</v>
      </c>
      <c r="M27" s="40">
        <f t="shared" si="0"/>
        <v>1.0727984595039999</v>
      </c>
      <c r="N27" s="40">
        <f t="shared" si="0"/>
        <v>1.092108831775072</v>
      </c>
      <c r="O27" s="40">
        <f t="shared" si="0"/>
        <v>1.1117667907470232</v>
      </c>
      <c r="P27" s="40">
        <f t="shared" si="0"/>
        <v>1.1317785929804698</v>
      </c>
    </row>
    <row r="28" spans="2:16">
      <c r="B28" s="8">
        <v>2020</v>
      </c>
      <c r="D28" s="8" t="s">
        <v>104</v>
      </c>
      <c r="F28" s="40">
        <f>1+J13</f>
        <v>1.028</v>
      </c>
      <c r="G28" s="110"/>
      <c r="H28" s="111"/>
      <c r="I28" s="111"/>
      <c r="J28" s="106">
        <v>1</v>
      </c>
      <c r="K28" s="40">
        <f>K29*$F29</f>
        <v>1.0069999999999999</v>
      </c>
      <c r="L28" s="40">
        <f t="shared" si="0"/>
        <v>1.025126</v>
      </c>
      <c r="M28" s="40">
        <f t="shared" si="0"/>
        <v>1.0435782679999999</v>
      </c>
      <c r="N28" s="40">
        <f t="shared" si="0"/>
        <v>1.062362676824</v>
      </c>
      <c r="O28" s="40">
        <f t="shared" si="0"/>
        <v>1.081485205006832</v>
      </c>
      <c r="P28" s="40">
        <f t="shared" si="0"/>
        <v>1.1009519386969551</v>
      </c>
    </row>
    <row r="29" spans="2:16">
      <c r="B29" s="8">
        <v>2021</v>
      </c>
      <c r="D29" s="8" t="s">
        <v>104</v>
      </c>
      <c r="F29" s="40">
        <f>1+K13</f>
        <v>1.0069999999999999</v>
      </c>
      <c r="G29" s="110"/>
      <c r="H29" s="111"/>
      <c r="I29" s="111"/>
      <c r="J29" s="111"/>
      <c r="K29" s="106">
        <v>1</v>
      </c>
      <c r="L29" s="40">
        <f>L30*$F30</f>
        <v>1.018</v>
      </c>
      <c r="M29" s="40">
        <f t="shared" si="0"/>
        <v>1.036324</v>
      </c>
      <c r="N29" s="40">
        <f t="shared" si="0"/>
        <v>1.0549778320000001</v>
      </c>
      <c r="O29" s="40">
        <f t="shared" si="0"/>
        <v>1.0739674329760001</v>
      </c>
      <c r="P29" s="40">
        <f t="shared" si="0"/>
        <v>1.0932988467695681</v>
      </c>
    </row>
    <row r="30" spans="2:16">
      <c r="B30" s="8">
        <v>2022</v>
      </c>
      <c r="D30" s="8" t="s">
        <v>104</v>
      </c>
      <c r="F30" s="40">
        <f>1+L13</f>
        <v>1.018</v>
      </c>
      <c r="G30" s="110"/>
      <c r="H30" s="111"/>
      <c r="I30" s="111"/>
      <c r="J30" s="111"/>
      <c r="K30" s="111"/>
      <c r="L30" s="106">
        <v>1</v>
      </c>
      <c r="M30" s="40">
        <f>M31*$F31</f>
        <v>1.018</v>
      </c>
      <c r="N30" s="40">
        <f t="shared" si="0"/>
        <v>1.036324</v>
      </c>
      <c r="O30" s="40">
        <f t="shared" si="0"/>
        <v>1.0549778320000001</v>
      </c>
      <c r="P30" s="40">
        <f t="shared" si="0"/>
        <v>1.0739674329760001</v>
      </c>
    </row>
    <row r="31" spans="2:16">
      <c r="B31" s="8">
        <v>2023</v>
      </c>
      <c r="D31" s="8" t="s">
        <v>104</v>
      </c>
      <c r="F31" s="40">
        <f>1+M13</f>
        <v>1.018</v>
      </c>
      <c r="G31" s="110"/>
      <c r="H31" s="111"/>
      <c r="I31" s="111"/>
      <c r="J31" s="111"/>
      <c r="K31" s="111"/>
      <c r="L31" s="111"/>
      <c r="M31" s="106">
        <v>1</v>
      </c>
      <c r="N31" s="40">
        <f>N32*$F32</f>
        <v>1.018</v>
      </c>
      <c r="O31" s="40">
        <f t="shared" si="0"/>
        <v>1.036324</v>
      </c>
      <c r="P31" s="40">
        <f t="shared" si="0"/>
        <v>1.0549778320000001</v>
      </c>
    </row>
    <row r="32" spans="2:16">
      <c r="B32" s="8">
        <v>2024</v>
      </c>
      <c r="D32" s="8" t="s">
        <v>104</v>
      </c>
      <c r="F32" s="40">
        <f>1+N13</f>
        <v>1.018</v>
      </c>
      <c r="G32" s="110"/>
      <c r="H32" s="111"/>
      <c r="I32" s="111"/>
      <c r="J32" s="111"/>
      <c r="K32" s="111"/>
      <c r="L32" s="111"/>
      <c r="M32" s="111"/>
      <c r="N32" s="106">
        <v>1</v>
      </c>
      <c r="O32" s="40">
        <f>O33*$F33</f>
        <v>1.018</v>
      </c>
      <c r="P32" s="40">
        <f t="shared" si="0"/>
        <v>1.036324</v>
      </c>
    </row>
    <row r="33" spans="2:16">
      <c r="B33" s="8">
        <v>2025</v>
      </c>
      <c r="D33" s="8" t="s">
        <v>104</v>
      </c>
      <c r="F33" s="40">
        <f>1+O13</f>
        <v>1.018</v>
      </c>
      <c r="G33" s="110"/>
      <c r="H33" s="111"/>
      <c r="I33" s="111"/>
      <c r="J33" s="111"/>
      <c r="K33" s="111"/>
      <c r="L33" s="111"/>
      <c r="M33" s="111"/>
      <c r="N33" s="111"/>
      <c r="O33" s="106">
        <v>1</v>
      </c>
      <c r="P33" s="40">
        <f>P34*$F34</f>
        <v>1.018</v>
      </c>
    </row>
    <row r="34" spans="2:16">
      <c r="B34" s="8">
        <v>2026</v>
      </c>
      <c r="D34" s="8" t="s">
        <v>104</v>
      </c>
      <c r="F34" s="40">
        <f>1+P13</f>
        <v>1.018</v>
      </c>
      <c r="G34" s="110"/>
      <c r="H34" s="111"/>
      <c r="I34" s="111"/>
      <c r="J34" s="111"/>
      <c r="K34" s="111"/>
      <c r="L34" s="111"/>
      <c r="M34" s="111"/>
      <c r="N34" s="111"/>
      <c r="O34" s="111"/>
      <c r="P34" s="106">
        <v>1</v>
      </c>
    </row>
    <row r="37" spans="2:16" s="14" customFormat="1">
      <c r="B37" s="14" t="s">
        <v>82</v>
      </c>
    </row>
    <row r="39" spans="2:16">
      <c r="B39" s="7" t="s">
        <v>218</v>
      </c>
    </row>
    <row r="40" spans="2:16">
      <c r="B40" s="39"/>
      <c r="F40" s="8" t="s">
        <v>257</v>
      </c>
      <c r="H40" s="8">
        <v>218</v>
      </c>
      <c r="I40" s="8">
        <v>2019</v>
      </c>
      <c r="J40" s="8">
        <v>2020</v>
      </c>
      <c r="K40" s="8">
        <v>2021</v>
      </c>
      <c r="L40" s="8">
        <v>2022</v>
      </c>
      <c r="M40" s="8">
        <v>2023</v>
      </c>
      <c r="N40" s="8">
        <v>2024</v>
      </c>
      <c r="O40" s="8">
        <v>2025</v>
      </c>
      <c r="P40" s="8">
        <v>2026</v>
      </c>
    </row>
    <row r="41" spans="2:16">
      <c r="B41" s="8">
        <v>2018</v>
      </c>
      <c r="D41" s="8" t="s">
        <v>205</v>
      </c>
      <c r="F41" s="40">
        <f>1-H16</f>
        <v>1</v>
      </c>
      <c r="H41" s="8">
        <v>1</v>
      </c>
      <c r="I41" s="40">
        <f>I42*$F42</f>
        <v>1</v>
      </c>
      <c r="J41" s="40">
        <f t="shared" ref="J41:P47" si="1">J42*$F42</f>
        <v>1</v>
      </c>
      <c r="K41" s="40">
        <f t="shared" si="1"/>
        <v>1</v>
      </c>
      <c r="L41" s="40">
        <f t="shared" si="1"/>
        <v>0.995</v>
      </c>
      <c r="M41" s="40">
        <f t="shared" si="1"/>
        <v>0.99002500000000004</v>
      </c>
      <c r="N41" s="40">
        <f t="shared" si="1"/>
        <v>0.98507487500000002</v>
      </c>
      <c r="O41" s="40">
        <f t="shared" si="1"/>
        <v>0.98014950062500006</v>
      </c>
      <c r="P41" s="40">
        <f t="shared" si="1"/>
        <v>0.97524875312187509</v>
      </c>
    </row>
    <row r="42" spans="2:16">
      <c r="B42" s="8">
        <v>2019</v>
      </c>
      <c r="D42" s="8" t="s">
        <v>205</v>
      </c>
      <c r="F42" s="40">
        <f>1-I16</f>
        <v>1</v>
      </c>
      <c r="H42" s="36"/>
      <c r="I42" s="8">
        <v>1</v>
      </c>
      <c r="J42" s="40">
        <f t="shared" si="1"/>
        <v>1</v>
      </c>
      <c r="K42" s="40">
        <f t="shared" si="1"/>
        <v>1</v>
      </c>
      <c r="L42" s="40">
        <f t="shared" si="1"/>
        <v>0.995</v>
      </c>
      <c r="M42" s="40">
        <f t="shared" si="1"/>
        <v>0.99002500000000004</v>
      </c>
      <c r="N42" s="40">
        <f t="shared" si="1"/>
        <v>0.98507487500000002</v>
      </c>
      <c r="O42" s="40">
        <f t="shared" si="1"/>
        <v>0.98014950062500006</v>
      </c>
      <c r="P42" s="40">
        <f t="shared" si="1"/>
        <v>0.97524875312187509</v>
      </c>
    </row>
    <row r="43" spans="2:16">
      <c r="B43" s="8">
        <v>2020</v>
      </c>
      <c r="D43" s="8" t="s">
        <v>205</v>
      </c>
      <c r="F43" s="40">
        <f>1-J16</f>
        <v>1</v>
      </c>
      <c r="H43" s="36"/>
      <c r="I43" s="36"/>
      <c r="J43" s="8">
        <v>1</v>
      </c>
      <c r="K43" s="40">
        <f>K44*$F44</f>
        <v>1</v>
      </c>
      <c r="L43" s="40">
        <f t="shared" si="1"/>
        <v>0.995</v>
      </c>
      <c r="M43" s="40">
        <f t="shared" si="1"/>
        <v>0.99002500000000004</v>
      </c>
      <c r="N43" s="40">
        <f t="shared" si="1"/>
        <v>0.98507487500000002</v>
      </c>
      <c r="O43" s="40">
        <f t="shared" si="1"/>
        <v>0.98014950062500006</v>
      </c>
      <c r="P43" s="40">
        <f t="shared" si="1"/>
        <v>0.97524875312187509</v>
      </c>
    </row>
    <row r="44" spans="2:16">
      <c r="B44" s="8">
        <v>2021</v>
      </c>
      <c r="D44" s="8" t="s">
        <v>205</v>
      </c>
      <c r="F44" s="40">
        <f>1-K16</f>
        <v>1</v>
      </c>
      <c r="H44" s="36"/>
      <c r="I44" s="36"/>
      <c r="J44" s="36"/>
      <c r="K44" s="8">
        <v>1</v>
      </c>
      <c r="L44" s="40">
        <f>L45*$F45</f>
        <v>0.995</v>
      </c>
      <c r="M44" s="40">
        <f t="shared" si="1"/>
        <v>0.99002500000000004</v>
      </c>
      <c r="N44" s="40">
        <f t="shared" si="1"/>
        <v>0.98507487500000002</v>
      </c>
      <c r="O44" s="40">
        <f t="shared" si="1"/>
        <v>0.98014950062500006</v>
      </c>
      <c r="P44" s="40">
        <f t="shared" si="1"/>
        <v>0.97524875312187509</v>
      </c>
    </row>
    <row r="45" spans="2:16">
      <c r="B45" s="8">
        <v>2022</v>
      </c>
      <c r="D45" s="8" t="s">
        <v>205</v>
      </c>
      <c r="F45" s="40">
        <f>1-L16</f>
        <v>0.995</v>
      </c>
      <c r="H45" s="36"/>
      <c r="I45" s="36"/>
      <c r="J45" s="36"/>
      <c r="K45" s="36"/>
      <c r="L45" s="8">
        <v>1</v>
      </c>
      <c r="M45" s="40">
        <f>M46*$F46</f>
        <v>0.995</v>
      </c>
      <c r="N45" s="40">
        <f t="shared" si="1"/>
        <v>0.99002500000000004</v>
      </c>
      <c r="O45" s="40">
        <f t="shared" si="1"/>
        <v>0.98507487500000002</v>
      </c>
      <c r="P45" s="40">
        <f t="shared" si="1"/>
        <v>0.98014950062500006</v>
      </c>
    </row>
    <row r="46" spans="2:16">
      <c r="B46" s="8">
        <v>2023</v>
      </c>
      <c r="D46" s="8" t="s">
        <v>205</v>
      </c>
      <c r="F46" s="40">
        <f>1-M16</f>
        <v>0.995</v>
      </c>
      <c r="H46" s="36"/>
      <c r="I46" s="36"/>
      <c r="J46" s="36"/>
      <c r="K46" s="36"/>
      <c r="L46" s="36"/>
      <c r="M46" s="8">
        <v>1</v>
      </c>
      <c r="N46" s="40">
        <f>N47*$F47</f>
        <v>0.995</v>
      </c>
      <c r="O46" s="40">
        <f t="shared" si="1"/>
        <v>0.99002500000000004</v>
      </c>
      <c r="P46" s="40">
        <f t="shared" si="1"/>
        <v>0.98507487500000002</v>
      </c>
    </row>
    <row r="47" spans="2:16">
      <c r="B47" s="8">
        <v>2024</v>
      </c>
      <c r="D47" s="8" t="s">
        <v>205</v>
      </c>
      <c r="F47" s="40">
        <f>1-N16</f>
        <v>0.995</v>
      </c>
      <c r="H47" s="36"/>
      <c r="I47" s="36"/>
      <c r="J47" s="36"/>
      <c r="K47" s="36"/>
      <c r="L47" s="36"/>
      <c r="M47" s="36"/>
      <c r="N47" s="8">
        <v>1</v>
      </c>
      <c r="O47" s="40">
        <f>O48*$F48</f>
        <v>0.995</v>
      </c>
      <c r="P47" s="40">
        <f t="shared" si="1"/>
        <v>0.99002500000000004</v>
      </c>
    </row>
    <row r="48" spans="2:16">
      <c r="B48" s="8">
        <v>2025</v>
      </c>
      <c r="D48" s="8" t="s">
        <v>205</v>
      </c>
      <c r="F48" s="40">
        <f>1-O16</f>
        <v>0.995</v>
      </c>
      <c r="H48" s="36"/>
      <c r="I48" s="36"/>
      <c r="J48" s="36"/>
      <c r="K48" s="36"/>
      <c r="L48" s="36"/>
      <c r="M48" s="36"/>
      <c r="N48" s="36"/>
      <c r="O48" s="8">
        <v>1</v>
      </c>
      <c r="P48" s="40">
        <f>P49*$F49</f>
        <v>0.995</v>
      </c>
    </row>
    <row r="49" spans="2:16">
      <c r="B49" s="8">
        <v>2026</v>
      </c>
      <c r="D49" s="8" t="s">
        <v>205</v>
      </c>
      <c r="F49" s="40">
        <f>1-P16</f>
        <v>0.995</v>
      </c>
      <c r="H49" s="36"/>
      <c r="I49" s="36"/>
      <c r="J49" s="36"/>
      <c r="K49" s="36"/>
      <c r="L49" s="36"/>
      <c r="M49" s="36"/>
      <c r="N49" s="36"/>
      <c r="O49" s="36"/>
      <c r="P49" s="8">
        <v>1</v>
      </c>
    </row>
    <row r="53" spans="2:16" s="1" customFormat="1">
      <c r="B53" s="1" t="s">
        <v>220</v>
      </c>
    </row>
    <row r="55" spans="2:16">
      <c r="B55" s="103" t="s">
        <v>223</v>
      </c>
    </row>
    <row r="56" spans="2:16">
      <c r="B56" s="39"/>
      <c r="F56" s="8" t="s">
        <v>221</v>
      </c>
      <c r="J56" s="39"/>
      <c r="L56" s="8">
        <v>2022</v>
      </c>
      <c r="M56" s="8">
        <v>2023</v>
      </c>
      <c r="N56" s="8">
        <v>2024</v>
      </c>
      <c r="O56" s="8">
        <v>2025</v>
      </c>
      <c r="P56" s="8">
        <v>2026</v>
      </c>
    </row>
    <row r="57" spans="2:16">
      <c r="B57" s="8">
        <v>2022</v>
      </c>
      <c r="D57" s="8" t="s">
        <v>104</v>
      </c>
      <c r="F57" s="40">
        <f>1+L19</f>
        <v>1.0329999999999999</v>
      </c>
      <c r="L57" s="8">
        <f>1</f>
        <v>1</v>
      </c>
      <c r="M57" s="40">
        <f>M58*$F58</f>
        <v>1.032</v>
      </c>
      <c r="N57" s="40">
        <f>N58*$F58</f>
        <v>1.070184</v>
      </c>
      <c r="O57" s="40">
        <f>O58*$F58</f>
        <v>1.1097808079999998</v>
      </c>
      <c r="P57" s="40">
        <f>P58*$F58</f>
        <v>1.1508426978959998</v>
      </c>
    </row>
    <row r="58" spans="2:16">
      <c r="B58" s="8">
        <v>2023</v>
      </c>
      <c r="D58" s="8" t="s">
        <v>104</v>
      </c>
      <c r="F58" s="40">
        <f>1+M19</f>
        <v>1.032</v>
      </c>
      <c r="L58" s="36"/>
      <c r="M58" s="8">
        <f>1</f>
        <v>1</v>
      </c>
      <c r="N58" s="40">
        <f>N59*$F59</f>
        <v>1.0369999999999999</v>
      </c>
      <c r="O58" s="40">
        <f>O59*$F59</f>
        <v>1.0753689999999998</v>
      </c>
      <c r="P58" s="40">
        <f>P59*$F59</f>
        <v>1.1151576529999998</v>
      </c>
    </row>
    <row r="59" spans="2:16">
      <c r="B59" s="8">
        <v>2024</v>
      </c>
      <c r="D59" s="8" t="s">
        <v>104</v>
      </c>
      <c r="F59" s="40">
        <f>1+N19</f>
        <v>1.0369999999999999</v>
      </c>
      <c r="L59" s="36"/>
      <c r="M59" s="36"/>
      <c r="N59" s="8">
        <f>1</f>
        <v>1</v>
      </c>
      <c r="O59" s="40">
        <f>O60*$F60</f>
        <v>1.0369999999999999</v>
      </c>
      <c r="P59" s="40">
        <f>P60*$F60</f>
        <v>1.0753689999999998</v>
      </c>
    </row>
    <row r="60" spans="2:16">
      <c r="B60" s="8">
        <v>2025</v>
      </c>
      <c r="D60" s="8" t="s">
        <v>104</v>
      </c>
      <c r="F60" s="40">
        <f>1+O19</f>
        <v>1.0369999999999999</v>
      </c>
      <c r="L60" s="36"/>
      <c r="M60" s="36"/>
      <c r="N60" s="36"/>
      <c r="O60" s="8">
        <f>1</f>
        <v>1</v>
      </c>
      <c r="P60" s="40">
        <f>P61*$F61</f>
        <v>1.0369999999999999</v>
      </c>
    </row>
    <row r="61" spans="2:16">
      <c r="B61" s="8">
        <v>2026</v>
      </c>
      <c r="D61" s="8" t="s">
        <v>104</v>
      </c>
      <c r="F61" s="40">
        <f>1+P19</f>
        <v>1.0369999999999999</v>
      </c>
      <c r="L61" s="36"/>
      <c r="M61" s="36"/>
      <c r="N61" s="36"/>
      <c r="O61" s="36"/>
      <c r="P61" s="8">
        <f>1</f>
        <v>1</v>
      </c>
    </row>
  </sheetData>
  <mergeCells count="1">
    <mergeCell ref="B5:D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rgb="FFFFFFCC"/>
  </sheetPr>
  <dimension ref="B2:N56"/>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40625" defaultRowHeight="12.75"/>
  <cols>
    <col min="1" max="1" width="4.7109375" style="8" customWidth="1"/>
    <col min="2" max="2" width="75.7109375" style="8" customWidth="1"/>
    <col min="3" max="3" width="2.7109375" style="8" customWidth="1"/>
    <col min="4" max="4" width="13.7109375" style="8" customWidth="1"/>
    <col min="5" max="5" width="2.7109375" style="8" customWidth="1"/>
    <col min="6" max="6" width="16.7109375" style="8" customWidth="1"/>
    <col min="7" max="7" width="3" style="8" bestFit="1" customWidth="1"/>
    <col min="8" max="12" width="16.7109375" style="8" customWidth="1"/>
    <col min="13" max="13" width="2.7109375" style="8" customWidth="1"/>
    <col min="14" max="14" width="16.7109375" style="25" customWidth="1"/>
    <col min="15" max="15" width="4.7109375" style="8" customWidth="1"/>
    <col min="16" max="16384" width="9.140625" style="8"/>
  </cols>
  <sheetData>
    <row r="2" spans="2:14" s="2" customFormat="1" ht="18">
      <c r="B2" s="2" t="s">
        <v>120</v>
      </c>
    </row>
    <row r="4" spans="2:14">
      <c r="B4" s="29" t="s">
        <v>56</v>
      </c>
    </row>
    <row r="5" spans="2:14" ht="74.25" customHeight="1">
      <c r="B5" s="141" t="s">
        <v>298</v>
      </c>
      <c r="C5" s="141"/>
    </row>
    <row r="7" spans="2:14" s="1" customFormat="1">
      <c r="B7" s="1" t="s">
        <v>45</v>
      </c>
      <c r="D7" s="1" t="s">
        <v>27</v>
      </c>
      <c r="F7" s="1" t="s">
        <v>28</v>
      </c>
      <c r="H7" s="1">
        <v>2022</v>
      </c>
      <c r="I7" s="1">
        <v>2023</v>
      </c>
      <c r="J7" s="1">
        <v>2024</v>
      </c>
      <c r="K7" s="1">
        <v>2025</v>
      </c>
      <c r="L7" s="1">
        <v>2026</v>
      </c>
      <c r="N7" s="1" t="s">
        <v>119</v>
      </c>
    </row>
    <row r="10" spans="2:14" s="1" customFormat="1">
      <c r="B10" s="1" t="s">
        <v>48</v>
      </c>
    </row>
    <row r="12" spans="2:14">
      <c r="B12" s="29" t="s">
        <v>88</v>
      </c>
    </row>
    <row r="13" spans="2:14">
      <c r="B13" s="8" t="s">
        <v>473</v>
      </c>
      <c r="D13" s="8" t="s">
        <v>75</v>
      </c>
      <c r="H13" s="116">
        <f>'2. Reguleringsparameters'!L15</f>
        <v>2.4E-2</v>
      </c>
      <c r="I13" s="116">
        <f>'2. Reguleringsparameters'!M15</f>
        <v>2.3E-2</v>
      </c>
      <c r="J13" s="116">
        <f>'2. Reguleringsparameters'!N15</f>
        <v>2.8000000000000001E-2</v>
      </c>
      <c r="K13" s="116">
        <f>'2. Reguleringsparameters'!O15</f>
        <v>2.8000000000000001E-2</v>
      </c>
      <c r="L13" s="116">
        <f>'2. Reguleringsparameters'!P15</f>
        <v>2.8000000000000001E-2</v>
      </c>
    </row>
    <row r="14" spans="2:14">
      <c r="H14" s="55"/>
      <c r="I14" s="55"/>
      <c r="J14" s="55"/>
      <c r="K14" s="55"/>
      <c r="L14" s="55"/>
    </row>
    <row r="15" spans="2:14">
      <c r="B15" s="7" t="s">
        <v>242</v>
      </c>
      <c r="H15" s="55"/>
      <c r="I15" s="55"/>
      <c r="J15" s="55"/>
      <c r="K15" s="55"/>
      <c r="L15" s="55"/>
    </row>
    <row r="16" spans="2:14">
      <c r="B16" s="8" t="s">
        <v>264</v>
      </c>
      <c r="D16" s="8" t="s">
        <v>75</v>
      </c>
      <c r="F16" s="117">
        <f>'2. Reguleringsparameters'!F41</f>
        <v>1</v>
      </c>
      <c r="H16" s="55"/>
      <c r="I16" s="55"/>
      <c r="J16" s="55"/>
      <c r="K16" s="55"/>
      <c r="L16" s="55"/>
    </row>
    <row r="17" spans="2:12">
      <c r="H17" s="55"/>
      <c r="I17" s="55"/>
      <c r="J17" s="55"/>
      <c r="K17" s="55"/>
      <c r="L17" s="55"/>
    </row>
    <row r="18" spans="2:12">
      <c r="B18" s="7" t="s">
        <v>121</v>
      </c>
      <c r="F18" s="48"/>
      <c r="G18" s="48"/>
      <c r="H18" s="48"/>
      <c r="I18" s="48"/>
      <c r="J18" s="48"/>
      <c r="K18" s="49"/>
      <c r="L18" s="49"/>
    </row>
    <row r="19" spans="2:12">
      <c r="B19" s="8" t="s">
        <v>111</v>
      </c>
      <c r="D19" s="8" t="s">
        <v>80</v>
      </c>
      <c r="F19" s="48"/>
      <c r="G19" s="48"/>
      <c r="H19" s="34">
        <f>'3. GAW model'!L15</f>
        <v>91851114.842521295</v>
      </c>
      <c r="I19" s="34">
        <f>'3. GAW model'!M15</f>
        <v>92419829.829167292</v>
      </c>
      <c r="J19" s="34">
        <f>'3. GAW model'!N15</f>
        <v>92159328.35934785</v>
      </c>
      <c r="K19" s="34">
        <f>'3. GAW model'!O15</f>
        <v>92333385.163519576</v>
      </c>
      <c r="L19" s="34">
        <f>'3. GAW model'!P15</f>
        <v>43788968.535590015</v>
      </c>
    </row>
    <row r="20" spans="2:12">
      <c r="B20" s="8" t="s">
        <v>112</v>
      </c>
      <c r="D20" s="8" t="s">
        <v>80</v>
      </c>
      <c r="F20" s="48"/>
      <c r="G20" s="48"/>
      <c r="H20" s="34">
        <f>'3. GAW model'!L16</f>
        <v>1593554583.9909317</v>
      </c>
      <c r="I20" s="34">
        <f>'3. GAW model'!M16</f>
        <v>1515476745.4176815</v>
      </c>
      <c r="J20" s="34">
        <f>'3. GAW model'!N16</f>
        <v>1436956707.7670937</v>
      </c>
      <c r="K20" s="34">
        <f>'3. GAW model'!O16</f>
        <v>1357555932.9734786</v>
      </c>
      <c r="L20" s="34">
        <f>'3. GAW model'!P16</f>
        <v>1325984967.8346488</v>
      </c>
    </row>
    <row r="21" spans="2:12">
      <c r="B21" s="8" t="s">
        <v>272</v>
      </c>
      <c r="D21" s="8" t="s">
        <v>80</v>
      </c>
      <c r="F21" s="48"/>
      <c r="G21" s="48"/>
      <c r="H21" s="34">
        <f>'3. GAW model'!L17</f>
        <v>7334471.3939507464</v>
      </c>
      <c r="I21" s="34">
        <f>'3. GAW model'!M17</f>
        <v>7303675.2058256818</v>
      </c>
      <c r="J21" s="34">
        <f>'3. GAW model'!N17</f>
        <v>7252723.3806415042</v>
      </c>
      <c r="K21" s="34">
        <f>'3. GAW model'!O17</f>
        <v>7106170.9986589514</v>
      </c>
      <c r="L21" s="34">
        <f>'3. GAW model'!P17</f>
        <v>5160907.6578129688</v>
      </c>
    </row>
    <row r="22" spans="2:12">
      <c r="B22" s="8" t="s">
        <v>113</v>
      </c>
      <c r="D22" s="8" t="s">
        <v>80</v>
      </c>
      <c r="F22" s="48"/>
      <c r="G22" s="48"/>
      <c r="H22" s="34">
        <f>'3. GAW model'!L18</f>
        <v>316953472.35924375</v>
      </c>
      <c r="I22" s="34">
        <f>'3. GAW model'!M18</f>
        <v>312502378.40465128</v>
      </c>
      <c r="J22" s="34">
        <f>'3. GAW model'!N18</f>
        <v>308062176.4296515</v>
      </c>
      <c r="K22" s="34">
        <f>'3. GAW model'!O18</f>
        <v>303728565.01885933</v>
      </c>
      <c r="L22" s="34">
        <f>'3. GAW model'!P18</f>
        <v>301301214.44621629</v>
      </c>
    </row>
    <row r="23" spans="2:12">
      <c r="B23" s="8" t="s">
        <v>476</v>
      </c>
      <c r="D23" s="8" t="s">
        <v>80</v>
      </c>
      <c r="F23" s="48"/>
      <c r="G23" s="48"/>
      <c r="H23" s="34">
        <f>'3. GAW model'!L19</f>
        <v>7656071.8244040236</v>
      </c>
      <c r="I23" s="34">
        <f>'3. GAW model'!M19</f>
        <v>7724976.4708236568</v>
      </c>
      <c r="J23" s="34">
        <f>'3. GAW model'!N19</f>
        <v>7471442.3596959189</v>
      </c>
      <c r="K23" s="34">
        <f>'3. GAW model'!O19</f>
        <v>6560786.0525548644</v>
      </c>
      <c r="L23" s="34">
        <f>'3. GAW model'!P19</f>
        <v>6619833.127027858</v>
      </c>
    </row>
    <row r="24" spans="2:12">
      <c r="B24" s="8" t="s">
        <v>477</v>
      </c>
      <c r="D24" s="8" t="s">
        <v>80</v>
      </c>
      <c r="F24" s="48"/>
      <c r="G24" s="48"/>
      <c r="H24" s="34">
        <f>'3. GAW model'!L20</f>
        <v>232612937.01180607</v>
      </c>
      <c r="I24" s="34">
        <f>'3. GAW model'!M20</f>
        <v>226981476.97408861</v>
      </c>
      <c r="J24" s="34">
        <f>'3. GAW model'!N20</f>
        <v>221552867.90715945</v>
      </c>
      <c r="K24" s="34">
        <f>'3. GAW model'!O20</f>
        <v>216986057.66576904</v>
      </c>
      <c r="L24" s="34">
        <f>'3. GAW model'!P20</f>
        <v>212319099.05773306</v>
      </c>
    </row>
    <row r="25" spans="2:12">
      <c r="B25" s="8" t="s">
        <v>478</v>
      </c>
      <c r="D25" s="8" t="s">
        <v>80</v>
      </c>
      <c r="F25" s="48"/>
      <c r="G25" s="48"/>
      <c r="H25" s="34">
        <f>'3. GAW model'!L21</f>
        <v>723064.62560992781</v>
      </c>
      <c r="I25" s="34">
        <f>'3. GAW model'!M21</f>
        <v>729572.20724041725</v>
      </c>
      <c r="J25" s="34">
        <f>'3. GAW model'!N21</f>
        <v>736138.35710558074</v>
      </c>
      <c r="K25" s="34">
        <f>'3. GAW model'!O21</f>
        <v>742763.60231953091</v>
      </c>
      <c r="L25" s="34">
        <f>'3. GAW model'!P21</f>
        <v>749448.47474040661</v>
      </c>
    </row>
    <row r="26" spans="2:12">
      <c r="B26" s="8" t="s">
        <v>479</v>
      </c>
      <c r="D26" s="8" t="s">
        <v>80</v>
      </c>
      <c r="F26" s="48"/>
      <c r="G26" s="48"/>
      <c r="H26" s="34">
        <f>'3. GAW model'!L22</f>
        <v>26572625.214475397</v>
      </c>
      <c r="I26" s="34">
        <f>'3. GAW model'!M22</f>
        <v>26082206.634165261</v>
      </c>
      <c r="J26" s="34">
        <f>'3. GAW model'!N22</f>
        <v>25580808.136767168</v>
      </c>
      <c r="K26" s="34">
        <f>'3. GAW model'!O22</f>
        <v>25068271.807678536</v>
      </c>
      <c r="L26" s="34">
        <f>'3. GAW model'!P22</f>
        <v>24544437.77920723</v>
      </c>
    </row>
    <row r="27" spans="2:12">
      <c r="F27" s="48"/>
      <c r="G27" s="48"/>
      <c r="H27" s="48"/>
      <c r="I27" s="48"/>
      <c r="J27" s="48"/>
      <c r="K27" s="48"/>
      <c r="L27" s="48"/>
    </row>
    <row r="28" spans="2:12">
      <c r="B28" s="7" t="s">
        <v>122</v>
      </c>
      <c r="F28" s="48"/>
      <c r="G28" s="48"/>
      <c r="H28" s="48"/>
      <c r="I28" s="48"/>
      <c r="J28" s="48"/>
      <c r="K28" s="48"/>
      <c r="L28" s="48"/>
    </row>
    <row r="29" spans="2:12">
      <c r="B29" s="8" t="s">
        <v>114</v>
      </c>
      <c r="D29" s="8" t="s">
        <v>80</v>
      </c>
      <c r="F29" s="48"/>
      <c r="G29" s="48"/>
      <c r="H29" s="34">
        <f>'3. GAW model'!L26</f>
        <v>108052988.99631904</v>
      </c>
      <c r="I29" s="34">
        <f>'3. GAW model'!M26</f>
        <v>108477037.51986828</v>
      </c>
      <c r="J29" s="34">
        <f>'3. GAW model'!N26</f>
        <v>104508195.84862889</v>
      </c>
      <c r="K29" s="34">
        <f>'3. GAW model'!O26</f>
        <v>88815353.497609496</v>
      </c>
      <c r="L29" s="34">
        <f>'3. GAW model'!P26</f>
        <v>82131106.10614346</v>
      </c>
    </row>
    <row r="30" spans="2:12">
      <c r="B30" s="8" t="s">
        <v>143</v>
      </c>
      <c r="D30" s="8" t="s">
        <v>80</v>
      </c>
      <c r="F30" s="48"/>
      <c r="G30" s="48"/>
      <c r="H30" s="34">
        <f>'3. GAW model'!L27</f>
        <v>1825011873.621788</v>
      </c>
      <c r="I30" s="34">
        <f>'3. GAW model'!M27</f>
        <v>1732959942.9645152</v>
      </c>
      <c r="J30" s="34">
        <f>'3. GAW model'!N27</f>
        <v>1644048386.6025686</v>
      </c>
      <c r="K30" s="34">
        <f>'3. GAW model'!O27</f>
        <v>1570029468.5843813</v>
      </c>
      <c r="L30" s="34">
        <f>'3. GAW model'!P27</f>
        <v>1502028627.6954982</v>
      </c>
    </row>
    <row r="31" spans="2:12">
      <c r="B31" s="8" t="s">
        <v>144</v>
      </c>
      <c r="D31" s="8" t="s">
        <v>80</v>
      </c>
      <c r="F31" s="48"/>
      <c r="G31" s="48"/>
      <c r="H31" s="34">
        <f>'3. GAW model'!L28</f>
        <v>11254489.916840849</v>
      </c>
      <c r="I31" s="34">
        <f>'3. GAW model'!M28</f>
        <v>11024097.279684626</v>
      </c>
      <c r="J31" s="34">
        <f>'3. GAW model'!N28</f>
        <v>10677458.12047017</v>
      </c>
      <c r="K31" s="34">
        <f>'3. GAW model'!O28</f>
        <v>9260872.0300318729</v>
      </c>
      <c r="L31" s="34">
        <f>'3. GAW model'!P28</f>
        <v>7397483.8894698303</v>
      </c>
    </row>
    <row r="32" spans="2:12">
      <c r="B32" s="8" t="s">
        <v>116</v>
      </c>
      <c r="D32" s="8" t="s">
        <v>80</v>
      </c>
      <c r="F32" s="48"/>
      <c r="G32" s="48"/>
      <c r="H32" s="34">
        <f>'3. GAW model'!L29</f>
        <v>224327201.32193375</v>
      </c>
      <c r="I32" s="34">
        <f>'3. GAW model'!M29</f>
        <v>215322048.85414675</v>
      </c>
      <c r="J32" s="34">
        <f>'3. GAW model'!N29</f>
        <v>206582489.17336366</v>
      </c>
      <c r="K32" s="34">
        <f>'3. GAW model'!O29</f>
        <v>199180859.54589206</v>
      </c>
      <c r="L32" s="34">
        <f>'3. GAW model'!P29</f>
        <v>193576003.39233527</v>
      </c>
    </row>
    <row r="33" spans="2:14">
      <c r="F33" s="48"/>
      <c r="G33" s="48"/>
      <c r="H33" s="48"/>
      <c r="I33" s="48"/>
      <c r="J33" s="48"/>
      <c r="K33" s="49"/>
      <c r="L33" s="49"/>
    </row>
    <row r="34" spans="2:14" s="1" customFormat="1">
      <c r="B34" s="1" t="s">
        <v>202</v>
      </c>
    </row>
    <row r="35" spans="2:14">
      <c r="F35" s="48"/>
      <c r="G35" s="48"/>
      <c r="H35" s="48"/>
      <c r="I35" s="48"/>
      <c r="J35" s="48"/>
      <c r="K35" s="48"/>
      <c r="L35" s="48"/>
    </row>
    <row r="36" spans="2:14">
      <c r="B36" s="7" t="s">
        <v>118</v>
      </c>
      <c r="F36" s="48"/>
      <c r="G36" s="48"/>
      <c r="H36" s="48"/>
      <c r="I36" s="48"/>
      <c r="J36" s="48"/>
      <c r="K36" s="48"/>
      <c r="L36" s="48"/>
    </row>
    <row r="37" spans="2:14">
      <c r="B37" s="8" t="s">
        <v>141</v>
      </c>
      <c r="D37" s="8" t="s">
        <v>80</v>
      </c>
      <c r="F37" s="48"/>
      <c r="G37" s="48"/>
      <c r="H37" s="35">
        <f>H$13*H20</f>
        <v>38245310.015782364</v>
      </c>
      <c r="I37" s="35">
        <f>I$13*I20</f>
        <v>34855965.144606672</v>
      </c>
      <c r="J37" s="35">
        <f>J$13*J20</f>
        <v>40234787.817478627</v>
      </c>
      <c r="K37" s="35">
        <f>K$13*K20</f>
        <v>38011566.123257399</v>
      </c>
      <c r="L37" s="35">
        <f>L$13*L20</f>
        <v>37127579.099370167</v>
      </c>
      <c r="N37" s="25">
        <v>7</v>
      </c>
    </row>
    <row r="38" spans="2:14">
      <c r="B38" s="8" t="s">
        <v>273</v>
      </c>
      <c r="D38" s="8" t="s">
        <v>80</v>
      </c>
      <c r="F38" s="48"/>
      <c r="G38" s="48"/>
      <c r="H38" s="35">
        <f>H$13*H22</f>
        <v>7606883.3366218498</v>
      </c>
      <c r="I38" s="35">
        <f>I$13*I22</f>
        <v>7187554.7033069795</v>
      </c>
      <c r="J38" s="35">
        <f>J$13*J22</f>
        <v>8625740.9400302414</v>
      </c>
      <c r="K38" s="35">
        <f>K$13*K22</f>
        <v>8504399.8205280621</v>
      </c>
      <c r="L38" s="35">
        <f>L$13*L22</f>
        <v>8436434.0044940561</v>
      </c>
      <c r="N38" s="25">
        <v>7</v>
      </c>
    </row>
    <row r="39" spans="2:14">
      <c r="B39" s="8" t="s">
        <v>480</v>
      </c>
      <c r="D39" s="8" t="s">
        <v>80</v>
      </c>
      <c r="F39" s="48"/>
      <c r="G39" s="48"/>
      <c r="H39" s="35">
        <f>H$13*H24</f>
        <v>5582710.4882833455</v>
      </c>
      <c r="I39" s="35">
        <f t="shared" ref="I39:L39" si="0">I$13*I24</f>
        <v>5220573.9704040382</v>
      </c>
      <c r="J39" s="35">
        <f t="shared" si="0"/>
        <v>6203480.301400465</v>
      </c>
      <c r="K39" s="35">
        <f t="shared" si="0"/>
        <v>6075609.6146415332</v>
      </c>
      <c r="L39" s="35">
        <f t="shared" si="0"/>
        <v>5944934.7736165253</v>
      </c>
      <c r="N39" s="25">
        <v>7</v>
      </c>
    </row>
    <row r="40" spans="2:14">
      <c r="B40" s="8" t="s">
        <v>481</v>
      </c>
      <c r="D40" s="8" t="s">
        <v>80</v>
      </c>
      <c r="F40" s="48"/>
      <c r="G40" s="48"/>
      <c r="H40" s="35">
        <f>H$13*H26</f>
        <v>637743.00514740951</v>
      </c>
      <c r="I40" s="35">
        <f t="shared" ref="I40:L40" si="1">I$13*I26</f>
        <v>599890.75258580095</v>
      </c>
      <c r="J40" s="35">
        <f t="shared" si="1"/>
        <v>716262.62782948068</v>
      </c>
      <c r="K40" s="35">
        <f t="shared" si="1"/>
        <v>701911.61061499896</v>
      </c>
      <c r="L40" s="35">
        <f t="shared" si="1"/>
        <v>687244.25781780249</v>
      </c>
      <c r="N40" s="25">
        <v>7</v>
      </c>
    </row>
    <row r="41" spans="2:14">
      <c r="F41" s="48"/>
      <c r="G41" s="48"/>
      <c r="H41" s="48"/>
      <c r="I41" s="48"/>
      <c r="J41" s="48"/>
      <c r="K41" s="48"/>
      <c r="L41" s="48"/>
    </row>
    <row r="42" spans="2:14">
      <c r="B42" s="7" t="s">
        <v>117</v>
      </c>
      <c r="F42" s="48"/>
      <c r="G42" s="48"/>
      <c r="H42" s="48"/>
      <c r="I42" s="48"/>
      <c r="J42" s="48"/>
      <c r="K42" s="48"/>
      <c r="L42" s="48"/>
    </row>
    <row r="43" spans="2:14">
      <c r="B43" s="8" t="s">
        <v>142</v>
      </c>
      <c r="D43" s="8" t="s">
        <v>80</v>
      </c>
      <c r="F43" s="48"/>
      <c r="G43" s="48"/>
      <c r="H43" s="31">
        <f>H19+H37</f>
        <v>130096424.85830367</v>
      </c>
      <c r="I43" s="31">
        <f>I19+I37</f>
        <v>127275794.97377396</v>
      </c>
      <c r="J43" s="31">
        <f>J19+J37</f>
        <v>132394116.17682648</v>
      </c>
      <c r="K43" s="31">
        <f>K19+K37</f>
        <v>130344951.28677697</v>
      </c>
      <c r="L43" s="31">
        <f>L19+L37</f>
        <v>80916547.634960175</v>
      </c>
      <c r="N43" s="25">
        <v>7</v>
      </c>
    </row>
    <row r="44" spans="2:14">
      <c r="B44" s="8" t="s">
        <v>274</v>
      </c>
      <c r="D44" s="8" t="s">
        <v>80</v>
      </c>
      <c r="F44" s="48"/>
      <c r="G44" s="48"/>
      <c r="H44" s="31">
        <f>H21+H38</f>
        <v>14941354.730572596</v>
      </c>
      <c r="I44" s="31">
        <f>I21+I38</f>
        <v>14491229.909132661</v>
      </c>
      <c r="J44" s="31">
        <f>J21+J38</f>
        <v>15878464.320671745</v>
      </c>
      <c r="K44" s="31">
        <f>K21+K38</f>
        <v>15610570.819187013</v>
      </c>
      <c r="L44" s="31">
        <f>L21+L38</f>
        <v>13597341.662307024</v>
      </c>
      <c r="N44" s="25">
        <v>7</v>
      </c>
    </row>
    <row r="45" spans="2:14">
      <c r="B45" s="8" t="s">
        <v>282</v>
      </c>
      <c r="D45" s="8" t="s">
        <v>80</v>
      </c>
      <c r="F45" s="48"/>
      <c r="G45" s="48"/>
      <c r="H45" s="31">
        <f>$F$16*(H23+H39)+H25+H40</f>
        <v>14599589.943444706</v>
      </c>
      <c r="I45" s="31">
        <f t="shared" ref="I45:L45" si="2">$F$16*(I23+I39)+I25+I40</f>
        <v>14275013.401053913</v>
      </c>
      <c r="J45" s="31">
        <f t="shared" si="2"/>
        <v>15127323.646031445</v>
      </c>
      <c r="K45" s="31">
        <f t="shared" si="2"/>
        <v>14081070.880130926</v>
      </c>
      <c r="L45" s="31">
        <f t="shared" si="2"/>
        <v>14001460.633202594</v>
      </c>
      <c r="N45" s="25">
        <v>7</v>
      </c>
    </row>
    <row r="46" spans="2:14">
      <c r="F46" s="48"/>
      <c r="G46" s="48"/>
      <c r="H46" s="48"/>
      <c r="I46" s="48"/>
      <c r="J46" s="48"/>
      <c r="K46" s="48"/>
      <c r="L46" s="48"/>
    </row>
    <row r="47" spans="2:14" s="1" customFormat="1">
      <c r="B47" s="1" t="s">
        <v>259</v>
      </c>
    </row>
    <row r="48" spans="2:14">
      <c r="F48" s="48"/>
      <c r="G48" s="48"/>
      <c r="H48" s="48"/>
      <c r="I48" s="48"/>
      <c r="J48" s="48"/>
      <c r="K48" s="48"/>
      <c r="L48" s="48"/>
    </row>
    <row r="49" spans="2:14">
      <c r="B49" s="7" t="s">
        <v>118</v>
      </c>
      <c r="F49" s="48"/>
      <c r="G49" s="48"/>
      <c r="H49" s="48"/>
      <c r="I49" s="48"/>
      <c r="J49" s="48"/>
      <c r="K49" s="48"/>
      <c r="L49" s="48"/>
    </row>
    <row r="50" spans="2:14">
      <c r="B50" s="8" t="s">
        <v>137</v>
      </c>
      <c r="D50" s="8" t="s">
        <v>80</v>
      </c>
      <c r="F50" s="48"/>
      <c r="G50" s="48"/>
      <c r="H50" s="35">
        <f>H30*H$13</f>
        <v>43800284.966922916</v>
      </c>
      <c r="I50" s="35">
        <f t="shared" ref="I50:L50" si="3">I30*I$13</f>
        <v>39858078.688183852</v>
      </c>
      <c r="J50" s="35">
        <f t="shared" si="3"/>
        <v>46033354.82487192</v>
      </c>
      <c r="K50" s="35">
        <f t="shared" si="3"/>
        <v>43960825.120362677</v>
      </c>
      <c r="L50" s="35">
        <f t="shared" si="3"/>
        <v>42056801.575473949</v>
      </c>
      <c r="N50" s="25">
        <v>7</v>
      </c>
    </row>
    <row r="51" spans="2:14">
      <c r="B51" s="8" t="s">
        <v>138</v>
      </c>
      <c r="D51" s="8" t="s">
        <v>80</v>
      </c>
      <c r="F51" s="48"/>
      <c r="G51" s="48"/>
      <c r="H51" s="35">
        <f>H32*H$13</f>
        <v>5383852.8317264104</v>
      </c>
      <c r="I51" s="35">
        <f>I32*I$13</f>
        <v>4952407.1236453755</v>
      </c>
      <c r="J51" s="35">
        <f>J32*J$13</f>
        <v>5784309.6968541825</v>
      </c>
      <c r="K51" s="35">
        <f>K32*K$13</f>
        <v>5577064.067284978</v>
      </c>
      <c r="L51" s="35">
        <f>L32*L$13</f>
        <v>5420128.0949853873</v>
      </c>
      <c r="N51" s="25">
        <v>7</v>
      </c>
    </row>
    <row r="52" spans="2:14">
      <c r="F52" s="48"/>
      <c r="G52" s="48"/>
      <c r="H52" s="48"/>
      <c r="I52" s="48"/>
      <c r="J52" s="48"/>
      <c r="K52" s="48"/>
      <c r="L52" s="48"/>
    </row>
    <row r="53" spans="2:14">
      <c r="B53" s="7" t="s">
        <v>117</v>
      </c>
      <c r="F53" s="48"/>
      <c r="G53" s="48"/>
      <c r="H53" s="48"/>
      <c r="I53" s="48"/>
      <c r="J53" s="48"/>
      <c r="K53" s="48"/>
      <c r="L53" s="48"/>
    </row>
    <row r="54" spans="2:14">
      <c r="B54" s="8" t="s">
        <v>139</v>
      </c>
      <c r="D54" s="8" t="s">
        <v>80</v>
      </c>
      <c r="F54" s="48"/>
      <c r="G54" s="48"/>
      <c r="H54" s="31">
        <f>H29+H50</f>
        <v>151853273.96324196</v>
      </c>
      <c r="I54" s="31">
        <f t="shared" ref="I54:L54" si="4">I29+I50</f>
        <v>148335116.20805213</v>
      </c>
      <c r="J54" s="31">
        <f t="shared" si="4"/>
        <v>150541550.67350081</v>
      </c>
      <c r="K54" s="31">
        <f t="shared" si="4"/>
        <v>132776178.61797217</v>
      </c>
      <c r="L54" s="31">
        <f t="shared" si="4"/>
        <v>124187907.68161741</v>
      </c>
      <c r="N54" s="25">
        <v>7</v>
      </c>
    </row>
    <row r="55" spans="2:14">
      <c r="B55" s="8" t="s">
        <v>140</v>
      </c>
      <c r="D55" s="8" t="s">
        <v>80</v>
      </c>
      <c r="F55" s="48"/>
      <c r="G55" s="48"/>
      <c r="H55" s="31">
        <f>H31+H51</f>
        <v>16638342.748567261</v>
      </c>
      <c r="I55" s="31">
        <f>I31+I51</f>
        <v>15976504.403330002</v>
      </c>
      <c r="J55" s="31">
        <f>J31+J51</f>
        <v>16461767.817324352</v>
      </c>
      <c r="K55" s="31">
        <f>K31+K51</f>
        <v>14837936.09731685</v>
      </c>
      <c r="L55" s="31">
        <f>L31+L51</f>
        <v>12817611.984455217</v>
      </c>
      <c r="N55" s="25">
        <v>7</v>
      </c>
    </row>
    <row r="56" spans="2:14">
      <c r="F56" s="48"/>
      <c r="G56" s="48"/>
      <c r="H56" s="48"/>
      <c r="I56" s="48"/>
      <c r="J56" s="48"/>
      <c r="K56" s="48"/>
      <c r="L56" s="48"/>
    </row>
  </sheetData>
  <mergeCells count="1">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rgb="FFFFFFCC"/>
  </sheetPr>
  <dimension ref="A2:R85"/>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8" customWidth="1"/>
    <col min="2" max="2" width="75.7109375" style="8" customWidth="1"/>
    <col min="3" max="3" width="2.7109375" style="8" customWidth="1"/>
    <col min="4" max="4" width="13.7109375" style="8" customWidth="1"/>
    <col min="5" max="5" width="2.7109375" style="8" customWidth="1"/>
    <col min="6" max="6" width="16.7109375" style="8" customWidth="1"/>
    <col min="7" max="7" width="2.7109375" style="8" customWidth="1"/>
    <col min="8" max="16" width="16.7109375" style="8" customWidth="1"/>
    <col min="17" max="17" width="2.7109375" style="8" customWidth="1"/>
    <col min="18" max="18" width="16.7109375" style="25" customWidth="1"/>
    <col min="19" max="19" width="4.7109375" style="8" customWidth="1"/>
    <col min="20" max="16384" width="9.140625" style="8"/>
  </cols>
  <sheetData>
    <row r="2" spans="2:18" s="2" customFormat="1" ht="18">
      <c r="B2" s="2" t="s">
        <v>290</v>
      </c>
    </row>
    <row r="4" spans="2:18">
      <c r="B4" s="29" t="s">
        <v>56</v>
      </c>
    </row>
    <row r="5" spans="2:18" ht="75.75" customHeight="1">
      <c r="B5" s="141" t="s">
        <v>237</v>
      </c>
      <c r="C5" s="141"/>
    </row>
    <row r="6" spans="2:18">
      <c r="B6" s="44"/>
      <c r="C6" s="44"/>
    </row>
    <row r="7" spans="2:18">
      <c r="B7" s="62" t="s">
        <v>30</v>
      </c>
      <c r="C7" s="44"/>
    </row>
    <row r="8" spans="2:18" ht="52.5" customHeight="1">
      <c r="B8" s="141" t="s">
        <v>217</v>
      </c>
      <c r="C8" s="141"/>
    </row>
    <row r="9" spans="2:18" ht="12.75" customHeight="1"/>
    <row r="10" spans="2:18" s="1" customFormat="1">
      <c r="B10" s="1" t="s">
        <v>45</v>
      </c>
      <c r="D10" s="1" t="s">
        <v>27</v>
      </c>
      <c r="F10" s="1" t="s">
        <v>28</v>
      </c>
      <c r="H10" s="1">
        <v>2018</v>
      </c>
      <c r="I10" s="1">
        <v>2019</v>
      </c>
      <c r="J10" s="1">
        <v>2020</v>
      </c>
      <c r="K10" s="1">
        <v>2021</v>
      </c>
      <c r="L10" s="1">
        <v>2022</v>
      </c>
      <c r="M10" s="1">
        <v>2023</v>
      </c>
      <c r="N10" s="1">
        <v>2024</v>
      </c>
      <c r="O10" s="1">
        <v>2025</v>
      </c>
      <c r="P10" s="1">
        <v>2026</v>
      </c>
      <c r="R10" s="1" t="s">
        <v>119</v>
      </c>
    </row>
    <row r="13" spans="2:18" s="1" customFormat="1">
      <c r="B13" s="1" t="s">
        <v>48</v>
      </c>
    </row>
    <row r="15" spans="2:18">
      <c r="B15" s="29" t="s">
        <v>88</v>
      </c>
    </row>
    <row r="16" spans="2:18">
      <c r="B16" s="8" t="s">
        <v>473</v>
      </c>
      <c r="D16" s="8" t="s">
        <v>75</v>
      </c>
      <c r="H16" s="56"/>
      <c r="I16" s="56"/>
      <c r="J16" s="56"/>
      <c r="K16" s="56"/>
      <c r="L16" s="116">
        <f>'2. Reguleringsparameters'!L15</f>
        <v>2.4E-2</v>
      </c>
      <c r="M16" s="116">
        <f>'2. Reguleringsparameters'!M15</f>
        <v>2.3E-2</v>
      </c>
      <c r="N16" s="116">
        <f>'2. Reguleringsparameters'!N15</f>
        <v>2.8000000000000001E-2</v>
      </c>
      <c r="O16" s="116">
        <f>'2. Reguleringsparameters'!O15</f>
        <v>2.8000000000000001E-2</v>
      </c>
      <c r="P16" s="116">
        <f>'2. Reguleringsparameters'!P15</f>
        <v>2.8000000000000001E-2</v>
      </c>
    </row>
    <row r="17" spans="1:18">
      <c r="B17" s="8" t="s">
        <v>474</v>
      </c>
      <c r="D17" s="8" t="s">
        <v>75</v>
      </c>
      <c r="H17" s="56"/>
      <c r="I17" s="56"/>
      <c r="J17" s="56"/>
      <c r="K17" s="56"/>
      <c r="L17" s="116">
        <f>'2. Reguleringsparameters'!L16</f>
        <v>2.1999999999999999E-2</v>
      </c>
      <c r="M17" s="116">
        <f>'2. Reguleringsparameters'!M16</f>
        <v>2.1999999999999999E-2</v>
      </c>
      <c r="N17" s="116">
        <f>'2. Reguleringsparameters'!N16</f>
        <v>2.7E-2</v>
      </c>
      <c r="O17" s="116">
        <f>'2. Reguleringsparameters'!O16</f>
        <v>2.7E-2</v>
      </c>
      <c r="P17" s="116">
        <f>'2. Reguleringsparameters'!P16</f>
        <v>2.7E-2</v>
      </c>
    </row>
    <row r="19" spans="1:18">
      <c r="B19" s="7" t="s">
        <v>121</v>
      </c>
      <c r="F19" s="48"/>
      <c r="H19" s="48"/>
      <c r="I19" s="48"/>
      <c r="J19" s="48"/>
      <c r="K19" s="48"/>
      <c r="L19" s="48"/>
      <c r="M19" s="48"/>
      <c r="N19" s="48"/>
      <c r="O19" s="48"/>
      <c r="P19" s="48"/>
    </row>
    <row r="20" spans="1:18">
      <c r="B20" s="8" t="s">
        <v>251</v>
      </c>
      <c r="D20" s="8" t="s">
        <v>80</v>
      </c>
      <c r="F20" s="48"/>
      <c r="H20" s="56"/>
      <c r="I20" s="56"/>
      <c r="J20" s="56"/>
      <c r="K20" s="56"/>
      <c r="L20" s="54">
        <f>'3. GAW model'!L33</f>
        <v>2266153.7304028017</v>
      </c>
      <c r="M20" s="54">
        <f>'3. GAW model'!M33</f>
        <v>3817809.3553878237</v>
      </c>
      <c r="N20" s="54">
        <f>'3. GAW model'!N33</f>
        <v>5403198.450714333</v>
      </c>
      <c r="O20" s="54">
        <f>'3. GAW model'!O33</f>
        <v>7022879.8298504399</v>
      </c>
      <c r="P20" s="54">
        <f>'3. GAW model'!P33</f>
        <v>8484624.9184843637</v>
      </c>
    </row>
    <row r="21" spans="1:18">
      <c r="B21" s="8" t="s">
        <v>248</v>
      </c>
      <c r="D21" s="8" t="s">
        <v>80</v>
      </c>
      <c r="F21" s="48"/>
      <c r="H21" s="56"/>
      <c r="I21" s="56"/>
      <c r="J21" s="56"/>
      <c r="K21" s="56"/>
      <c r="L21" s="54">
        <f>'3. GAW model'!L34</f>
        <v>72212745.667681336</v>
      </c>
      <c r="M21" s="54">
        <f>'3. GAW model'!M34</f>
        <v>107220819.55866069</v>
      </c>
      <c r="N21" s="54">
        <f>'3. GAW model'!N34</f>
        <v>141451428.77312377</v>
      </c>
      <c r="O21" s="54">
        <f>'3. GAW model'!O34</f>
        <v>174869646.56131387</v>
      </c>
      <c r="P21" s="54">
        <f>'3. GAW model'!P34</f>
        <v>207632542.54970348</v>
      </c>
    </row>
    <row r="22" spans="1:18">
      <c r="B22" s="8" t="s">
        <v>250</v>
      </c>
      <c r="D22" s="8" t="s">
        <v>80</v>
      </c>
      <c r="F22" s="48"/>
      <c r="H22" s="56"/>
      <c r="I22" s="56"/>
      <c r="J22" s="56"/>
      <c r="K22" s="56"/>
      <c r="L22" s="54">
        <f>'3. GAW model'!L35</f>
        <v>995447.98512739839</v>
      </c>
      <c r="M22" s="54">
        <f>'3. GAW model'!M35</f>
        <v>1677040.0787177959</v>
      </c>
      <c r="N22" s="54">
        <f>'3. GAW model'!N35</f>
        <v>2373450.1939773676</v>
      </c>
      <c r="O22" s="54">
        <f>'3. GAW model'!O35</f>
        <v>3084923.7995755291</v>
      </c>
      <c r="P22" s="54">
        <f>'3. GAW model'!P35</f>
        <v>3663289.0798481647</v>
      </c>
    </row>
    <row r="23" spans="1:18">
      <c r="B23" s="8" t="s">
        <v>249</v>
      </c>
      <c r="D23" s="8" t="s">
        <v>80</v>
      </c>
      <c r="F23" s="48"/>
      <c r="H23" s="56"/>
      <c r="I23" s="56"/>
      <c r="J23" s="56"/>
      <c r="K23" s="56"/>
      <c r="L23" s="54">
        <f>'3. GAW model'!L36</f>
        <v>35481808.709653236</v>
      </c>
      <c r="M23" s="54">
        <f>'3. GAW model'!M36</f>
        <v>52802077.056788333</v>
      </c>
      <c r="N23" s="54">
        <f>'3. GAW model'!N36</f>
        <v>69822950.324211851</v>
      </c>
      <c r="O23" s="54">
        <f>'3. GAW model'!O36</f>
        <v>86529783.487997502</v>
      </c>
      <c r="P23" s="54">
        <f>'3. GAW model'!P36</f>
        <v>103056011.72378334</v>
      </c>
    </row>
    <row r="24" spans="1:18" s="48" customFormat="1">
      <c r="A24" s="8"/>
      <c r="L24" s="50"/>
      <c r="M24" s="50"/>
      <c r="N24" s="50"/>
      <c r="O24" s="50"/>
      <c r="P24" s="50"/>
      <c r="R24" s="61"/>
    </row>
    <row r="25" spans="1:18">
      <c r="B25" s="8" t="s">
        <v>110</v>
      </c>
      <c r="D25" s="8" t="s">
        <v>80</v>
      </c>
      <c r="H25" s="56"/>
      <c r="J25" s="34">
        <f>'3. GAW model'!J40</f>
        <v>2352577687.9437237</v>
      </c>
      <c r="K25" s="56"/>
      <c r="L25" s="56"/>
      <c r="M25" s="56"/>
      <c r="N25" s="56"/>
      <c r="O25" s="56"/>
      <c r="P25" s="56"/>
    </row>
    <row r="26" spans="1:18">
      <c r="H26" s="48"/>
    </row>
    <row r="27" spans="1:18" s="52" customFormat="1">
      <c r="A27" s="8"/>
      <c r="B27" s="52" t="s">
        <v>130</v>
      </c>
      <c r="D27" s="8" t="s">
        <v>80</v>
      </c>
      <c r="H27" s="56"/>
      <c r="J27" s="56"/>
      <c r="K27" s="56"/>
      <c r="L27" s="34">
        <f>'3. GAW model'!L16</f>
        <v>1593554583.9909317</v>
      </c>
      <c r="M27" s="34">
        <f>'3. GAW model'!M16</f>
        <v>1515476745.4176815</v>
      </c>
      <c r="N27" s="34">
        <f>'3. GAW model'!N16</f>
        <v>1436956707.7670937</v>
      </c>
      <c r="O27" s="34">
        <f>'3. GAW model'!O16</f>
        <v>1357555932.9734786</v>
      </c>
      <c r="P27" s="34">
        <f>'3. GAW model'!P16</f>
        <v>1325984967.8346488</v>
      </c>
      <c r="R27" s="57"/>
    </row>
    <row r="28" spans="1:18" s="52" customFormat="1">
      <c r="A28" s="8"/>
      <c r="B28" s="52" t="s">
        <v>275</v>
      </c>
      <c r="D28" s="8" t="s">
        <v>80</v>
      </c>
      <c r="H28" s="48"/>
      <c r="J28" s="56"/>
      <c r="K28" s="56"/>
      <c r="L28" s="34">
        <f>'3. GAW model'!L18</f>
        <v>316953472.35924375</v>
      </c>
      <c r="M28" s="34">
        <f>'3. GAW model'!M18</f>
        <v>312502378.40465128</v>
      </c>
      <c r="N28" s="34">
        <f>'3. GAW model'!N18</f>
        <v>308062176.4296515</v>
      </c>
      <c r="O28" s="34">
        <f>'3. GAW model'!O18</f>
        <v>303728565.01885933</v>
      </c>
      <c r="P28" s="34">
        <f>'3. GAW model'!P18</f>
        <v>301301214.44621629</v>
      </c>
      <c r="R28" s="57"/>
    </row>
    <row r="29" spans="1:18" s="52" customFormat="1">
      <c r="A29" s="8"/>
      <c r="B29" s="52" t="s">
        <v>483</v>
      </c>
      <c r="D29" s="8" t="s">
        <v>80</v>
      </c>
      <c r="H29" s="48"/>
      <c r="J29" s="56"/>
      <c r="K29" s="56"/>
      <c r="L29" s="34">
        <f>'3. GAW model'!L20</f>
        <v>232612937.01180607</v>
      </c>
      <c r="M29" s="34">
        <f>'3. GAW model'!M20</f>
        <v>226981476.97408861</v>
      </c>
      <c r="N29" s="34">
        <f>'3. GAW model'!N20</f>
        <v>221552867.90715945</v>
      </c>
      <c r="O29" s="34">
        <f>'3. GAW model'!O20</f>
        <v>216986057.66576904</v>
      </c>
      <c r="P29" s="34">
        <f>'3. GAW model'!P20</f>
        <v>212319099.05773306</v>
      </c>
      <c r="R29" s="57"/>
    </row>
    <row r="30" spans="1:18" s="52" customFormat="1">
      <c r="A30" s="8"/>
      <c r="B30" s="52" t="s">
        <v>482</v>
      </c>
      <c r="D30" s="8" t="s">
        <v>80</v>
      </c>
      <c r="H30" s="48"/>
      <c r="J30" s="56"/>
      <c r="K30" s="56"/>
      <c r="L30" s="34">
        <f>'3. GAW model'!L22</f>
        <v>26572625.214475397</v>
      </c>
      <c r="M30" s="34">
        <f>'3. GAW model'!M22</f>
        <v>26082206.634165261</v>
      </c>
      <c r="N30" s="34">
        <f>'3. GAW model'!N22</f>
        <v>25580808.136767168</v>
      </c>
      <c r="O30" s="34">
        <f>'3. GAW model'!O22</f>
        <v>25068271.807678536</v>
      </c>
      <c r="P30" s="34">
        <f>'3. GAW model'!P22</f>
        <v>24544437.77920723</v>
      </c>
      <c r="R30" s="57"/>
    </row>
    <row r="31" spans="1:18" s="52" customFormat="1">
      <c r="A31" s="8"/>
      <c r="H31" s="56"/>
      <c r="R31" s="57"/>
    </row>
    <row r="32" spans="1:18">
      <c r="B32" s="7" t="s">
        <v>122</v>
      </c>
      <c r="F32" s="48"/>
      <c r="H32" s="48"/>
      <c r="J32" s="48"/>
      <c r="K32" s="48"/>
      <c r="L32" s="48"/>
      <c r="M32" s="48"/>
      <c r="N32" s="48"/>
      <c r="O32" s="48"/>
      <c r="P32" s="48"/>
    </row>
    <row r="33" spans="1:18">
      <c r="B33" s="8" t="s">
        <v>252</v>
      </c>
      <c r="D33" s="8" t="s">
        <v>80</v>
      </c>
      <c r="F33" s="48"/>
      <c r="H33" s="56"/>
      <c r="J33" s="56"/>
      <c r="K33" s="56"/>
      <c r="L33" s="34">
        <f>'3. GAW model'!L44</f>
        <v>8893193.2643618844</v>
      </c>
      <c r="M33" s="34">
        <f>'3. GAW model'!M44</f>
        <v>14982441.830156792</v>
      </c>
      <c r="N33" s="34">
        <f>'3. GAW model'!N44</f>
        <v>21204072.531902872</v>
      </c>
      <c r="O33" s="34">
        <f>'3. GAW model'!O44</f>
        <v>27560278.352407973</v>
      </c>
      <c r="P33" s="34">
        <f>'3. GAW model'!P44</f>
        <v>33438650.239358876</v>
      </c>
    </row>
    <row r="34" spans="1:18" s="52" customFormat="1">
      <c r="A34" s="8"/>
      <c r="B34" s="8" t="s">
        <v>253</v>
      </c>
      <c r="C34" s="8"/>
      <c r="D34" s="8" t="s">
        <v>80</v>
      </c>
      <c r="H34" s="48"/>
      <c r="J34" s="56"/>
      <c r="K34" s="56"/>
      <c r="L34" s="34">
        <f>'3. GAW model'!L45</f>
        <v>373144387.34356242</v>
      </c>
      <c r="M34" s="34">
        <f>'3. GAW model'!M45</f>
        <v>556881548.62711048</v>
      </c>
      <c r="N34" s="34">
        <f>'3. GAW model'!N45</f>
        <v>738572828.09029698</v>
      </c>
      <c r="O34" s="34">
        <f>'3. GAW model'!O45</f>
        <v>918097798.17526853</v>
      </c>
      <c r="P34" s="34">
        <f>'3. GAW model'!P45</f>
        <v>1095947776.8844848</v>
      </c>
      <c r="R34" s="57"/>
    </row>
    <row r="35" spans="1:18" s="52" customFormat="1">
      <c r="A35" s="8"/>
      <c r="B35" s="8" t="s">
        <v>254</v>
      </c>
      <c r="C35" s="8"/>
      <c r="D35" s="8" t="s">
        <v>80</v>
      </c>
      <c r="H35" s="56"/>
      <c r="J35" s="56"/>
      <c r="K35" s="56"/>
      <c r="L35" s="34">
        <f>'3. GAW model'!L46</f>
        <v>2396108.8460695189</v>
      </c>
      <c r="M35" s="34">
        <f>'3. GAW model'!M46</f>
        <v>4036745.89518061</v>
      </c>
      <c r="N35" s="34">
        <f>'3. GAW model'!N46</f>
        <v>5713050.8981508976</v>
      </c>
      <c r="O35" s="34">
        <f>'3. GAW model'!O46</f>
        <v>7425614.7142307051</v>
      </c>
      <c r="P35" s="34">
        <f>'3. GAW model'!P46</f>
        <v>8703648.6128957365</v>
      </c>
      <c r="R35" s="57"/>
    </row>
    <row r="36" spans="1:18" s="52" customFormat="1">
      <c r="A36" s="8"/>
      <c r="B36" s="8" t="s">
        <v>255</v>
      </c>
      <c r="C36" s="8"/>
      <c r="D36" s="8" t="s">
        <v>80</v>
      </c>
      <c r="H36" s="48"/>
      <c r="J36" s="56"/>
      <c r="K36" s="56"/>
      <c r="L36" s="34">
        <f>'3. GAW model'!L47</f>
        <v>59215629.093850881</v>
      </c>
      <c r="M36" s="34">
        <f>'3. GAW model'!M47</f>
        <v>87380505.041328818</v>
      </c>
      <c r="N36" s="34">
        <f>'3. GAW model'!N47</f>
        <v>114531402.5434081</v>
      </c>
      <c r="O36" s="34">
        <f>'3. GAW model'!O47</f>
        <v>140628215.13989246</v>
      </c>
      <c r="P36" s="34">
        <f>'3. GAW model'!P47</f>
        <v>166101332.28400001</v>
      </c>
      <c r="R36" s="57"/>
    </row>
    <row r="37" spans="1:18" s="58" customFormat="1">
      <c r="A37" s="8"/>
      <c r="B37" s="48"/>
      <c r="C37" s="48"/>
      <c r="D37" s="48"/>
      <c r="H37" s="56"/>
      <c r="L37" s="60"/>
      <c r="M37" s="60"/>
      <c r="N37" s="60"/>
      <c r="O37" s="60"/>
      <c r="P37" s="60"/>
      <c r="R37" s="59"/>
    </row>
    <row r="38" spans="1:18" s="52" customFormat="1">
      <c r="B38" s="8" t="s">
        <v>109</v>
      </c>
      <c r="C38" s="8"/>
      <c r="D38" s="8" t="s">
        <v>80</v>
      </c>
      <c r="H38" s="48"/>
      <c r="J38" s="34">
        <f>'3. GAW model'!J51</f>
        <v>2248149453.7422318</v>
      </c>
      <c r="K38" s="56"/>
      <c r="L38" s="56"/>
      <c r="M38" s="56"/>
      <c r="N38" s="56"/>
      <c r="O38" s="56"/>
      <c r="P38" s="56"/>
      <c r="Q38" s="101"/>
      <c r="R38" s="102"/>
    </row>
    <row r="39" spans="1:18" s="52" customFormat="1">
      <c r="Q39" s="101"/>
      <c r="R39" s="102"/>
    </row>
    <row r="40" spans="1:18" s="52" customFormat="1">
      <c r="B40" s="52" t="s">
        <v>133</v>
      </c>
      <c r="D40" s="8" t="s">
        <v>80</v>
      </c>
      <c r="H40" s="56"/>
      <c r="I40" s="56"/>
      <c r="J40" s="56"/>
      <c r="K40" s="56"/>
      <c r="L40" s="34">
        <f>'3. GAW model'!L27</f>
        <v>1825011873.621788</v>
      </c>
      <c r="M40" s="34">
        <f>'3. GAW model'!M27</f>
        <v>1732959942.9645152</v>
      </c>
      <c r="N40" s="34">
        <f>'3. GAW model'!N27</f>
        <v>1644048386.6025686</v>
      </c>
      <c r="O40" s="34">
        <f>'3. GAW model'!O27</f>
        <v>1570029468.5843813</v>
      </c>
      <c r="P40" s="34">
        <f>'3. GAW model'!P27</f>
        <v>1502028627.6954982</v>
      </c>
      <c r="Q40" s="101"/>
      <c r="R40" s="102"/>
    </row>
    <row r="41" spans="1:18" s="52" customFormat="1">
      <c r="B41" s="52" t="s">
        <v>134</v>
      </c>
      <c r="D41" s="8" t="s">
        <v>80</v>
      </c>
      <c r="H41" s="56"/>
      <c r="I41" s="56"/>
      <c r="J41" s="56"/>
      <c r="K41" s="56"/>
      <c r="L41" s="34">
        <f>'3. GAW model'!L29</f>
        <v>224327201.32193375</v>
      </c>
      <c r="M41" s="34">
        <f>'3. GAW model'!M29</f>
        <v>215322048.85414675</v>
      </c>
      <c r="N41" s="34">
        <f>'3. GAW model'!N29</f>
        <v>206582489.17336366</v>
      </c>
      <c r="O41" s="34">
        <f>'3. GAW model'!O29</f>
        <v>199180859.54589206</v>
      </c>
      <c r="P41" s="34">
        <f>'3. GAW model'!P29</f>
        <v>193576003.39233527</v>
      </c>
      <c r="Q41" s="101"/>
      <c r="R41" s="102"/>
    </row>
    <row r="42" spans="1:18">
      <c r="F42" s="48"/>
      <c r="H42" s="48"/>
      <c r="I42" s="48"/>
      <c r="J42" s="48"/>
      <c r="K42" s="48"/>
      <c r="L42" s="48"/>
      <c r="M42" s="48"/>
      <c r="N42" s="48"/>
      <c r="O42" s="49"/>
      <c r="P42" s="49"/>
      <c r="Q42" s="24"/>
      <c r="R42" s="100"/>
    </row>
    <row r="43" spans="1:18" s="1" customFormat="1">
      <c r="B43" s="1" t="s">
        <v>128</v>
      </c>
    </row>
    <row r="44" spans="1:18">
      <c r="F44" s="48"/>
      <c r="H44" s="48"/>
      <c r="I44" s="48"/>
      <c r="J44" s="48"/>
      <c r="K44" s="48"/>
      <c r="L44" s="48"/>
      <c r="M44" s="48"/>
      <c r="N44" s="48"/>
      <c r="O44" s="49"/>
      <c r="P44" s="49"/>
      <c r="Q44" s="24"/>
      <c r="R44" s="100"/>
    </row>
    <row r="45" spans="1:18">
      <c r="B45" s="8" t="s">
        <v>129</v>
      </c>
      <c r="D45" s="8" t="s">
        <v>80</v>
      </c>
      <c r="H45" s="48"/>
      <c r="J45" s="35">
        <f>J25+J38</f>
        <v>4600727141.685955</v>
      </c>
      <c r="K45" s="56"/>
      <c r="L45" s="56"/>
      <c r="M45" s="56"/>
      <c r="N45" s="56"/>
      <c r="O45" s="56"/>
      <c r="P45" s="56"/>
      <c r="Q45" s="24"/>
    </row>
    <row r="46" spans="1:18">
      <c r="B46" s="8" t="s">
        <v>127</v>
      </c>
      <c r="D46" s="8" t="s">
        <v>80</v>
      </c>
      <c r="F46" s="48"/>
      <c r="H46" s="56"/>
      <c r="I46" s="56"/>
      <c r="J46" s="56"/>
      <c r="K46" s="56"/>
      <c r="L46" s="35">
        <f>SUM(L27:L30,L40:L41)</f>
        <v>4219032693.5201788</v>
      </c>
      <c r="M46" s="35">
        <f t="shared" ref="M46:P46" si="0">SUM(M27:M30,M40:M41)</f>
        <v>4029324799.249249</v>
      </c>
      <c r="N46" s="35">
        <f t="shared" si="0"/>
        <v>3842783436.0166044</v>
      </c>
      <c r="O46" s="35">
        <f t="shared" si="0"/>
        <v>3672549155.5960593</v>
      </c>
      <c r="P46" s="35">
        <f t="shared" si="0"/>
        <v>3559754350.2056394</v>
      </c>
      <c r="Q46" s="24"/>
      <c r="R46" s="25">
        <v>9</v>
      </c>
    </row>
    <row r="47" spans="1:18">
      <c r="B47" s="8" t="s">
        <v>126</v>
      </c>
      <c r="D47" s="8" t="s">
        <v>80</v>
      </c>
      <c r="F47" s="48"/>
      <c r="H47" s="56"/>
      <c r="I47" s="56"/>
      <c r="J47" s="56"/>
      <c r="K47" s="56"/>
      <c r="L47" s="35">
        <f>L21+L23+L34+L36</f>
        <v>540054570.81474781</v>
      </c>
      <c r="M47" s="35">
        <f>M21+M23+M34+M36</f>
        <v>804284950.28388822</v>
      </c>
      <c r="N47" s="35">
        <f>N21+N23+N34+N36</f>
        <v>1064378609.7310407</v>
      </c>
      <c r="O47" s="35">
        <f>O21+O23+O34+O36</f>
        <v>1320125443.3644724</v>
      </c>
      <c r="P47" s="35">
        <f>P21+P23+P34+P36</f>
        <v>1572737663.4419715</v>
      </c>
      <c r="Q47" s="24"/>
      <c r="R47" s="25">
        <v>9</v>
      </c>
    </row>
    <row r="48" spans="1:18">
      <c r="B48" s="8" t="s">
        <v>125</v>
      </c>
      <c r="D48" s="8" t="s">
        <v>80</v>
      </c>
      <c r="F48" s="48"/>
      <c r="H48" s="56"/>
      <c r="I48" s="56"/>
      <c r="J48" s="56"/>
      <c r="K48" s="56"/>
      <c r="L48" s="35">
        <f>MAX(0,L46+L47-$J45)</f>
        <v>158360122.64897156</v>
      </c>
      <c r="M48" s="35">
        <f>MAX(0,M46+M47-$J45)</f>
        <v>232882607.84718227</v>
      </c>
      <c r="N48" s="35">
        <f>MAX(0,N46+N47-$J45)</f>
        <v>306434904.06169033</v>
      </c>
      <c r="O48" s="35">
        <f>MAX(0,O46+O47-$J45)</f>
        <v>391947457.27457619</v>
      </c>
      <c r="P48" s="35">
        <f>MAX(0,P46+P47-$J45)</f>
        <v>531764871.96165562</v>
      </c>
      <c r="Q48" s="24"/>
      <c r="R48" s="25">
        <v>9</v>
      </c>
    </row>
    <row r="49" spans="2:18">
      <c r="B49" s="8" t="s">
        <v>124</v>
      </c>
      <c r="D49" s="8" t="s">
        <v>75</v>
      </c>
      <c r="F49" s="48"/>
      <c r="H49" s="56"/>
      <c r="I49" s="56"/>
      <c r="J49" s="56"/>
      <c r="K49" s="56"/>
      <c r="L49" s="99">
        <f>L48/L47</f>
        <v>0.29322985343881669</v>
      </c>
      <c r="M49" s="99">
        <f>M48/M47</f>
        <v>0.28955236295914993</v>
      </c>
      <c r="N49" s="99">
        <f>N48/N47</f>
        <v>0.28790028403438489</v>
      </c>
      <c r="O49" s="99">
        <f>O48/O47</f>
        <v>0.2969016764616389</v>
      </c>
      <c r="P49" s="99">
        <f>P48/P47</f>
        <v>0.3381141587198187</v>
      </c>
      <c r="Q49" s="24"/>
      <c r="R49" s="25">
        <v>9</v>
      </c>
    </row>
    <row r="50" spans="2:18">
      <c r="B50" s="8" t="s">
        <v>123</v>
      </c>
      <c r="D50" s="8" t="s">
        <v>75</v>
      </c>
      <c r="F50" s="48"/>
      <c r="H50" s="56"/>
      <c r="I50" s="56"/>
      <c r="J50" s="56"/>
      <c r="K50" s="56"/>
      <c r="L50" s="99">
        <f>1-L49</f>
        <v>0.70677014656118331</v>
      </c>
      <c r="M50" s="99">
        <f>1-M49</f>
        <v>0.71044763704085012</v>
      </c>
      <c r="N50" s="99">
        <f>1-N49</f>
        <v>0.71209971596561505</v>
      </c>
      <c r="O50" s="99">
        <f>1-O49</f>
        <v>0.7030983235383611</v>
      </c>
      <c r="P50" s="99">
        <f>1-P49</f>
        <v>0.66188584128018135</v>
      </c>
      <c r="Q50" s="24"/>
      <c r="R50" s="25">
        <v>10</v>
      </c>
    </row>
    <row r="51" spans="2:18">
      <c r="F51" s="48"/>
      <c r="H51" s="48"/>
      <c r="I51" s="48"/>
      <c r="J51" s="48"/>
      <c r="K51" s="48"/>
      <c r="L51" s="48"/>
      <c r="M51" s="48"/>
      <c r="N51" s="48"/>
      <c r="O51" s="49"/>
      <c r="P51" s="49"/>
      <c r="Q51" s="24"/>
    </row>
    <row r="52" spans="2:18" s="1" customFormat="1">
      <c r="B52" s="1" t="s">
        <v>303</v>
      </c>
    </row>
    <row r="53" spans="2:18">
      <c r="F53" s="48"/>
      <c r="H53" s="48"/>
      <c r="I53" s="48"/>
      <c r="J53" s="48"/>
      <c r="K53" s="48"/>
      <c r="L53" s="48"/>
      <c r="M53" s="48"/>
      <c r="N53" s="48"/>
      <c r="O53" s="48"/>
      <c r="P53" s="48"/>
      <c r="Q53" s="24"/>
    </row>
    <row r="54" spans="2:18">
      <c r="B54" s="7" t="s">
        <v>300</v>
      </c>
      <c r="F54" s="48"/>
      <c r="H54" s="48"/>
      <c r="I54" s="48"/>
      <c r="J54" s="48"/>
      <c r="K54" s="48"/>
      <c r="L54" s="48"/>
      <c r="M54" s="48"/>
      <c r="N54" s="48"/>
      <c r="O54" s="48"/>
      <c r="P54" s="48"/>
      <c r="Q54" s="24"/>
    </row>
    <row r="55" spans="2:18">
      <c r="B55" s="8" t="s">
        <v>301</v>
      </c>
      <c r="D55" s="8" t="s">
        <v>80</v>
      </c>
      <c r="F55" s="48"/>
      <c r="H55" s="56"/>
      <c r="I55" s="56"/>
      <c r="J55" s="56"/>
      <c r="K55" s="56"/>
      <c r="L55" s="35">
        <f>L21*L49*L17+L21*L50*L16</f>
        <v>1690756.0303672547</v>
      </c>
      <c r="M55" s="35">
        <f t="shared" ref="M55:P55" si="1">M21*M49*M17+M21*M50*M16</f>
        <v>2435032.808187569</v>
      </c>
      <c r="N55" s="35">
        <f t="shared" si="1"/>
        <v>3919916.0991266137</v>
      </c>
      <c r="O55" s="35">
        <f t="shared" si="1"/>
        <v>4844431.0124904802</v>
      </c>
      <c r="P55" s="35">
        <f t="shared" si="1"/>
        <v>5743507.6889446471</v>
      </c>
      <c r="Q55" s="24"/>
      <c r="R55" s="25">
        <v>8</v>
      </c>
    </row>
    <row r="56" spans="2:18">
      <c r="B56" s="8" t="s">
        <v>302</v>
      </c>
      <c r="D56" s="8" t="s">
        <v>80</v>
      </c>
      <c r="F56" s="48"/>
      <c r="H56" s="56"/>
      <c r="I56" s="56"/>
      <c r="J56" s="56"/>
      <c r="K56" s="56"/>
      <c r="L56" s="35">
        <f>L23*L49*L17+L23*L50*L16</f>
        <v>830754.75789632625</v>
      </c>
      <c r="M56" s="35">
        <f t="shared" ref="M56:P56" si="2">M23*M49*M17+M23*M50*M16</f>
        <v>1199158.8061251875</v>
      </c>
      <c r="N56" s="35">
        <f t="shared" si="2"/>
        <v>1934940.5618474726</v>
      </c>
      <c r="O56" s="35">
        <f t="shared" si="2"/>
        <v>2397143.0998824812</v>
      </c>
      <c r="P56" s="35">
        <f t="shared" si="2"/>
        <v>2850723.6315609268</v>
      </c>
      <c r="Q56" s="24"/>
      <c r="R56" s="25">
        <v>8</v>
      </c>
    </row>
    <row r="57" spans="2:18">
      <c r="F57" s="48"/>
      <c r="H57" s="48"/>
      <c r="I57" s="48"/>
      <c r="J57" s="48"/>
      <c r="K57" s="48"/>
      <c r="L57" s="48"/>
      <c r="M57" s="48"/>
      <c r="N57" s="48"/>
      <c r="O57" s="48"/>
      <c r="P57" s="48"/>
      <c r="Q57" s="24"/>
    </row>
    <row r="58" spans="2:18">
      <c r="B58" s="7" t="s">
        <v>299</v>
      </c>
      <c r="Q58" s="24"/>
    </row>
    <row r="59" spans="2:18">
      <c r="B59" s="8" t="s">
        <v>131</v>
      </c>
      <c r="D59" s="8" t="s">
        <v>80</v>
      </c>
      <c r="H59" s="56"/>
      <c r="I59" s="56"/>
      <c r="J59" s="56"/>
      <c r="K59" s="56"/>
      <c r="L59" s="31">
        <f>L20+L55</f>
        <v>3956909.7607700564</v>
      </c>
      <c r="M59" s="31">
        <f>M20+M55</f>
        <v>6252842.1635753922</v>
      </c>
      <c r="N59" s="31">
        <f>N20+N55</f>
        <v>9323114.5498409458</v>
      </c>
      <c r="O59" s="31">
        <f>O20+O55</f>
        <v>11867310.84234092</v>
      </c>
      <c r="P59" s="31">
        <f>P20+P55</f>
        <v>14228132.607429011</v>
      </c>
      <c r="Q59" s="24"/>
      <c r="R59" s="25">
        <v>8</v>
      </c>
    </row>
    <row r="60" spans="2:18">
      <c r="B60" s="8" t="s">
        <v>132</v>
      </c>
      <c r="D60" s="8" t="s">
        <v>80</v>
      </c>
      <c r="H60" s="56"/>
      <c r="I60" s="56"/>
      <c r="J60" s="56"/>
      <c r="K60" s="56"/>
      <c r="L60" s="31">
        <f>L22+L56</f>
        <v>1826202.7430237248</v>
      </c>
      <c r="M60" s="31">
        <f>M22+M56</f>
        <v>2876198.8848429834</v>
      </c>
      <c r="N60" s="31">
        <f>N22+N56</f>
        <v>4308390.7558248397</v>
      </c>
      <c r="O60" s="31">
        <f>O22+O56</f>
        <v>5482066.8994580097</v>
      </c>
      <c r="P60" s="31">
        <f>P22+P56</f>
        <v>6514012.7114090919</v>
      </c>
      <c r="Q60" s="24"/>
      <c r="R60" s="25">
        <v>8</v>
      </c>
    </row>
    <row r="61" spans="2:18" ht="12.75" customHeight="1">
      <c r="Q61" s="24"/>
    </row>
    <row r="62" spans="2:18" s="1" customFormat="1" ht="12.75" customHeight="1">
      <c r="B62" s="1" t="s">
        <v>304</v>
      </c>
    </row>
    <row r="63" spans="2:18" ht="12.75" customHeight="1">
      <c r="F63" s="48"/>
      <c r="H63" s="48"/>
      <c r="I63" s="48"/>
      <c r="J63" s="48"/>
      <c r="K63" s="48"/>
      <c r="L63" s="48"/>
      <c r="M63" s="48"/>
      <c r="N63" s="48"/>
      <c r="O63" s="48"/>
      <c r="P63" s="48"/>
      <c r="Q63" s="24"/>
    </row>
    <row r="64" spans="2:18" ht="12.75" customHeight="1">
      <c r="B64" s="7" t="s">
        <v>300</v>
      </c>
      <c r="F64" s="48"/>
      <c r="H64" s="48"/>
      <c r="I64" s="48"/>
      <c r="J64" s="48"/>
      <c r="K64" s="48"/>
      <c r="L64" s="48"/>
      <c r="M64" s="48"/>
      <c r="N64" s="48"/>
      <c r="O64" s="48"/>
      <c r="P64" s="48"/>
      <c r="Q64" s="24"/>
    </row>
    <row r="65" spans="2:18" ht="12.75" customHeight="1">
      <c r="B65" s="8" t="s">
        <v>305</v>
      </c>
      <c r="D65" s="8" t="s">
        <v>80</v>
      </c>
      <c r="F65" s="48"/>
      <c r="H65" s="56"/>
      <c r="I65" s="56"/>
      <c r="J65" s="56"/>
      <c r="K65" s="56"/>
      <c r="L65" s="35">
        <f>L34*L49*L17+L34*L50*L16</f>
        <v>8736631.1482209601</v>
      </c>
      <c r="M65" s="35">
        <f t="shared" ref="M65:P65" si="3">M34*M49*M17+M34*M50*M16</f>
        <v>12647029.250130212</v>
      </c>
      <c r="N65" s="35">
        <f t="shared" si="3"/>
        <v>20467403.85954104</v>
      </c>
      <c r="O65" s="35">
        <f t="shared" si="3"/>
        <v>25434153.573473543</v>
      </c>
      <c r="P65" s="35">
        <f t="shared" si="3"/>
        <v>30315982.292183422</v>
      </c>
      <c r="Q65" s="24"/>
      <c r="R65" s="25">
        <v>8</v>
      </c>
    </row>
    <row r="66" spans="2:18" ht="12.75" customHeight="1">
      <c r="B66" s="8" t="s">
        <v>306</v>
      </c>
      <c r="D66" s="8" t="s">
        <v>80</v>
      </c>
      <c r="F66" s="48"/>
      <c r="H66" s="56"/>
      <c r="I66" s="56"/>
      <c r="J66" s="56"/>
      <c r="K66" s="56"/>
      <c r="L66" s="35">
        <f>L36*L17*L49+L36*L16*L50</f>
        <v>1386447.5177714669</v>
      </c>
      <c r="M66" s="35">
        <f>M36*M17*M49+M36*M16*M50</f>
        <v>1984450.3842392822</v>
      </c>
      <c r="N66" s="35">
        <f>N36*N17*N49+N36*N16*N50</f>
        <v>3173905.6478923229</v>
      </c>
      <c r="O66" s="35">
        <f>O36*O17*O49+O36*O16*O50</f>
        <v>3895837.2710841466</v>
      </c>
      <c r="P66" s="35">
        <f>P36*P17*P49+P36*P16*P50</f>
        <v>4594676.091724555</v>
      </c>
      <c r="Q66" s="24"/>
      <c r="R66" s="25">
        <v>8</v>
      </c>
    </row>
    <row r="67" spans="2:18" ht="12.75" customHeight="1">
      <c r="F67" s="48"/>
      <c r="H67" s="48"/>
      <c r="I67" s="48"/>
      <c r="J67" s="48"/>
      <c r="K67" s="48"/>
      <c r="L67" s="64"/>
      <c r="M67" s="48"/>
      <c r="N67" s="48"/>
      <c r="O67" s="48"/>
      <c r="P67" s="48"/>
      <c r="Q67" s="24"/>
    </row>
    <row r="68" spans="2:18" ht="12.75" customHeight="1">
      <c r="B68" s="7" t="s">
        <v>299</v>
      </c>
      <c r="Q68" s="24"/>
    </row>
    <row r="69" spans="2:18" ht="12.75" customHeight="1">
      <c r="B69" s="8" t="s">
        <v>135</v>
      </c>
      <c r="D69" s="8" t="s">
        <v>80</v>
      </c>
      <c r="H69" s="48"/>
      <c r="I69" s="48"/>
      <c r="J69" s="48"/>
      <c r="K69" s="48"/>
      <c r="L69" s="31">
        <f>L33+L65</f>
        <v>17629824.412582844</v>
      </c>
      <c r="M69" s="31">
        <f t="shared" ref="M69:P69" si="4">M33+M65</f>
        <v>27629471.080287002</v>
      </c>
      <c r="N69" s="31">
        <f t="shared" si="4"/>
        <v>41671476.391443908</v>
      </c>
      <c r="O69" s="31">
        <f t="shared" si="4"/>
        <v>52994431.92588152</v>
      </c>
      <c r="P69" s="31">
        <f t="shared" si="4"/>
        <v>63754632.531542301</v>
      </c>
      <c r="Q69" s="24"/>
      <c r="R69" s="25">
        <v>8</v>
      </c>
    </row>
    <row r="70" spans="2:18" ht="12.75" customHeight="1">
      <c r="B70" s="8" t="s">
        <v>136</v>
      </c>
      <c r="D70" s="8" t="s">
        <v>80</v>
      </c>
      <c r="L70" s="31">
        <f>L35+L66</f>
        <v>3782556.363840986</v>
      </c>
      <c r="M70" s="31">
        <f>M35+M66</f>
        <v>6021196.2794198925</v>
      </c>
      <c r="N70" s="31">
        <f>N35+N66</f>
        <v>8886956.5460432209</v>
      </c>
      <c r="O70" s="31">
        <f>O35+O66</f>
        <v>11321451.985314852</v>
      </c>
      <c r="P70" s="31">
        <f>P35+P66</f>
        <v>13298324.704620291</v>
      </c>
      <c r="Q70" s="24"/>
      <c r="R70" s="25">
        <v>8</v>
      </c>
    </row>
    <row r="71" spans="2:18" ht="12.75" customHeight="1">
      <c r="H71" s="56"/>
      <c r="I71" s="56"/>
      <c r="J71" s="56"/>
      <c r="K71" s="56"/>
      <c r="Q71" s="24"/>
      <c r="R71" s="100"/>
    </row>
    <row r="72" spans="2:18" ht="12.75" customHeight="1">
      <c r="Q72" s="24"/>
      <c r="R72" s="100"/>
    </row>
    <row r="73" spans="2:18" ht="12.75" customHeight="1">
      <c r="Q73" s="24"/>
      <c r="R73" s="100"/>
    </row>
    <row r="74" spans="2:18" ht="12.75" customHeight="1"/>
    <row r="75" spans="2:18" ht="12.75" customHeight="1"/>
    <row r="76" spans="2:18" ht="12.75" customHeight="1"/>
    <row r="77" spans="2:18" ht="12.75" customHeight="1"/>
    <row r="78" spans="2:18" ht="12.75" customHeight="1"/>
    <row r="79" spans="2:18" ht="12.75" customHeight="1"/>
    <row r="80" spans="2:18" ht="12.75" customHeight="1"/>
    <row r="81" ht="12.75" customHeight="1"/>
    <row r="82" ht="12.75" customHeight="1"/>
    <row r="83" ht="12.75" customHeight="1"/>
    <row r="84" ht="12.75" customHeight="1"/>
    <row r="85" ht="12.75" customHeight="1"/>
  </sheetData>
  <mergeCells count="2">
    <mergeCell ref="B5:C5"/>
    <mergeCell ref="B8: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FFFFCC"/>
  </sheetPr>
  <dimension ref="A2:R224"/>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8" customWidth="1"/>
    <col min="2" max="2" width="90.42578125" style="8" customWidth="1"/>
    <col min="3" max="3" width="2.7109375" style="8" customWidth="1"/>
    <col min="4" max="4" width="13.7109375" style="8" customWidth="1"/>
    <col min="5" max="5" width="2.7109375" style="8" customWidth="1"/>
    <col min="6" max="6" width="13.7109375" style="8" customWidth="1"/>
    <col min="7" max="7" width="2.7109375" style="8" customWidth="1"/>
    <col min="8" max="16" width="16.7109375" style="8" customWidth="1"/>
    <col min="17" max="17" width="2.7109375" style="8" customWidth="1"/>
    <col min="18" max="18" width="16.7109375" style="8" customWidth="1"/>
    <col min="19" max="32" width="13.7109375" style="8" customWidth="1"/>
    <col min="33" max="16384" width="9.140625" style="8"/>
  </cols>
  <sheetData>
    <row r="2" spans="1:18" s="23" customFormat="1" ht="18">
      <c r="B2" s="23" t="s">
        <v>108</v>
      </c>
    </row>
    <row r="4" spans="1:18">
      <c r="B4" s="29" t="s">
        <v>56</v>
      </c>
    </row>
    <row r="5" spans="1:18" ht="78" customHeight="1">
      <c r="A5" s="42"/>
      <c r="B5" s="141" t="s">
        <v>362</v>
      </c>
      <c r="C5" s="141"/>
      <c r="D5" s="141"/>
      <c r="E5" s="42"/>
      <c r="F5" s="42"/>
    </row>
    <row r="6" spans="1:18" ht="12.75" customHeight="1">
      <c r="A6" s="42"/>
      <c r="B6" s="44"/>
      <c r="C6" s="44"/>
      <c r="D6" s="42"/>
      <c r="E6" s="42"/>
      <c r="F6" s="42"/>
    </row>
    <row r="7" spans="1:18" ht="12.75" customHeight="1">
      <c r="A7" s="42"/>
      <c r="B7" s="62" t="s">
        <v>30</v>
      </c>
      <c r="C7" s="44"/>
      <c r="D7" s="42"/>
      <c r="E7" s="42"/>
      <c r="F7" s="42"/>
    </row>
    <row r="8" spans="1:18" ht="77.25" customHeight="1">
      <c r="A8" s="42"/>
      <c r="B8" s="141" t="s">
        <v>475</v>
      </c>
      <c r="C8" s="141"/>
      <c r="D8" s="141"/>
      <c r="E8" s="42"/>
      <c r="F8" s="42"/>
    </row>
    <row r="9" spans="1:18">
      <c r="A9" s="42"/>
      <c r="B9" s="42"/>
      <c r="C9" s="42"/>
      <c r="D9" s="42"/>
      <c r="E9" s="42"/>
      <c r="F9" s="42"/>
    </row>
    <row r="10" spans="1:18" s="14" customFormat="1">
      <c r="B10" s="14" t="s">
        <v>45</v>
      </c>
      <c r="D10" s="14" t="s">
        <v>27</v>
      </c>
      <c r="F10" s="14" t="s">
        <v>28</v>
      </c>
      <c r="H10" s="113">
        <v>2018</v>
      </c>
      <c r="I10" s="113">
        <v>2019</v>
      </c>
      <c r="J10" s="113">
        <v>2020</v>
      </c>
      <c r="K10" s="113">
        <v>2021</v>
      </c>
      <c r="L10" s="113">
        <v>2022</v>
      </c>
      <c r="M10" s="113">
        <v>2023</v>
      </c>
      <c r="N10" s="113">
        <v>2024</v>
      </c>
      <c r="O10" s="113">
        <v>2025</v>
      </c>
      <c r="P10" s="113">
        <v>2026</v>
      </c>
      <c r="R10" s="114" t="s">
        <v>119</v>
      </c>
    </row>
    <row r="13" spans="1:18" s="14" customFormat="1">
      <c r="B13" s="14" t="s">
        <v>48</v>
      </c>
    </row>
    <row r="15" spans="1:18">
      <c r="B15" s="7" t="s">
        <v>99</v>
      </c>
    </row>
    <row r="16" spans="1:18">
      <c r="B16" s="8" t="s">
        <v>96</v>
      </c>
      <c r="D16" s="8" t="s">
        <v>104</v>
      </c>
      <c r="L16" s="127">
        <f>'5. Berekening op parameters'!L26</f>
        <v>1.075959948088</v>
      </c>
      <c r="M16" s="127">
        <f>'5. Berekening op parameters'!M26</f>
        <v>1.0953272271535839</v>
      </c>
      <c r="N16" s="127">
        <f>'5. Berekening op parameters'!N26</f>
        <v>1.1150431172423485</v>
      </c>
      <c r="O16" s="127">
        <f>'5. Berekening op parameters'!O26</f>
        <v>1.1351138933527105</v>
      </c>
      <c r="P16" s="127">
        <f>'5. Berekening op parameters'!P26</f>
        <v>1.1555459434330595</v>
      </c>
    </row>
    <row r="17" spans="2:16">
      <c r="B17" s="8" t="s">
        <v>97</v>
      </c>
      <c r="D17" s="8" t="s">
        <v>104</v>
      </c>
      <c r="L17" s="127">
        <f>'5. Berekening op parameters'!L27</f>
        <v>1.0538295280000001</v>
      </c>
      <c r="M17" s="127">
        <f>'5. Berekening op parameters'!M27</f>
        <v>1.0727984595039999</v>
      </c>
      <c r="N17" s="127">
        <f>'5. Berekening op parameters'!N27</f>
        <v>1.092108831775072</v>
      </c>
      <c r="O17" s="127">
        <f>'5. Berekening op parameters'!O27</f>
        <v>1.1117667907470232</v>
      </c>
      <c r="P17" s="127">
        <f>'5. Berekening op parameters'!P27</f>
        <v>1.1317785929804698</v>
      </c>
    </row>
    <row r="18" spans="2:16">
      <c r="B18" s="8" t="s">
        <v>98</v>
      </c>
      <c r="D18" s="8" t="s">
        <v>104</v>
      </c>
      <c r="L18" s="127">
        <f>'5. Berekening op parameters'!L28</f>
        <v>1.025126</v>
      </c>
      <c r="M18" s="127">
        <f>'5. Berekening op parameters'!M28</f>
        <v>1.0435782679999999</v>
      </c>
      <c r="N18" s="127">
        <f>'5. Berekening op parameters'!N28</f>
        <v>1.062362676824</v>
      </c>
      <c r="O18" s="127">
        <f>'5. Berekening op parameters'!O28</f>
        <v>1.081485205006832</v>
      </c>
      <c r="P18" s="127">
        <f>'5. Berekening op parameters'!P28</f>
        <v>1.1009519386969551</v>
      </c>
    </row>
    <row r="19" spans="2:16">
      <c r="B19" s="8" t="s">
        <v>445</v>
      </c>
      <c r="D19" s="8" t="s">
        <v>104</v>
      </c>
      <c r="L19" s="127">
        <f>'5. Berekening op parameters'!L29</f>
        <v>1.018</v>
      </c>
      <c r="M19" s="127">
        <f>'5. Berekening op parameters'!M29</f>
        <v>1.036324</v>
      </c>
      <c r="N19" s="127">
        <f>'5. Berekening op parameters'!N29</f>
        <v>1.0549778320000001</v>
      </c>
      <c r="O19" s="127">
        <f>'5. Berekening op parameters'!O29</f>
        <v>1.0739674329760001</v>
      </c>
      <c r="P19" s="127">
        <f>'5. Berekening op parameters'!P29</f>
        <v>1.0932988467695681</v>
      </c>
    </row>
    <row r="20" spans="2:16">
      <c r="B20" s="8" t="s">
        <v>446</v>
      </c>
      <c r="D20" s="8" t="s">
        <v>104</v>
      </c>
      <c r="L20" s="127">
        <f>'5. Berekening op parameters'!L30</f>
        <v>1</v>
      </c>
      <c r="M20" s="127">
        <f>'5. Berekening op parameters'!M30</f>
        <v>1.018</v>
      </c>
      <c r="N20" s="127">
        <f>'5. Berekening op parameters'!N30</f>
        <v>1.036324</v>
      </c>
      <c r="O20" s="127">
        <f>'5. Berekening op parameters'!O30</f>
        <v>1.0549778320000001</v>
      </c>
      <c r="P20" s="127">
        <f>'5. Berekening op parameters'!P30</f>
        <v>1.0739674329760001</v>
      </c>
    </row>
    <row r="21" spans="2:16">
      <c r="B21" s="8" t="s">
        <v>447</v>
      </c>
      <c r="D21" s="8" t="s">
        <v>104</v>
      </c>
      <c r="L21" s="126"/>
      <c r="M21" s="127">
        <f>'5. Berekening op parameters'!M31</f>
        <v>1</v>
      </c>
      <c r="N21" s="127">
        <f>'5. Berekening op parameters'!N31</f>
        <v>1.018</v>
      </c>
      <c r="O21" s="127">
        <f>'5. Berekening op parameters'!O31</f>
        <v>1.036324</v>
      </c>
      <c r="P21" s="127">
        <f>'5. Berekening op parameters'!P31</f>
        <v>1.0549778320000001</v>
      </c>
    </row>
    <row r="22" spans="2:16">
      <c r="B22" s="8" t="s">
        <v>448</v>
      </c>
      <c r="D22" s="8" t="s">
        <v>104</v>
      </c>
      <c r="L22" s="126"/>
      <c r="M22" s="126"/>
      <c r="N22" s="127">
        <f>'5. Berekening op parameters'!N32</f>
        <v>1</v>
      </c>
      <c r="O22" s="127">
        <f>'5. Berekening op parameters'!O32</f>
        <v>1.018</v>
      </c>
      <c r="P22" s="127">
        <f>'5. Berekening op parameters'!P32</f>
        <v>1.036324</v>
      </c>
    </row>
    <row r="23" spans="2:16">
      <c r="B23" s="8" t="s">
        <v>449</v>
      </c>
      <c r="D23" s="8" t="s">
        <v>104</v>
      </c>
      <c r="L23" s="126"/>
      <c r="M23" s="126"/>
      <c r="N23" s="126"/>
      <c r="O23" s="127">
        <f>'5. Berekening op parameters'!O33</f>
        <v>1</v>
      </c>
      <c r="P23" s="127">
        <f>'5. Berekening op parameters'!P33</f>
        <v>1.018</v>
      </c>
    </row>
    <row r="24" spans="2:16">
      <c r="B24" s="8" t="s">
        <v>450</v>
      </c>
      <c r="D24" s="8" t="s">
        <v>104</v>
      </c>
      <c r="L24" s="126"/>
      <c r="M24" s="126"/>
      <c r="N24" s="126"/>
      <c r="O24" s="126"/>
      <c r="P24" s="127">
        <f>'5. Berekening op parameters'!P34</f>
        <v>1</v>
      </c>
    </row>
    <row r="26" spans="2:16">
      <c r="B26" s="7" t="s">
        <v>100</v>
      </c>
    </row>
    <row r="27" spans="2:16">
      <c r="B27" s="8" t="s">
        <v>101</v>
      </c>
      <c r="D27" s="8" t="s">
        <v>205</v>
      </c>
      <c r="L27" s="127">
        <f>'5. Berekening op parameters'!L41</f>
        <v>0.995</v>
      </c>
      <c r="M27" s="127">
        <f>'5. Berekening op parameters'!M41</f>
        <v>0.99002500000000004</v>
      </c>
      <c r="N27" s="127">
        <f>'5. Berekening op parameters'!N41</f>
        <v>0.98507487500000002</v>
      </c>
      <c r="O27" s="127">
        <f>'5. Berekening op parameters'!O41</f>
        <v>0.98014950062500006</v>
      </c>
      <c r="P27" s="127">
        <f>'5. Berekening op parameters'!P41</f>
        <v>0.97524875312187509</v>
      </c>
    </row>
    <row r="28" spans="2:16">
      <c r="B28" s="8" t="s">
        <v>102</v>
      </c>
      <c r="D28" s="8" t="s">
        <v>205</v>
      </c>
      <c r="L28" s="127">
        <f>'5. Berekening op parameters'!L42</f>
        <v>0.995</v>
      </c>
      <c r="M28" s="127">
        <f>'5. Berekening op parameters'!M42</f>
        <v>0.99002500000000004</v>
      </c>
      <c r="N28" s="127">
        <f>'5. Berekening op parameters'!N42</f>
        <v>0.98507487500000002</v>
      </c>
      <c r="O28" s="127">
        <f>'5. Berekening op parameters'!O42</f>
        <v>0.98014950062500006</v>
      </c>
      <c r="P28" s="127">
        <f>'5. Berekening op parameters'!P42</f>
        <v>0.97524875312187509</v>
      </c>
    </row>
    <row r="29" spans="2:16">
      <c r="B29" s="8" t="s">
        <v>103</v>
      </c>
      <c r="D29" s="8" t="s">
        <v>205</v>
      </c>
      <c r="L29" s="127">
        <f>'5. Berekening op parameters'!L43</f>
        <v>0.995</v>
      </c>
      <c r="M29" s="127">
        <f>'5. Berekening op parameters'!M43</f>
        <v>0.99002500000000004</v>
      </c>
      <c r="N29" s="127">
        <f>'5. Berekening op parameters'!N43</f>
        <v>0.98507487500000002</v>
      </c>
      <c r="O29" s="127">
        <f>'5. Berekening op parameters'!O43</f>
        <v>0.98014950062500006</v>
      </c>
      <c r="P29" s="127">
        <f>'5. Berekening op parameters'!P43</f>
        <v>0.97524875312187509</v>
      </c>
    </row>
    <row r="30" spans="2:16">
      <c r="B30" s="8" t="s">
        <v>451</v>
      </c>
      <c r="D30" s="8" t="s">
        <v>205</v>
      </c>
      <c r="L30" s="127">
        <f>'5. Berekening op parameters'!L44</f>
        <v>0.995</v>
      </c>
      <c r="M30" s="127">
        <f>'5. Berekening op parameters'!M44</f>
        <v>0.99002500000000004</v>
      </c>
      <c r="N30" s="127">
        <f>'5. Berekening op parameters'!N44</f>
        <v>0.98507487500000002</v>
      </c>
      <c r="O30" s="127">
        <f>'5. Berekening op parameters'!O44</f>
        <v>0.98014950062500006</v>
      </c>
      <c r="P30" s="127">
        <f>'5. Berekening op parameters'!P44</f>
        <v>0.97524875312187509</v>
      </c>
    </row>
    <row r="31" spans="2:16">
      <c r="B31" s="8" t="s">
        <v>452</v>
      </c>
      <c r="D31" s="8" t="s">
        <v>205</v>
      </c>
      <c r="L31" s="127">
        <f>'5. Berekening op parameters'!L45</f>
        <v>1</v>
      </c>
      <c r="M31" s="127">
        <f>'5. Berekening op parameters'!M45</f>
        <v>0.995</v>
      </c>
      <c r="N31" s="127">
        <f>'5. Berekening op parameters'!N45</f>
        <v>0.99002500000000004</v>
      </c>
      <c r="O31" s="127">
        <f>'5. Berekening op parameters'!O45</f>
        <v>0.98507487500000002</v>
      </c>
      <c r="P31" s="127">
        <f>'5. Berekening op parameters'!P45</f>
        <v>0.98014950062500006</v>
      </c>
    </row>
    <row r="32" spans="2:16">
      <c r="B32" s="8" t="s">
        <v>453</v>
      </c>
      <c r="D32" s="8" t="s">
        <v>205</v>
      </c>
      <c r="L32" s="126"/>
      <c r="M32" s="127">
        <f>'5. Berekening op parameters'!M46</f>
        <v>1</v>
      </c>
      <c r="N32" s="127">
        <f>'5. Berekening op parameters'!N46</f>
        <v>0.995</v>
      </c>
      <c r="O32" s="127">
        <f>'5. Berekening op parameters'!O46</f>
        <v>0.99002500000000004</v>
      </c>
      <c r="P32" s="127">
        <f>'5. Berekening op parameters'!P46</f>
        <v>0.98507487500000002</v>
      </c>
    </row>
    <row r="33" spans="2:16">
      <c r="B33" s="8" t="s">
        <v>454</v>
      </c>
      <c r="D33" s="8" t="s">
        <v>205</v>
      </c>
      <c r="L33" s="126"/>
      <c r="M33" s="126"/>
      <c r="N33" s="127">
        <f>'5. Berekening op parameters'!N47</f>
        <v>1</v>
      </c>
      <c r="O33" s="127">
        <f>'5. Berekening op parameters'!O47</f>
        <v>0.995</v>
      </c>
      <c r="P33" s="127">
        <f>'5. Berekening op parameters'!P47</f>
        <v>0.99002500000000004</v>
      </c>
    </row>
    <row r="34" spans="2:16">
      <c r="B34" s="8" t="s">
        <v>455</v>
      </c>
      <c r="D34" s="8" t="s">
        <v>205</v>
      </c>
      <c r="L34" s="126"/>
      <c r="M34" s="126"/>
      <c r="N34" s="126"/>
      <c r="O34" s="127">
        <f>'5. Berekening op parameters'!O48</f>
        <v>1</v>
      </c>
      <c r="P34" s="127">
        <f>'5. Berekening op parameters'!P48</f>
        <v>0.995</v>
      </c>
    </row>
    <row r="35" spans="2:16">
      <c r="B35" s="8" t="s">
        <v>456</v>
      </c>
      <c r="D35" s="8" t="s">
        <v>205</v>
      </c>
      <c r="L35" s="126"/>
      <c r="M35" s="126"/>
      <c r="N35" s="126"/>
      <c r="O35" s="126"/>
      <c r="P35" s="127">
        <f>'5. Berekening op parameters'!P49</f>
        <v>1</v>
      </c>
    </row>
    <row r="37" spans="2:16">
      <c r="B37" s="7" t="s">
        <v>287</v>
      </c>
    </row>
    <row r="38" spans="2:16">
      <c r="B38" s="8" t="s">
        <v>457</v>
      </c>
      <c r="D38" s="8" t="s">
        <v>75</v>
      </c>
      <c r="F38" s="43">
        <f>'2. Reguleringsparameters'!F36</f>
        <v>0.01</v>
      </c>
    </row>
    <row r="40" spans="2:16">
      <c r="B40" s="7" t="s">
        <v>265</v>
      </c>
    </row>
    <row r="41" spans="2:16">
      <c r="B41" s="112" t="s">
        <v>266</v>
      </c>
      <c r="D41" s="8" t="s">
        <v>75</v>
      </c>
      <c r="F41" s="43">
        <f>'2. Reguleringsparameters'!F44</f>
        <v>0.01</v>
      </c>
    </row>
    <row r="42" spans="2:16">
      <c r="B42" s="112" t="s">
        <v>267</v>
      </c>
      <c r="D42" s="8" t="s">
        <v>75</v>
      </c>
      <c r="F42" s="43">
        <f>'2. Reguleringsparameters'!F45</f>
        <v>3.4000000000000002E-2</v>
      </c>
    </row>
    <row r="44" spans="2:16">
      <c r="B44" s="7" t="s">
        <v>351</v>
      </c>
    </row>
    <row r="45" spans="2:16">
      <c r="B45" s="8" t="s">
        <v>345</v>
      </c>
      <c r="D45" s="8" t="s">
        <v>75</v>
      </c>
      <c r="F45" s="116">
        <f>'2. Reguleringsparameters'!F54</f>
        <v>0.33600000000000002</v>
      </c>
    </row>
    <row r="46" spans="2:16">
      <c r="B46" s="8" t="s">
        <v>346</v>
      </c>
      <c r="D46" s="8" t="s">
        <v>75</v>
      </c>
      <c r="F46" s="116">
        <f>'2. Reguleringsparameters'!F55</f>
        <v>0.16</v>
      </c>
    </row>
    <row r="47" spans="2:16">
      <c r="B47" s="8" t="s">
        <v>347</v>
      </c>
      <c r="D47" s="8" t="s">
        <v>75</v>
      </c>
      <c r="F47" s="116">
        <f>'2. Reguleringsparameters'!F56</f>
        <v>0.24</v>
      </c>
    </row>
    <row r="48" spans="2:16">
      <c r="B48" s="8" t="s">
        <v>348</v>
      </c>
      <c r="D48" s="8" t="s">
        <v>75</v>
      </c>
      <c r="F48" s="116">
        <f>'2. Reguleringsparameters'!F57</f>
        <v>0.33</v>
      </c>
    </row>
    <row r="49" spans="2:10">
      <c r="B49" s="8" t="s">
        <v>349</v>
      </c>
      <c r="D49" s="8" t="s">
        <v>75</v>
      </c>
      <c r="F49" s="116">
        <f>'2. Reguleringsparameters'!F58</f>
        <v>0.50600000000000001</v>
      </c>
    </row>
    <row r="50" spans="2:10">
      <c r="B50" s="8" t="s">
        <v>350</v>
      </c>
      <c r="D50" s="8" t="s">
        <v>75</v>
      </c>
      <c r="F50" s="116">
        <f>'2. Reguleringsparameters'!F59</f>
        <v>0.76</v>
      </c>
    </row>
    <row r="52" spans="2:10">
      <c r="B52" s="7" t="s">
        <v>243</v>
      </c>
    </row>
    <row r="53" spans="2:10">
      <c r="B53" s="8" t="s">
        <v>322</v>
      </c>
      <c r="D53" s="8" t="s">
        <v>80</v>
      </c>
      <c r="H53" s="34">
        <f>'4. Operationele kosten'!H16</f>
        <v>31016768.482756212</v>
      </c>
      <c r="I53" s="34">
        <f>'4. Operationele kosten'!I16</f>
        <v>14971151.168855133</v>
      </c>
      <c r="J53" s="34">
        <f>'4. Operationele kosten'!J16</f>
        <v>22400776.093696482</v>
      </c>
    </row>
    <row r="54" spans="2:10">
      <c r="B54" s="8" t="s">
        <v>83</v>
      </c>
      <c r="D54" s="8" t="s">
        <v>80</v>
      </c>
      <c r="H54" s="34">
        <f>'4. Operationele kosten'!H17</f>
        <v>-10082448.097243795</v>
      </c>
      <c r="I54" s="34">
        <f>'4. Operationele kosten'!I17</f>
        <v>-8352546.3211448845</v>
      </c>
      <c r="J54" s="34">
        <f>'4. Operationele kosten'!J17</f>
        <v>-10170981.465065157</v>
      </c>
    </row>
    <row r="56" spans="2:10">
      <c r="B56" s="7" t="s">
        <v>244</v>
      </c>
    </row>
    <row r="57" spans="2:10">
      <c r="B57" s="8" t="s">
        <v>333</v>
      </c>
      <c r="D57" s="8" t="s">
        <v>80</v>
      </c>
      <c r="H57" s="34">
        <f>'4. Operationele kosten'!H20</f>
        <v>1916795.0100000005</v>
      </c>
      <c r="I57" s="34">
        <f>'4. Operationele kosten'!I20</f>
        <v>1969643.6899999992</v>
      </c>
      <c r="J57" s="34">
        <f>'4. Operationele kosten'!J20</f>
        <v>2026487.56</v>
      </c>
    </row>
    <row r="58" spans="2:10">
      <c r="B58" s="8" t="s">
        <v>210</v>
      </c>
      <c r="D58" s="8" t="s">
        <v>80</v>
      </c>
      <c r="H58" s="34">
        <f>'4. Operationele kosten'!H21</f>
        <v>1850619.4818000002</v>
      </c>
      <c r="I58" s="34">
        <f>'4. Operationele kosten'!I21</f>
        <v>2378233.3211999997</v>
      </c>
      <c r="J58" s="34">
        <f>'4. Operationele kosten'!J21</f>
        <v>2283915.7948000007</v>
      </c>
    </row>
    <row r="59" spans="2:10">
      <c r="B59" s="8" t="s">
        <v>331</v>
      </c>
      <c r="D59" s="8" t="s">
        <v>80</v>
      </c>
      <c r="H59" s="34">
        <f>'4. Operationele kosten'!H22</f>
        <v>157721.62659999996</v>
      </c>
      <c r="I59" s="34">
        <f>'4. Operationele kosten'!I22</f>
        <v>225984.31639999998</v>
      </c>
      <c r="J59" s="34">
        <f>'4. Operationele kosten'!J22</f>
        <v>121173.02679999998</v>
      </c>
    </row>
    <row r="60" spans="2:10">
      <c r="B60" s="8" t="s">
        <v>332</v>
      </c>
      <c r="D60" s="8" t="s">
        <v>80</v>
      </c>
      <c r="H60" s="34">
        <f>'4. Operationele kosten'!H23</f>
        <v>3690025.19</v>
      </c>
      <c r="I60" s="34">
        <f>'4. Operationele kosten'!I23</f>
        <v>2912891.6199999996</v>
      </c>
      <c r="J60" s="34">
        <f>'4. Operationele kosten'!J23</f>
        <v>2756493.4000000004</v>
      </c>
    </row>
    <row r="62" spans="2:10">
      <c r="B62" s="7" t="s">
        <v>203</v>
      </c>
    </row>
    <row r="63" spans="2:10">
      <c r="B63" s="8" t="s">
        <v>226</v>
      </c>
      <c r="D63" s="8" t="s">
        <v>80</v>
      </c>
      <c r="H63" s="138" t="s">
        <v>564</v>
      </c>
      <c r="I63" s="138" t="s">
        <v>567</v>
      </c>
      <c r="J63" s="138" t="s">
        <v>570</v>
      </c>
    </row>
    <row r="64" spans="2:10">
      <c r="B64" s="8" t="s">
        <v>227</v>
      </c>
      <c r="D64" s="8" t="s">
        <v>80</v>
      </c>
      <c r="H64" s="138" t="s">
        <v>565</v>
      </c>
      <c r="I64" s="138" t="s">
        <v>568</v>
      </c>
      <c r="J64" s="138" t="s">
        <v>571</v>
      </c>
    </row>
    <row r="65" spans="2:10">
      <c r="B65" s="8" t="s">
        <v>228</v>
      </c>
      <c r="D65" s="8" t="s">
        <v>80</v>
      </c>
      <c r="H65" s="138" t="s">
        <v>566</v>
      </c>
      <c r="I65" s="138" t="s">
        <v>569</v>
      </c>
      <c r="J65" s="138" t="s">
        <v>572</v>
      </c>
    </row>
    <row r="67" spans="2:10">
      <c r="B67" s="7" t="s">
        <v>245</v>
      </c>
    </row>
    <row r="68" spans="2:10">
      <c r="B68" s="8" t="s">
        <v>323</v>
      </c>
      <c r="D68" s="8" t="s">
        <v>80</v>
      </c>
      <c r="H68" s="34">
        <f>'4. Operationele kosten'!H33</f>
        <v>59519146.070000015</v>
      </c>
      <c r="I68" s="34">
        <f>'4. Operationele kosten'!I33</f>
        <v>71643410.619999945</v>
      </c>
      <c r="J68" s="34">
        <f>'4. Operationele kosten'!J33</f>
        <v>73023761.894999951</v>
      </c>
    </row>
    <row r="69" spans="2:10">
      <c r="B69" s="8" t="s">
        <v>211</v>
      </c>
      <c r="D69" s="8" t="s">
        <v>80</v>
      </c>
      <c r="H69" s="34">
        <f>'4. Operationele kosten'!H34</f>
        <v>21124302.600000001</v>
      </c>
      <c r="I69" s="34">
        <f>'4. Operationele kosten'!I34</f>
        <v>20364643.440000001</v>
      </c>
      <c r="J69" s="34">
        <f>'4. Operationele kosten'!J34</f>
        <v>20963010.800000001</v>
      </c>
    </row>
    <row r="71" spans="2:10">
      <c r="B71" s="7" t="s">
        <v>246</v>
      </c>
    </row>
    <row r="72" spans="2:10">
      <c r="B72" s="8" t="s">
        <v>333</v>
      </c>
      <c r="D72" s="8" t="s">
        <v>80</v>
      </c>
      <c r="H72" s="34">
        <f>'4. Operationele kosten'!H37</f>
        <v>2714075.2500000005</v>
      </c>
      <c r="I72" s="34">
        <f>'4. Operationele kosten'!I37</f>
        <v>2438124.1699999995</v>
      </c>
      <c r="J72" s="34">
        <f>'4. Operationele kosten'!J37</f>
        <v>2660609.0799999996</v>
      </c>
    </row>
    <row r="73" spans="2:10">
      <c r="B73" s="8" t="s">
        <v>210</v>
      </c>
      <c r="D73" s="8" t="s">
        <v>80</v>
      </c>
      <c r="H73" s="34">
        <f>'4. Operationele kosten'!H38</f>
        <v>1261796.2781999989</v>
      </c>
      <c r="I73" s="34">
        <f>'4. Operationele kosten'!I38</f>
        <v>1392655.9087999999</v>
      </c>
      <c r="J73" s="34">
        <f>'4. Operationele kosten'!J38</f>
        <v>1244763.2351999998</v>
      </c>
    </row>
    <row r="74" spans="2:10">
      <c r="B74" s="8" t="s">
        <v>331</v>
      </c>
      <c r="D74" s="8" t="s">
        <v>80</v>
      </c>
      <c r="H74" s="34">
        <f>'4. Operationele kosten'!H39</f>
        <v>730937.00339999981</v>
      </c>
      <c r="I74" s="34">
        <f>'4. Operationele kosten'!I39</f>
        <v>1149996.3835999998</v>
      </c>
      <c r="J74" s="34">
        <f>'4. Operationele kosten'!J39</f>
        <v>531339.9632</v>
      </c>
    </row>
    <row r="76" spans="2:10">
      <c r="B76" s="7" t="s">
        <v>204</v>
      </c>
    </row>
    <row r="77" spans="2:10">
      <c r="B77" s="8" t="s">
        <v>226</v>
      </c>
      <c r="D77" s="8" t="s">
        <v>80</v>
      </c>
      <c r="H77" s="138" t="s">
        <v>573</v>
      </c>
      <c r="I77" s="138" t="s">
        <v>576</v>
      </c>
      <c r="J77" s="138" t="s">
        <v>579</v>
      </c>
    </row>
    <row r="78" spans="2:10">
      <c r="B78" s="8" t="s">
        <v>227</v>
      </c>
      <c r="D78" s="8" t="s">
        <v>80</v>
      </c>
      <c r="H78" s="138" t="s">
        <v>574</v>
      </c>
      <c r="I78" s="138" t="s">
        <v>577</v>
      </c>
      <c r="J78" s="138" t="s">
        <v>580</v>
      </c>
    </row>
    <row r="79" spans="2:10">
      <c r="B79" s="8" t="s">
        <v>228</v>
      </c>
      <c r="D79" s="8" t="s">
        <v>80</v>
      </c>
      <c r="H79" s="138" t="s">
        <v>575</v>
      </c>
      <c r="I79" s="138" t="s">
        <v>578</v>
      </c>
      <c r="J79" s="138" t="s">
        <v>581</v>
      </c>
    </row>
    <row r="81" spans="2:10">
      <c r="B81" s="7" t="s">
        <v>247</v>
      </c>
    </row>
    <row r="82" spans="2:10">
      <c r="B82" s="8" t="s">
        <v>358</v>
      </c>
      <c r="D82" s="8" t="s">
        <v>80</v>
      </c>
      <c r="H82" s="34">
        <f>'4. Operationele kosten'!H49</f>
        <v>95973462.635111362</v>
      </c>
      <c r="I82" s="34">
        <f>'4. Operationele kosten'!I49</f>
        <v>94619920.99212943</v>
      </c>
      <c r="J82" s="34">
        <f>'4. Operationele kosten'!J49</f>
        <v>114764840.91223219</v>
      </c>
    </row>
    <row r="83" spans="2:10">
      <c r="B83" s="8" t="s">
        <v>359</v>
      </c>
      <c r="D83" s="8" t="s">
        <v>80</v>
      </c>
      <c r="H83" s="34">
        <f>'4. Operationele kosten'!H50</f>
        <v>52186641.654888637</v>
      </c>
      <c r="I83" s="34">
        <f>'4. Operationele kosten'!I50</f>
        <v>58966676.657870598</v>
      </c>
      <c r="J83" s="34">
        <f>'4. Operationele kosten'!J50</f>
        <v>57727032.277767785</v>
      </c>
    </row>
    <row r="84" spans="2:10">
      <c r="B84" s="8" t="s">
        <v>360</v>
      </c>
      <c r="D84" s="8" t="s">
        <v>80</v>
      </c>
      <c r="H84" s="34">
        <f>'4. Operationele kosten'!H51</f>
        <v>13332997.349999862</v>
      </c>
      <c r="I84" s="34">
        <f>'4. Operationele kosten'!I51</f>
        <v>-4033775.4499998912</v>
      </c>
      <c r="J84" s="34">
        <f>'4. Operationele kosten'!J51</f>
        <v>4257567.7600001208</v>
      </c>
    </row>
    <row r="86" spans="2:10">
      <c r="B86" s="7" t="s">
        <v>396</v>
      </c>
    </row>
    <row r="87" spans="2:10">
      <c r="B87" s="8" t="s">
        <v>333</v>
      </c>
      <c r="D87" s="8" t="s">
        <v>80</v>
      </c>
      <c r="H87" s="34">
        <f>'4. Operationele kosten'!H54</f>
        <v>62678.673099999993</v>
      </c>
      <c r="I87" s="34">
        <f>'4. Operationele kosten'!I54</f>
        <v>149300.92079999999</v>
      </c>
      <c r="J87" s="34">
        <f>'4. Operationele kosten'!J54</f>
        <v>126001.21919999999</v>
      </c>
    </row>
    <row r="88" spans="2:10">
      <c r="B88" s="8" t="s">
        <v>374</v>
      </c>
      <c r="D88" s="8" t="s">
        <v>80</v>
      </c>
      <c r="H88" s="34">
        <f>'4. Operationele kosten'!H55</f>
        <v>25069.307497870712</v>
      </c>
      <c r="I88" s="34">
        <f>'4. Operationele kosten'!I55</f>
        <v>25085.645318458082</v>
      </c>
      <c r="J88" s="34">
        <f>'4. Operationele kosten'!J55</f>
        <v>40786.908784958643</v>
      </c>
    </row>
    <row r="89" spans="2:10">
      <c r="B89" s="8" t="s">
        <v>375</v>
      </c>
      <c r="D89" s="8" t="s">
        <v>80</v>
      </c>
      <c r="H89" s="34">
        <f>'4. Operationele kosten'!H56</f>
        <v>8638139.9810210541</v>
      </c>
      <c r="I89" s="34">
        <f>'4. Operationele kosten'!I56</f>
        <v>7372072.1377573246</v>
      </c>
      <c r="J89" s="34">
        <f>'4. Operationele kosten'!J56</f>
        <v>8657622.4433206506</v>
      </c>
    </row>
    <row r="90" spans="2:10">
      <c r="B90" s="8" t="s">
        <v>334</v>
      </c>
      <c r="D90" s="8" t="s">
        <v>80</v>
      </c>
      <c r="H90" s="34">
        <f>'4. Operationele kosten'!H57</f>
        <v>941479.55991384038</v>
      </c>
      <c r="I90" s="34">
        <f>'4. Operationele kosten'!I57</f>
        <v>948122.07470568479</v>
      </c>
      <c r="J90" s="34">
        <f>'4. Operationele kosten'!J57</f>
        <v>896623.43631474697</v>
      </c>
    </row>
    <row r="91" spans="2:10">
      <c r="B91" s="8" t="s">
        <v>390</v>
      </c>
      <c r="D91" s="8" t="s">
        <v>80</v>
      </c>
      <c r="H91" s="34">
        <f>'4. Operationele kosten'!H58</f>
        <v>379443.06701699505</v>
      </c>
      <c r="I91" s="34">
        <f>'4. Operationele kosten'!I58</f>
        <v>272702.39978741592</v>
      </c>
      <c r="J91" s="34">
        <f>'4. Operationele kosten'!J58</f>
        <v>245267.37996084959</v>
      </c>
    </row>
    <row r="92" spans="2:10">
      <c r="B92" s="8" t="s">
        <v>391</v>
      </c>
      <c r="D92" s="8" t="s">
        <v>80</v>
      </c>
      <c r="H92" s="34">
        <f>'4. Operationele kosten'!H59</f>
        <v>552417.73588101869</v>
      </c>
      <c r="I92" s="34">
        <f>'4. Operationele kosten'!I59</f>
        <v>694649.38925039407</v>
      </c>
      <c r="J92" s="34">
        <f>'4. Operationele kosten'!J59</f>
        <v>785398.78668973362</v>
      </c>
    </row>
    <row r="93" spans="2:10">
      <c r="B93" s="8" t="s">
        <v>376</v>
      </c>
      <c r="D93" s="8" t="s">
        <v>80</v>
      </c>
      <c r="H93" s="34">
        <f>'4. Operationele kosten'!H60</f>
        <v>280927.35520436661</v>
      </c>
      <c r="I93" s="34">
        <f>'4. Operationele kosten'!I60</f>
        <v>298110.95553787274</v>
      </c>
      <c r="J93" s="34">
        <f>'4. Operationele kosten'!J60</f>
        <v>404556.57786120451</v>
      </c>
    </row>
    <row r="94" spans="2:10">
      <c r="B94" s="8" t="s">
        <v>377</v>
      </c>
      <c r="D94" s="8" t="s">
        <v>80</v>
      </c>
      <c r="H94" s="34">
        <f>'4. Operationele kosten'!H61</f>
        <v>1850097.579797494</v>
      </c>
      <c r="I94" s="34">
        <f>'4. Operationele kosten'!I61</f>
        <v>1912103.8707169078</v>
      </c>
      <c r="J94" s="34">
        <f>'4. Operationele kosten'!J61</f>
        <v>1873339.7464666641</v>
      </c>
    </row>
    <row r="96" spans="2:10">
      <c r="B96" s="7" t="s">
        <v>395</v>
      </c>
    </row>
    <row r="97" spans="2:16">
      <c r="B97" s="8" t="s">
        <v>333</v>
      </c>
      <c r="D97" s="8" t="s">
        <v>80</v>
      </c>
      <c r="H97" s="34">
        <f>'4. Operationele kosten'!H64</f>
        <v>209837.29689999999</v>
      </c>
      <c r="I97" s="34">
        <f>'4. Operationele kosten'!I64</f>
        <v>472786.24920000002</v>
      </c>
      <c r="J97" s="34">
        <f>'4. Operationele kosten'!J64</f>
        <v>399003.86079999997</v>
      </c>
    </row>
    <row r="98" spans="2:16">
      <c r="B98" s="8" t="s">
        <v>374</v>
      </c>
      <c r="D98" s="8" t="s">
        <v>80</v>
      </c>
      <c r="H98" s="34">
        <f>'4. Operationele kosten'!H65</f>
        <v>83927.681623306285</v>
      </c>
      <c r="I98" s="34">
        <f>'4. Operationele kosten'!I65</f>
        <v>79437.876841783931</v>
      </c>
      <c r="J98" s="34">
        <f>'4. Operationele kosten'!J65</f>
        <v>129158.54448570237</v>
      </c>
    </row>
    <row r="99" spans="2:16">
      <c r="B99" s="8" t="s">
        <v>375</v>
      </c>
      <c r="D99" s="8" t="s">
        <v>80</v>
      </c>
      <c r="H99" s="34">
        <f>'4. Operationele kosten'!H66</f>
        <v>7871372.8113389993</v>
      </c>
      <c r="I99" s="34">
        <f>'4. Operationele kosten'!I66</f>
        <v>6763470.699494265</v>
      </c>
      <c r="J99" s="34">
        <f>'4. Operationele kosten'!J66</f>
        <v>8478904.0944230184</v>
      </c>
    </row>
    <row r="100" spans="2:16">
      <c r="B100" s="8" t="s">
        <v>334</v>
      </c>
      <c r="D100" s="8" t="s">
        <v>80</v>
      </c>
      <c r="H100" s="34">
        <f>'4. Operationele kosten'!H67</f>
        <v>3151909.8310158891</v>
      </c>
      <c r="I100" s="34">
        <f>'4. Operationele kosten'!I67</f>
        <v>3002386.5699013392</v>
      </c>
      <c r="J100" s="34">
        <f>'4. Operationele kosten'!J67</f>
        <v>2839307.5483300369</v>
      </c>
    </row>
    <row r="101" spans="2:16">
      <c r="B101" s="8" t="s">
        <v>390</v>
      </c>
      <c r="D101" s="8" t="s">
        <v>80</v>
      </c>
      <c r="H101" s="34">
        <f>'4. Operationele kosten'!H68</f>
        <v>1270309.3982742878</v>
      </c>
      <c r="I101" s="34">
        <f>'4. Operationele kosten'!I68</f>
        <v>863557.59932681732</v>
      </c>
      <c r="J101" s="34">
        <f>'4. Operationele kosten'!J68</f>
        <v>776680.03654269036</v>
      </c>
    </row>
    <row r="102" spans="2:16">
      <c r="B102" s="8" t="s">
        <v>391</v>
      </c>
      <c r="D102" s="8" t="s">
        <v>80</v>
      </c>
      <c r="H102" s="34">
        <f>'4. Operationele kosten'!H69</f>
        <v>1849398.5070799321</v>
      </c>
      <c r="I102" s="34">
        <f>'4. Operationele kosten'!I69</f>
        <v>2199723.0659595812</v>
      </c>
      <c r="J102" s="34">
        <f>'4. Operationele kosten'!J69</f>
        <v>2487096.1578508229</v>
      </c>
    </row>
    <row r="103" spans="2:16">
      <c r="B103" s="8" t="s">
        <v>376</v>
      </c>
      <c r="D103" s="8" t="s">
        <v>80</v>
      </c>
      <c r="H103" s="34">
        <f>'4. Operationele kosten'!H70</f>
        <v>940495.92829286936</v>
      </c>
      <c r="I103" s="34">
        <f>'4. Operationele kosten'!I70</f>
        <v>944018.02586993435</v>
      </c>
      <c r="J103" s="34">
        <f>'4. Operationele kosten'!J70</f>
        <v>1281095.8298938205</v>
      </c>
    </row>
    <row r="104" spans="2:16">
      <c r="B104" s="8" t="s">
        <v>377</v>
      </c>
      <c r="D104" s="8" t="s">
        <v>80</v>
      </c>
      <c r="H104" s="34">
        <f>'4. Operationele kosten'!H71</f>
        <v>6193804.9410611782</v>
      </c>
      <c r="I104" s="34">
        <f>'4. Operationele kosten'!I71</f>
        <v>6054995.5906035407</v>
      </c>
      <c r="J104" s="34">
        <f>'4. Operationele kosten'!J71</f>
        <v>5932242.5304777697</v>
      </c>
    </row>
    <row r="106" spans="2:16">
      <c r="B106" s="7" t="s">
        <v>293</v>
      </c>
    </row>
    <row r="107" spans="2:16">
      <c r="B107" s="8" t="s">
        <v>422</v>
      </c>
      <c r="D107" s="8" t="s">
        <v>80</v>
      </c>
      <c r="H107" s="34">
        <f>'3. GAW model'!H55</f>
        <v>2208557789.0624371</v>
      </c>
      <c r="I107" s="34">
        <f>'3. GAW model'!I55</f>
        <v>2469632477.2863765</v>
      </c>
      <c r="J107" s="34">
        <f>'3. GAW model'!J55</f>
        <v>2879841595.7457714</v>
      </c>
      <c r="K107" s="34">
        <f>'3. GAW model'!K55</f>
        <v>2966897085.4281526</v>
      </c>
      <c r="L107" s="34">
        <f>'3. GAW model'!L55</f>
        <v>3020301232.9658608</v>
      </c>
      <c r="M107" s="34">
        <f>'3. GAW model'!M55</f>
        <v>3074666655.159246</v>
      </c>
      <c r="N107" s="34">
        <f>'3. GAW model'!N55</f>
        <v>3130010654.9521141</v>
      </c>
      <c r="O107" s="34">
        <f>'3. GAW model'!O55</f>
        <v>3186350846.7412548</v>
      </c>
      <c r="P107" s="34">
        <f>'3. GAW model'!P55</f>
        <v>3243705161.9825974</v>
      </c>
    </row>
    <row r="108" spans="2:16">
      <c r="B108" s="8" t="s">
        <v>398</v>
      </c>
      <c r="D108" s="8" t="s">
        <v>80</v>
      </c>
      <c r="H108" s="34">
        <f>'3. GAW model'!H56</f>
        <v>0</v>
      </c>
      <c r="I108" s="34">
        <f>'3. GAW model'!I56</f>
        <v>0</v>
      </c>
      <c r="J108" s="34">
        <f>'3. GAW model'!J56</f>
        <v>0</v>
      </c>
      <c r="K108" s="34">
        <f>'3. GAW model'!K56</f>
        <v>18604514.913461395</v>
      </c>
      <c r="L108" s="34">
        <f>'3. GAW model'!L56</f>
        <v>37878792.363807403</v>
      </c>
      <c r="M108" s="34">
        <f>'3. GAW model'!M56</f>
        <v>38560610.626355939</v>
      </c>
      <c r="N108" s="34">
        <f>'3. GAW model'!N56</f>
        <v>39254701.61763034</v>
      </c>
      <c r="O108" s="34">
        <f>'3. GAW model'!O56</f>
        <v>39961286.24674768</v>
      </c>
      <c r="P108" s="34">
        <f>'3. GAW model'!P56</f>
        <v>40680589.399189152</v>
      </c>
    </row>
    <row r="109" spans="2:16">
      <c r="B109" s="8" t="s">
        <v>399</v>
      </c>
      <c r="D109" s="8" t="s">
        <v>80</v>
      </c>
      <c r="H109" s="34">
        <f>'3. GAW model'!H57</f>
        <v>0</v>
      </c>
      <c r="I109" s="34">
        <f>'3. GAW model'!I57</f>
        <v>0</v>
      </c>
      <c r="J109" s="34">
        <f>'3. GAW model'!J57</f>
        <v>0</v>
      </c>
      <c r="K109" s="34">
        <f>'3. GAW model'!K57</f>
        <v>0</v>
      </c>
      <c r="L109" s="34">
        <f>'3. GAW model'!L57</f>
        <v>18844699.200994186</v>
      </c>
      <c r="M109" s="34">
        <f>'3. GAW model'!M57</f>
        <v>38367807.573224157</v>
      </c>
      <c r="N109" s="34">
        <f>'3. GAW model'!N57</f>
        <v>39058428.109542198</v>
      </c>
      <c r="O109" s="34">
        <f>'3. GAW model'!O57</f>
        <v>39761479.815513961</v>
      </c>
      <c r="P109" s="34">
        <f>'3. GAW model'!P57</f>
        <v>40477186.452193215</v>
      </c>
    </row>
    <row r="110" spans="2:16">
      <c r="B110" s="8" t="s">
        <v>400</v>
      </c>
      <c r="D110" s="8" t="s">
        <v>80</v>
      </c>
      <c r="H110" s="34">
        <f>'3. GAW model'!H58</f>
        <v>0</v>
      </c>
      <c r="I110" s="34">
        <f>'3. GAW model'!I58</f>
        <v>0</v>
      </c>
      <c r="J110" s="34">
        <f>'3. GAW model'!J58</f>
        <v>0</v>
      </c>
      <c r="K110" s="34">
        <f>'3. GAW model'!K58</f>
        <v>0</v>
      </c>
      <c r="L110" s="34">
        <f>'3. GAW model'!L58</f>
        <v>0</v>
      </c>
      <c r="M110" s="34">
        <f>'3. GAW model'!M58</f>
        <v>19087984.267679021</v>
      </c>
      <c r="N110" s="34">
        <f>'3. GAW model'!N58</f>
        <v>38863135.968994476</v>
      </c>
      <c r="O110" s="34">
        <f>'3. GAW model'!O58</f>
        <v>39562672.416436389</v>
      </c>
      <c r="P110" s="34">
        <f>'3. GAW model'!P58</f>
        <v>40274800.51993224</v>
      </c>
    </row>
    <row r="111" spans="2:16">
      <c r="B111" s="8" t="s">
        <v>401</v>
      </c>
      <c r="D111" s="8" t="s">
        <v>80</v>
      </c>
      <c r="H111" s="34">
        <f>'3. GAW model'!H59</f>
        <v>0</v>
      </c>
      <c r="I111" s="34">
        <f>'3. GAW model'!I59</f>
        <v>0</v>
      </c>
      <c r="J111" s="34">
        <f>'3. GAW model'!J59</f>
        <v>0</v>
      </c>
      <c r="K111" s="34">
        <f>'3. GAW model'!K59</f>
        <v>0</v>
      </c>
      <c r="L111" s="34">
        <f>'3. GAW model'!L59</f>
        <v>0</v>
      </c>
      <c r="M111" s="34">
        <f>'3. GAW model'!M59</f>
        <v>0</v>
      </c>
      <c r="N111" s="34">
        <f>'3. GAW model'!N59</f>
        <v>19334410.14457475</v>
      </c>
      <c r="O111" s="34">
        <f>'3. GAW model'!O59</f>
        <v>39364859.054354213</v>
      </c>
      <c r="P111" s="34">
        <f>'3. GAW model'!P59</f>
        <v>40073426.517332576</v>
      </c>
    </row>
    <row r="112" spans="2:16">
      <c r="B112" s="8" t="s">
        <v>402</v>
      </c>
      <c r="D112" s="8" t="s">
        <v>80</v>
      </c>
      <c r="H112" s="34">
        <f>'3. GAW model'!H60</f>
        <v>0</v>
      </c>
      <c r="I112" s="34">
        <f>'3. GAW model'!I60</f>
        <v>0</v>
      </c>
      <c r="J112" s="34">
        <f>'3. GAW model'!J60</f>
        <v>0</v>
      </c>
      <c r="K112" s="34">
        <f>'3. GAW model'!K60</f>
        <v>0</v>
      </c>
      <c r="L112" s="34">
        <f>'3. GAW model'!L60</f>
        <v>0</v>
      </c>
      <c r="M112" s="34">
        <f>'3. GAW model'!M60</f>
        <v>0</v>
      </c>
      <c r="N112" s="34">
        <f>'3. GAW model'!N60</f>
        <v>0</v>
      </c>
      <c r="O112" s="34">
        <f>'3. GAW model'!O60</f>
        <v>19584017.379541215</v>
      </c>
      <c r="P112" s="34">
        <f>'3. GAW model'!P60</f>
        <v>39873059.384745903</v>
      </c>
    </row>
    <row r="113" spans="2:16">
      <c r="B113" s="8" t="s">
        <v>403</v>
      </c>
      <c r="D113" s="8" t="s">
        <v>80</v>
      </c>
      <c r="H113" s="34">
        <f>'3. GAW model'!H61</f>
        <v>0</v>
      </c>
      <c r="I113" s="34">
        <f>'3. GAW model'!I61</f>
        <v>0</v>
      </c>
      <c r="J113" s="34">
        <f>'3. GAW model'!J61</f>
        <v>0</v>
      </c>
      <c r="K113" s="34">
        <f>'3. GAW model'!K61</f>
        <v>0</v>
      </c>
      <c r="L113" s="34">
        <f>'3. GAW model'!L61</f>
        <v>0</v>
      </c>
      <c r="M113" s="34">
        <f>'3. GAW model'!M61</f>
        <v>0</v>
      </c>
      <c r="N113" s="34">
        <f>'3. GAW model'!N61</f>
        <v>0</v>
      </c>
      <c r="O113" s="34">
        <f>'3. GAW model'!O61</f>
        <v>0</v>
      </c>
      <c r="P113" s="34">
        <f>'3. GAW model'!P61</f>
        <v>19836847.043911099</v>
      </c>
    </row>
    <row r="115" spans="2:16">
      <c r="B115" s="8" t="s">
        <v>423</v>
      </c>
      <c r="D115" s="8" t="s">
        <v>80</v>
      </c>
      <c r="H115" s="34">
        <f>'3. GAW model'!H63</f>
        <v>246155076.6395869</v>
      </c>
      <c r="I115" s="34">
        <f>'3. GAW model'!I63</f>
        <v>307974376.07155591</v>
      </c>
      <c r="J115" s="34">
        <f>'3. GAW model'!J63</f>
        <v>365464385.44380444</v>
      </c>
      <c r="K115" s="34">
        <f>'3. GAW model'!K63</f>
        <v>386958326.75879067</v>
      </c>
      <c r="L115" s="34">
        <f>'3. GAW model'!L63</f>
        <v>393923576.64044899</v>
      </c>
      <c r="M115" s="34">
        <f>'3. GAW model'!M63</f>
        <v>401014201.01997727</v>
      </c>
      <c r="N115" s="34">
        <f>'3. GAW model'!N63</f>
        <v>408232456.63833666</v>
      </c>
      <c r="O115" s="34">
        <f>'3. GAW model'!O63</f>
        <v>415580640.85782695</v>
      </c>
      <c r="P115" s="34">
        <f>'3. GAW model'!P63</f>
        <v>423061092.39326805</v>
      </c>
    </row>
    <row r="116" spans="2:16">
      <c r="B116" s="8" t="s">
        <v>404</v>
      </c>
      <c r="D116" s="8" t="s">
        <v>80</v>
      </c>
      <c r="H116" s="34">
        <f>'3. GAW model'!H64</f>
        <v>0</v>
      </c>
      <c r="I116" s="34">
        <f>'3. GAW model'!I64</f>
        <v>0</v>
      </c>
      <c r="J116" s="34">
        <f>'3. GAW model'!J64</f>
        <v>0</v>
      </c>
      <c r="K116" s="34">
        <f>'3. GAW model'!K64</f>
        <v>9102443.8855795767</v>
      </c>
      <c r="L116" s="34">
        <f>'3. GAW model'!L64</f>
        <v>18532575.751040015</v>
      </c>
      <c r="M116" s="34">
        <f>'3. GAW model'!M64</f>
        <v>18866162.114558734</v>
      </c>
      <c r="N116" s="34">
        <f>'3. GAW model'!N64</f>
        <v>19205753.032620795</v>
      </c>
      <c r="O116" s="34">
        <f>'3. GAW model'!O64</f>
        <v>19551456.587207966</v>
      </c>
      <c r="P116" s="34">
        <f>'3. GAW model'!P64</f>
        <v>19903382.805777714</v>
      </c>
    </row>
    <row r="117" spans="2:16">
      <c r="B117" s="8" t="s">
        <v>405</v>
      </c>
      <c r="D117" s="8" t="s">
        <v>80</v>
      </c>
      <c r="H117" s="34">
        <f>'3. GAW model'!H65</f>
        <v>0</v>
      </c>
      <c r="I117" s="34">
        <f>'3. GAW model'!I65</f>
        <v>0</v>
      </c>
      <c r="J117" s="34">
        <f>'3. GAW model'!J65</f>
        <v>0</v>
      </c>
      <c r="K117" s="34">
        <f>'3. GAW model'!K65</f>
        <v>0</v>
      </c>
      <c r="L117" s="34">
        <f>'3. GAW model'!L65</f>
        <v>9219956.4361424092</v>
      </c>
      <c r="M117" s="34">
        <f>'3. GAW model'!M65</f>
        <v>18771831.303985946</v>
      </c>
      <c r="N117" s="34">
        <f>'3. GAW model'!N65</f>
        <v>19109724.26745769</v>
      </c>
      <c r="O117" s="34">
        <f>'3. GAW model'!O65</f>
        <v>19453699.304271929</v>
      </c>
      <c r="P117" s="34">
        <f>'3. GAW model'!P65</f>
        <v>19803865.891748823</v>
      </c>
    </row>
    <row r="118" spans="2:16">
      <c r="B118" s="8" t="s">
        <v>406</v>
      </c>
      <c r="D118" s="8" t="s">
        <v>80</v>
      </c>
      <c r="H118" s="34">
        <f>'3. GAW model'!H66</f>
        <v>0</v>
      </c>
      <c r="I118" s="34">
        <f>'3. GAW model'!I66</f>
        <v>0</v>
      </c>
      <c r="J118" s="34">
        <f>'3. GAW model'!J66</f>
        <v>0</v>
      </c>
      <c r="K118" s="34">
        <f>'3. GAW model'!K66</f>
        <v>0</v>
      </c>
      <c r="L118" s="34">
        <f>'3. GAW model'!L66</f>
        <v>0</v>
      </c>
      <c r="M118" s="34">
        <f>'3. GAW model'!M66</f>
        <v>9338986.0737330075</v>
      </c>
      <c r="N118" s="34">
        <f>'3. GAW model'!N66</f>
        <v>19014175.646120403</v>
      </c>
      <c r="O118" s="34">
        <f>'3. GAW model'!O66</f>
        <v>19356430.807750572</v>
      </c>
      <c r="P118" s="34">
        <f>'3. GAW model'!P66</f>
        <v>19704846.56229008</v>
      </c>
    </row>
    <row r="119" spans="2:16">
      <c r="B119" s="8" t="s">
        <v>407</v>
      </c>
      <c r="D119" s="8" t="s">
        <v>80</v>
      </c>
      <c r="H119" s="34">
        <f>'3. GAW model'!H67</f>
        <v>0</v>
      </c>
      <c r="I119" s="34">
        <f>'3. GAW model'!I67</f>
        <v>0</v>
      </c>
      <c r="J119" s="34">
        <f>'3. GAW model'!J67</f>
        <v>0</v>
      </c>
      <c r="K119" s="34">
        <f>'3. GAW model'!K67</f>
        <v>0</v>
      </c>
      <c r="L119" s="34">
        <f>'3. GAW model'!L67</f>
        <v>0</v>
      </c>
      <c r="M119" s="34">
        <f>'3. GAW model'!M67</f>
        <v>0</v>
      </c>
      <c r="N119" s="34">
        <f>'3. GAW model'!N67</f>
        <v>9459552.3839449007</v>
      </c>
      <c r="O119" s="34">
        <f>'3. GAW model'!O67</f>
        <v>19259648.653711814</v>
      </c>
      <c r="P119" s="34">
        <f>'3. GAW model'!P67</f>
        <v>19606322.329478629</v>
      </c>
    </row>
    <row r="120" spans="2:16">
      <c r="B120" s="8" t="s">
        <v>408</v>
      </c>
      <c r="D120" s="8" t="s">
        <v>80</v>
      </c>
      <c r="H120" s="34">
        <f>'3. GAW model'!H68</f>
        <v>0</v>
      </c>
      <c r="I120" s="34">
        <f>'3. GAW model'!I68</f>
        <v>0</v>
      </c>
      <c r="J120" s="34">
        <f>'3. GAW model'!J68</f>
        <v>0</v>
      </c>
      <c r="K120" s="34">
        <f>'3. GAW model'!K68</f>
        <v>0</v>
      </c>
      <c r="L120" s="34">
        <f>'3. GAW model'!L68</f>
        <v>0</v>
      </c>
      <c r="M120" s="34">
        <f>'3. GAW model'!M68</f>
        <v>0</v>
      </c>
      <c r="N120" s="34">
        <f>'3. GAW model'!N68</f>
        <v>0</v>
      </c>
      <c r="O120" s="34">
        <f>'3. GAW model'!O68</f>
        <v>9581675.2052216306</v>
      </c>
      <c r="P120" s="34">
        <f>'3. GAW model'!P68</f>
        <v>19508290.717831239</v>
      </c>
    </row>
    <row r="121" spans="2:16">
      <c r="B121" s="8" t="s">
        <v>409</v>
      </c>
      <c r="D121" s="8" t="s">
        <v>80</v>
      </c>
      <c r="H121" s="34">
        <f>'3. GAW model'!H69</f>
        <v>0</v>
      </c>
      <c r="I121" s="34">
        <f>'3. GAW model'!I69</f>
        <v>0</v>
      </c>
      <c r="J121" s="34">
        <f>'3. GAW model'!J69</f>
        <v>0</v>
      </c>
      <c r="K121" s="34">
        <f>'3. GAW model'!K69</f>
        <v>0</v>
      </c>
      <c r="L121" s="34">
        <f>'3. GAW model'!L69</f>
        <v>0</v>
      </c>
      <c r="M121" s="34">
        <f>'3. GAW model'!M69</f>
        <v>0</v>
      </c>
      <c r="N121" s="34">
        <f>'3. GAW model'!N69</f>
        <v>0</v>
      </c>
      <c r="O121" s="34">
        <f>'3. GAW model'!O69</f>
        <v>0</v>
      </c>
      <c r="P121" s="34">
        <f>'3. GAW model'!P69</f>
        <v>9705374.6321210396</v>
      </c>
    </row>
    <row r="123" spans="2:16">
      <c r="B123" s="8" t="s">
        <v>424</v>
      </c>
      <c r="D123" s="8" t="s">
        <v>80</v>
      </c>
      <c r="H123" s="34">
        <f>'3. GAW model'!H71</f>
        <v>2661417413.9185042</v>
      </c>
      <c r="I123" s="34">
        <f>'3. GAW model'!I71</f>
        <v>2909244156.5210791</v>
      </c>
      <c r="J123" s="34">
        <f>'3. GAW model'!J71</f>
        <v>3247870144.7661071</v>
      </c>
      <c r="K123" s="34">
        <f>'3. GAW model'!K71</f>
        <v>3382568640.1363845</v>
      </c>
      <c r="L123" s="34">
        <f>'3. GAW model'!L71</f>
        <v>3443454875.6588373</v>
      </c>
      <c r="M123" s="34">
        <f>'3. GAW model'!M71</f>
        <v>3505437063.4206977</v>
      </c>
      <c r="N123" s="34">
        <f>'3. GAW model'!N71</f>
        <v>3555912527.3554735</v>
      </c>
      <c r="O123" s="34">
        <f>'3. GAW model'!O71</f>
        <v>3606811255.2206302</v>
      </c>
      <c r="P123" s="34">
        <f>'3. GAW model'!P71</f>
        <v>3671733857.8146043</v>
      </c>
    </row>
    <row r="124" spans="2:16">
      <c r="B124" s="8" t="s">
        <v>410</v>
      </c>
      <c r="D124" s="8" t="s">
        <v>80</v>
      </c>
      <c r="H124" s="34">
        <f>'3. GAW model'!H72</f>
        <v>0</v>
      </c>
      <c r="I124" s="34">
        <f>'3. GAW model'!I72</f>
        <v>0</v>
      </c>
      <c r="J124" s="34">
        <f>'3. GAW model'!J72</f>
        <v>0</v>
      </c>
      <c r="K124" s="34">
        <f>'3. GAW model'!K72</f>
        <v>95206550.777798012</v>
      </c>
      <c r="L124" s="34">
        <f>'3. GAW model'!L72</f>
        <v>193840537.38359678</v>
      </c>
      <c r="M124" s="34">
        <f>'3. GAW model'!M72</f>
        <v>197329667.05650151</v>
      </c>
      <c r="N124" s="34">
        <f>'3. GAW model'!N72</f>
        <v>200881601.06351852</v>
      </c>
      <c r="O124" s="34">
        <f>'3. GAW model'!O72</f>
        <v>204497469.88266185</v>
      </c>
      <c r="P124" s="34">
        <f>'3. GAW model'!P72</f>
        <v>208178424.3405498</v>
      </c>
    </row>
    <row r="125" spans="2:16">
      <c r="B125" s="8" t="s">
        <v>411</v>
      </c>
      <c r="D125" s="8" t="s">
        <v>80</v>
      </c>
      <c r="H125" s="34">
        <f>'3. GAW model'!H73</f>
        <v>0</v>
      </c>
      <c r="I125" s="34">
        <f>'3. GAW model'!I73</f>
        <v>0</v>
      </c>
      <c r="J125" s="34">
        <f>'3. GAW model'!J73</f>
        <v>0</v>
      </c>
      <c r="K125" s="34">
        <f>'3. GAW model'!K73</f>
        <v>0</v>
      </c>
      <c r="L125" s="34">
        <f>'3. GAW model'!L73</f>
        <v>96435667.348339379</v>
      </c>
      <c r="M125" s="34">
        <f>'3. GAW model'!M73</f>
        <v>196343018.721219</v>
      </c>
      <c r="N125" s="34">
        <f>'3. GAW model'!N73</f>
        <v>199877193.05820093</v>
      </c>
      <c r="O125" s="34">
        <f>'3. GAW model'!O73</f>
        <v>203474982.53324857</v>
      </c>
      <c r="P125" s="34">
        <f>'3. GAW model'!P73</f>
        <v>207137532.21884701</v>
      </c>
    </row>
    <row r="126" spans="2:16">
      <c r="B126" s="8" t="s">
        <v>412</v>
      </c>
      <c r="D126" s="8" t="s">
        <v>80</v>
      </c>
      <c r="H126" s="34">
        <f>'3. GAW model'!H74</f>
        <v>0</v>
      </c>
      <c r="I126" s="34">
        <f>'3. GAW model'!I74</f>
        <v>0</v>
      </c>
      <c r="J126" s="34">
        <f>'3. GAW model'!J74</f>
        <v>0</v>
      </c>
      <c r="K126" s="34">
        <f>'3. GAW model'!K74</f>
        <v>0</v>
      </c>
      <c r="L126" s="34">
        <f>'3. GAW model'!L74</f>
        <v>0</v>
      </c>
      <c r="M126" s="34">
        <f>'3. GAW model'!M74</f>
        <v>97680651.813806459</v>
      </c>
      <c r="N126" s="34">
        <f>'3. GAW model'!N74</f>
        <v>198877807.09290996</v>
      </c>
      <c r="O126" s="34">
        <f>'3. GAW model'!O74</f>
        <v>202457607.62058228</v>
      </c>
      <c r="P126" s="34">
        <f>'3. GAW model'!P74</f>
        <v>206101844.55775282</v>
      </c>
    </row>
    <row r="127" spans="2:16">
      <c r="B127" s="8" t="s">
        <v>413</v>
      </c>
      <c r="D127" s="8" t="s">
        <v>80</v>
      </c>
      <c r="H127" s="34">
        <f>'3. GAW model'!H75</f>
        <v>0</v>
      </c>
      <c r="I127" s="34">
        <f>'3. GAW model'!I75</f>
        <v>0</v>
      </c>
      <c r="J127" s="34">
        <f>'3. GAW model'!J75</f>
        <v>0</v>
      </c>
      <c r="K127" s="34">
        <f>'3. GAW model'!K75</f>
        <v>0</v>
      </c>
      <c r="L127" s="34">
        <f>'3. GAW model'!L75</f>
        <v>0</v>
      </c>
      <c r="M127" s="34">
        <f>'3. GAW model'!M75</f>
        <v>0</v>
      </c>
      <c r="N127" s="34">
        <f>'3. GAW model'!N75</f>
        <v>98941709.028722703</v>
      </c>
      <c r="O127" s="34">
        <f>'3. GAW model'!O75</f>
        <v>201445319.58247942</v>
      </c>
      <c r="P127" s="34">
        <f>'3. GAW model'!P75</f>
        <v>205071335.33496404</v>
      </c>
    </row>
    <row r="128" spans="2:16">
      <c r="B128" s="8" t="s">
        <v>414</v>
      </c>
      <c r="D128" s="8" t="s">
        <v>80</v>
      </c>
      <c r="H128" s="34">
        <f>'3. GAW model'!H76</f>
        <v>0</v>
      </c>
      <c r="I128" s="34">
        <f>'3. GAW model'!I76</f>
        <v>0</v>
      </c>
      <c r="J128" s="34">
        <f>'3. GAW model'!J76</f>
        <v>0</v>
      </c>
      <c r="K128" s="34">
        <f>'3. GAW model'!K76</f>
        <v>0</v>
      </c>
      <c r="L128" s="34">
        <f>'3. GAW model'!L76</f>
        <v>0</v>
      </c>
      <c r="M128" s="34">
        <f>'3. GAW model'!M76</f>
        <v>0</v>
      </c>
      <c r="N128" s="34">
        <f>'3. GAW model'!N76</f>
        <v>0</v>
      </c>
      <c r="O128" s="34">
        <f>'3. GAW model'!O76</f>
        <v>100219046.49228351</v>
      </c>
      <c r="P128" s="34">
        <f>'3. GAW model'!P76</f>
        <v>204045978.65828922</v>
      </c>
    </row>
    <row r="129" spans="2:16">
      <c r="B129" s="8" t="s">
        <v>415</v>
      </c>
      <c r="D129" s="8" t="s">
        <v>80</v>
      </c>
      <c r="H129" s="34">
        <f>'3. GAW model'!H77</f>
        <v>0</v>
      </c>
      <c r="I129" s="34">
        <f>'3. GAW model'!I77</f>
        <v>0</v>
      </c>
      <c r="J129" s="34">
        <f>'3. GAW model'!J77</f>
        <v>0</v>
      </c>
      <c r="K129" s="34">
        <f>'3. GAW model'!K77</f>
        <v>0</v>
      </c>
      <c r="L129" s="34">
        <f>'3. GAW model'!L77</f>
        <v>0</v>
      </c>
      <c r="M129" s="34">
        <f>'3. GAW model'!M77</f>
        <v>0</v>
      </c>
      <c r="N129" s="34">
        <f>'3. GAW model'!N77</f>
        <v>0</v>
      </c>
      <c r="O129" s="34">
        <f>'3. GAW model'!O77</f>
        <v>0</v>
      </c>
      <c r="P129" s="34">
        <f>'3. GAW model'!P77</f>
        <v>101512874.38249889</v>
      </c>
    </row>
    <row r="131" spans="2:16">
      <c r="B131" s="8" t="s">
        <v>425</v>
      </c>
      <c r="D131" s="8" t="s">
        <v>80</v>
      </c>
      <c r="H131" s="34">
        <f>'3. GAW model'!H79</f>
        <v>253075290.56766963</v>
      </c>
      <c r="I131" s="34">
        <f>'3. GAW model'!I79</f>
        <v>269008108.64268476</v>
      </c>
      <c r="J131" s="34">
        <f>'3. GAW model'!J79</f>
        <v>305144011.40594423</v>
      </c>
      <c r="K131" s="34">
        <f>'3. GAW model'!K79</f>
        <v>336780276.44268548</v>
      </c>
      <c r="L131" s="34">
        <f>'3. GAW model'!L79</f>
        <v>342842321.41865432</v>
      </c>
      <c r="M131" s="34">
        <f>'3. GAW model'!M79</f>
        <v>349013483.20419008</v>
      </c>
      <c r="N131" s="34">
        <f>'3. GAW model'!N79</f>
        <v>354633036.6904887</v>
      </c>
      <c r="O131" s="34">
        <f>'3. GAW model'!O79</f>
        <v>360328263.68100071</v>
      </c>
      <c r="P131" s="34">
        <f>'3. GAW model'!P79</f>
        <v>366814172.42725885</v>
      </c>
    </row>
    <row r="132" spans="2:16">
      <c r="B132" s="8" t="s">
        <v>416</v>
      </c>
      <c r="D132" s="8" t="s">
        <v>80</v>
      </c>
      <c r="H132" s="34">
        <f>'3. GAW model'!H80</f>
        <v>0</v>
      </c>
      <c r="I132" s="34">
        <f>'3. GAW model'!I80</f>
        <v>0</v>
      </c>
      <c r="J132" s="34">
        <f>'3. GAW model'!J80</f>
        <v>0</v>
      </c>
      <c r="K132" s="34">
        <f>'3. GAW model'!K80</f>
        <v>15433281.038368836</v>
      </c>
      <c r="L132" s="34">
        <f>'3. GAW model'!L80</f>
        <v>31422160.194118951</v>
      </c>
      <c r="M132" s="34">
        <f>'3. GAW model'!M80</f>
        <v>31987759.077613093</v>
      </c>
      <c r="N132" s="34">
        <f>'3. GAW model'!N80</f>
        <v>32563538.741010129</v>
      </c>
      <c r="O132" s="34">
        <f>'3. GAW model'!O80</f>
        <v>33149682.438348308</v>
      </c>
      <c r="P132" s="34">
        <f>'3. GAW model'!P80</f>
        <v>33746376.722238585</v>
      </c>
    </row>
    <row r="133" spans="2:16">
      <c r="B133" s="8" t="s">
        <v>417</v>
      </c>
      <c r="D133" s="8" t="s">
        <v>80</v>
      </c>
      <c r="H133" s="34">
        <f>'3. GAW model'!H81</f>
        <v>0</v>
      </c>
      <c r="I133" s="34">
        <f>'3. GAW model'!I81</f>
        <v>0</v>
      </c>
      <c r="J133" s="34">
        <f>'3. GAW model'!J81</f>
        <v>0</v>
      </c>
      <c r="K133" s="34">
        <f>'3. GAW model'!K81</f>
        <v>0</v>
      </c>
      <c r="L133" s="34">
        <f>'3. GAW model'!L81</f>
        <v>15632524.696574178</v>
      </c>
      <c r="M133" s="34">
        <f>'3. GAW model'!M81</f>
        <v>31827820.282225028</v>
      </c>
      <c r="N133" s="34">
        <f>'3. GAW model'!N81</f>
        <v>32400721.047305077</v>
      </c>
      <c r="O133" s="34">
        <f>'3. GAW model'!O81</f>
        <v>32983934.026156567</v>
      </c>
      <c r="P133" s="34">
        <f>'3. GAW model'!P81</f>
        <v>33577644.838627383</v>
      </c>
    </row>
    <row r="134" spans="2:16">
      <c r="B134" s="8" t="s">
        <v>418</v>
      </c>
      <c r="D134" s="8" t="s">
        <v>80</v>
      </c>
      <c r="H134" s="34">
        <f>'3. GAW model'!H82</f>
        <v>0</v>
      </c>
      <c r="I134" s="34">
        <f>'3. GAW model'!I82</f>
        <v>0</v>
      </c>
      <c r="J134" s="34">
        <f>'3. GAW model'!J82</f>
        <v>0</v>
      </c>
      <c r="K134" s="34">
        <f>'3. GAW model'!K82</f>
        <v>0</v>
      </c>
      <c r="L134" s="34">
        <f>'3. GAW model'!L82</f>
        <v>0</v>
      </c>
      <c r="M134" s="34">
        <f>'3. GAW model'!M82</f>
        <v>15834340.590406951</v>
      </c>
      <c r="N134" s="34">
        <f>'3. GAW model'!N82</f>
        <v>32238717.442068554</v>
      </c>
      <c r="O134" s="34">
        <f>'3. GAW model'!O82</f>
        <v>32819014.356025785</v>
      </c>
      <c r="P134" s="34">
        <f>'3. GAW model'!P82</f>
        <v>33409756.61443425</v>
      </c>
    </row>
    <row r="135" spans="2:16">
      <c r="B135" s="8" t="s">
        <v>419</v>
      </c>
      <c r="D135" s="8" t="s">
        <v>80</v>
      </c>
      <c r="H135" s="34">
        <f>'3. GAW model'!H83</f>
        <v>0</v>
      </c>
      <c r="I135" s="34">
        <f>'3. GAW model'!I83</f>
        <v>0</v>
      </c>
      <c r="J135" s="34">
        <f>'3. GAW model'!J83</f>
        <v>0</v>
      </c>
      <c r="K135" s="34">
        <f>'3. GAW model'!K83</f>
        <v>0</v>
      </c>
      <c r="L135" s="34">
        <f>'3. GAW model'!L83</f>
        <v>0</v>
      </c>
      <c r="M135" s="34">
        <f>'3. GAW model'!M83</f>
        <v>0</v>
      </c>
      <c r="N135" s="34">
        <f>'3. GAW model'!N83</f>
        <v>16038761.927429104</v>
      </c>
      <c r="O135" s="34">
        <f>'3. GAW model'!O83</f>
        <v>32654919.284245655</v>
      </c>
      <c r="P135" s="34">
        <f>'3. GAW model'!P83</f>
        <v>33242707.831362076</v>
      </c>
    </row>
    <row r="136" spans="2:16">
      <c r="B136" s="8" t="s">
        <v>420</v>
      </c>
      <c r="D136" s="8" t="s">
        <v>80</v>
      </c>
      <c r="H136" s="34">
        <f>'3. GAW model'!H84</f>
        <v>0</v>
      </c>
      <c r="I136" s="34">
        <f>'3. GAW model'!I84</f>
        <v>0</v>
      </c>
      <c r="J136" s="34">
        <f>'3. GAW model'!J84</f>
        <v>0</v>
      </c>
      <c r="K136" s="34">
        <f>'3. GAW model'!K84</f>
        <v>0</v>
      </c>
      <c r="L136" s="34">
        <f>'3. GAW model'!L84</f>
        <v>0</v>
      </c>
      <c r="M136" s="34">
        <f>'3. GAW model'!M84</f>
        <v>0</v>
      </c>
      <c r="N136" s="34">
        <f>'3. GAW model'!N84</f>
        <v>0</v>
      </c>
      <c r="O136" s="34">
        <f>'3. GAW model'!O84</f>
        <v>16245822.343912216</v>
      </c>
      <c r="P136" s="34">
        <f>'3. GAW model'!P84</f>
        <v>33076494.29220527</v>
      </c>
    </row>
    <row r="137" spans="2:16">
      <c r="B137" s="8" t="s">
        <v>421</v>
      </c>
      <c r="D137" s="8" t="s">
        <v>80</v>
      </c>
      <c r="H137" s="34">
        <f>'3. GAW model'!H85</f>
        <v>0</v>
      </c>
      <c r="I137" s="34">
        <f>'3. GAW model'!I85</f>
        <v>0</v>
      </c>
      <c r="J137" s="34">
        <f>'3. GAW model'!J85</f>
        <v>0</v>
      </c>
      <c r="K137" s="34">
        <f>'3. GAW model'!K85</f>
        <v>0</v>
      </c>
      <c r="L137" s="34">
        <f>'3. GAW model'!L85</f>
        <v>0</v>
      </c>
      <c r="M137" s="34">
        <f>'3. GAW model'!M85</f>
        <v>0</v>
      </c>
      <c r="N137" s="34">
        <f>'3. GAW model'!N85</f>
        <v>0</v>
      </c>
      <c r="O137" s="34">
        <f>'3. GAW model'!O85</f>
        <v>0</v>
      </c>
      <c r="P137" s="34">
        <f>'3. GAW model'!P85</f>
        <v>16455555.910372125</v>
      </c>
    </row>
    <row r="138" spans="2:16">
      <c r="B138" s="7"/>
    </row>
    <row r="139" spans="2:16">
      <c r="B139" s="7" t="s">
        <v>363</v>
      </c>
    </row>
    <row r="140" spans="2:16">
      <c r="B140" s="8" t="s">
        <v>268</v>
      </c>
      <c r="D140" s="8" t="s">
        <v>206</v>
      </c>
      <c r="I140" s="34">
        <f>'2. Reguleringsparameters'!F47</f>
        <v>134675214</v>
      </c>
    </row>
    <row r="141" spans="2:16">
      <c r="B141" s="8" t="s">
        <v>269</v>
      </c>
      <c r="D141" s="8" t="s">
        <v>206</v>
      </c>
      <c r="I141" s="34">
        <f>'2. Reguleringsparameters'!F48</f>
        <v>161207241</v>
      </c>
    </row>
    <row r="142" spans="2:16">
      <c r="B142" s="8" t="s">
        <v>270</v>
      </c>
      <c r="D142" s="8" t="s">
        <v>206</v>
      </c>
      <c r="I142" s="34">
        <f>'2. Reguleringsparameters'!F49</f>
        <v>19264075.840289921</v>
      </c>
    </row>
    <row r="143" spans="2:16">
      <c r="B143" s="8" t="s">
        <v>271</v>
      </c>
      <c r="D143" s="8" t="s">
        <v>206</v>
      </c>
      <c r="I143" s="34">
        <f>'2. Reguleringsparameters'!F50</f>
        <v>10427249.13459645</v>
      </c>
    </row>
    <row r="145" spans="2:12" s="14" customFormat="1">
      <c r="B145" s="14" t="s">
        <v>291</v>
      </c>
    </row>
    <row r="147" spans="2:12">
      <c r="B147" s="7" t="s">
        <v>243</v>
      </c>
    </row>
    <row r="148" spans="2:12">
      <c r="B148" s="8" t="s">
        <v>337</v>
      </c>
      <c r="D148" s="8" t="s">
        <v>80</v>
      </c>
      <c r="H148" s="35">
        <f>H53-H54</f>
        <v>41099216.580000006</v>
      </c>
      <c r="I148" s="35">
        <f>I53-I54</f>
        <v>23323697.490000017</v>
      </c>
      <c r="J148" s="35">
        <f>J53-J54</f>
        <v>32571757.558761641</v>
      </c>
      <c r="L148" s="106"/>
    </row>
    <row r="149" spans="2:12">
      <c r="B149" s="8" t="s">
        <v>338</v>
      </c>
      <c r="D149" s="8" t="s">
        <v>80</v>
      </c>
      <c r="H149" s="35">
        <f>SUM(H57:H60)</f>
        <v>7615161.3084000014</v>
      </c>
      <c r="I149" s="35">
        <f>SUM(I57:I60)</f>
        <v>7486752.9475999977</v>
      </c>
      <c r="J149" s="35">
        <f>SUM(J57:J60)</f>
        <v>7188069.7816000013</v>
      </c>
      <c r="L149" s="106"/>
    </row>
    <row r="150" spans="2:12">
      <c r="B150" s="8" t="s">
        <v>342</v>
      </c>
      <c r="D150" s="8" t="s">
        <v>80</v>
      </c>
      <c r="H150" s="35">
        <f>H148-H149</f>
        <v>33484055.271600004</v>
      </c>
      <c r="I150" s="35">
        <f>I148-I149</f>
        <v>15836944.542400019</v>
      </c>
      <c r="J150" s="35">
        <f>J148-J149</f>
        <v>25383687.777161639</v>
      </c>
      <c r="L150" s="106"/>
    </row>
    <row r="151" spans="2:12">
      <c r="B151" s="8" t="s">
        <v>428</v>
      </c>
      <c r="D151" s="8" t="s">
        <v>80</v>
      </c>
      <c r="H151" s="35">
        <f>SUM(H87:H94)</f>
        <v>12730253.259432638</v>
      </c>
      <c r="I151" s="35">
        <f t="shared" ref="I151:J151" si="0">SUM(I87:I94)</f>
        <v>11672147.393874058</v>
      </c>
      <c r="J151" s="35">
        <f t="shared" si="0"/>
        <v>13029596.498598808</v>
      </c>
      <c r="L151" s="106"/>
    </row>
    <row r="153" spans="2:12">
      <c r="B153" s="7" t="s">
        <v>245</v>
      </c>
    </row>
    <row r="154" spans="2:12">
      <c r="B154" s="8" t="s">
        <v>339</v>
      </c>
      <c r="D154" s="8" t="s">
        <v>80</v>
      </c>
      <c r="H154" s="35">
        <f>H68-H69</f>
        <v>38394843.470000014</v>
      </c>
      <c r="I154" s="35">
        <f>I68-I69</f>
        <v>51278767.179999948</v>
      </c>
      <c r="J154" s="35">
        <f>J68-J69</f>
        <v>52060751.094999954</v>
      </c>
    </row>
    <row r="155" spans="2:12">
      <c r="B155" s="8" t="s">
        <v>340</v>
      </c>
      <c r="D155" s="8" t="s">
        <v>80</v>
      </c>
      <c r="H155" s="35">
        <f>SUM(H72:H74)</f>
        <v>4706808.5315999994</v>
      </c>
      <c r="I155" s="35">
        <f>SUM(I72:I74)</f>
        <v>4980776.4623999987</v>
      </c>
      <c r="J155" s="35">
        <f>SUM(J72:J74)</f>
        <v>4436712.2783999993</v>
      </c>
    </row>
    <row r="156" spans="2:12">
      <c r="B156" s="8" t="s">
        <v>341</v>
      </c>
      <c r="D156" s="8" t="s">
        <v>80</v>
      </c>
      <c r="H156" s="35">
        <f>H154-H155</f>
        <v>33688034.938400015</v>
      </c>
      <c r="I156" s="35">
        <f>I154-I155</f>
        <v>46297990.717599951</v>
      </c>
      <c r="J156" s="35">
        <f>J154-J155</f>
        <v>47624038.816599958</v>
      </c>
    </row>
    <row r="157" spans="2:12">
      <c r="B157" s="8" t="s">
        <v>429</v>
      </c>
      <c r="D157" s="8" t="s">
        <v>80</v>
      </c>
      <c r="H157" s="35">
        <f>SUM(H97:H104)</f>
        <v>21571056.395586461</v>
      </c>
      <c r="I157" s="35">
        <f t="shared" ref="I157:J157" si="1">SUM(I97:I104)</f>
        <v>20380375.677197259</v>
      </c>
      <c r="J157" s="35">
        <f t="shared" si="1"/>
        <v>22323488.602803864</v>
      </c>
    </row>
    <row r="159" spans="2:12" s="14" customFormat="1">
      <c r="B159" s="14" t="s">
        <v>292</v>
      </c>
    </row>
    <row r="161" spans="2:18">
      <c r="B161" s="7" t="s">
        <v>308</v>
      </c>
      <c r="L161" s="123"/>
      <c r="M161" s="123"/>
      <c r="N161" s="123"/>
      <c r="O161" s="123"/>
      <c r="P161" s="123"/>
    </row>
    <row r="162" spans="2:18">
      <c r="B162" s="8" t="s">
        <v>342</v>
      </c>
      <c r="D162" s="8" t="s">
        <v>80</v>
      </c>
      <c r="L162" s="35">
        <f>AVERAGE($H$150*L$16*L$27,$I$150*L$17*L$28,$J$150*L$18*L$29)</f>
        <v>26114909.459245328</v>
      </c>
      <c r="M162" s="35">
        <f>AVERAGE($H$150*M$16*M$27,$I$150*M$17*M$28,$J$150*M$18*M$29)</f>
        <v>26452052.940364182</v>
      </c>
      <c r="N162" s="35">
        <f>AVERAGE($H$150*N$16*N$27,$I$150*N$17*N$28,$J$150*N$18*N$29)</f>
        <v>26793548.94382428</v>
      </c>
      <c r="O162" s="35">
        <f>AVERAGE($H$150*O$16*O$27,$I$150*O$17*O$28,$J$150*O$18*O$29)</f>
        <v>27139453.660689052</v>
      </c>
      <c r="P162" s="35">
        <f>AVERAGE($H$150*P$16*P$27,$I$150*P$17*P$28,$J$150*P$18*P$29)</f>
        <v>27489824.007448554</v>
      </c>
      <c r="R162" s="25">
        <v>13</v>
      </c>
    </row>
    <row r="163" spans="2:18">
      <c r="B163" s="8" t="s">
        <v>338</v>
      </c>
      <c r="D163" s="8" t="s">
        <v>80</v>
      </c>
      <c r="L163" s="35">
        <f>AVERAGE($H$149*L$16*L$27,$I$149*L$17*L$28,$J$149*L$18*L$29)</f>
        <v>7778262.2928173663</v>
      </c>
      <c r="M163" s="35">
        <f>AVERAGE($H$149*M$16*M$27,$I$149*M$17*M$28,$J$149*M$18*M$29)</f>
        <v>7878679.6590176374</v>
      </c>
      <c r="N163" s="35">
        <f>AVERAGE($H$149*N$16*N$27,$I$149*N$17*N$28,$J$149*N$18*N$29)</f>
        <v>7980393.4134155558</v>
      </c>
      <c r="O163" s="35">
        <f>AVERAGE($H$149*O$16*O$27,$I$149*O$17*O$28,$J$149*O$18*O$29)</f>
        <v>8083420.2923827497</v>
      </c>
      <c r="P163" s="35">
        <f>AVERAGE($H$149*P$16*P$27,$I$149*P$17*P$28,$J$149*P$18*P$29)</f>
        <v>8187777.2483574143</v>
      </c>
      <c r="R163" s="25">
        <v>13</v>
      </c>
    </row>
    <row r="164" spans="2:18">
      <c r="B164" s="8" t="s">
        <v>343</v>
      </c>
      <c r="D164" s="8" t="s">
        <v>80</v>
      </c>
      <c r="L164" s="35">
        <f>AVERAGE($H$151*L$16*L$27,$I$151*L$17*L$28, $J$151*L$18*L$29)</f>
        <v>13052633.661148487</v>
      </c>
      <c r="M164" s="35">
        <f>AVERAGE($H$151*M$16*M$27,$I$151*M$17*M$28, $J$151*M$18*M$29)</f>
        <v>13221143.161713913</v>
      </c>
      <c r="N164" s="35">
        <f>AVERAGE($H$151*N$16*N$27,$I$151*N$17*N$28, $J$151*N$18*N$29)</f>
        <v>13391828.119931638</v>
      </c>
      <c r="O164" s="35">
        <f>AVERAGE($H$151*O$16*O$27,$I$151*O$17*O$28, $J$151*O$18*O$29)</f>
        <v>13564716.620959958</v>
      </c>
      <c r="P164" s="35">
        <f>AVERAGE($H$151*P$16*P$27,$I$151*P$17*P$28, $J$151*P$18*P$29)</f>
        <v>13739837.112536551</v>
      </c>
      <c r="R164" s="25">
        <v>14</v>
      </c>
    </row>
    <row r="165" spans="2:18">
      <c r="B165" s="8" t="s">
        <v>397</v>
      </c>
      <c r="D165" s="8" t="s">
        <v>80</v>
      </c>
      <c r="L165" s="35">
        <f>AVERAGE((($F$45*$H$82+$F$46*$H$83+$F$47*$H$84)*L16*L27),(($F$45*$I$82+$F$46*$I$83+$F$47*$I$84)*L17*L28),(($F$45*$J$82+$F$46*$J$83+$F$47*$J$84)*L18*L29))-L164</f>
        <v>33246507.766960584</v>
      </c>
      <c r="M165" s="35">
        <f t="shared" ref="M165:P165" si="2">AVERAGE((($F$45*$H$82+$F$46*$H$83+$F$47*$H$84)*M16*M27),(($F$45*$I$82+$F$46*$I$83+$F$47*$I$84)*M17*M28),(($F$45*$J$82+$F$46*$J$83+$F$47*$J$84)*M18*M29))-M164</f>
        <v>33675720.182232037</v>
      </c>
      <c r="N165" s="35">
        <f t="shared" si="2"/>
        <v>34110473.729784645</v>
      </c>
      <c r="O165" s="35">
        <f t="shared" si="2"/>
        <v>34550839.945636168</v>
      </c>
      <c r="P165" s="35">
        <f t="shared" si="2"/>
        <v>34996891.289334334</v>
      </c>
      <c r="R165" s="25">
        <v>15</v>
      </c>
    </row>
    <row r="166" spans="2:18">
      <c r="B166" s="8" t="s">
        <v>276</v>
      </c>
      <c r="D166" s="8" t="s">
        <v>80</v>
      </c>
      <c r="L166" s="35">
        <f>($I140+($I142-$I143))*$F41*L$17*L$28</f>
        <v>1504810.3998860177</v>
      </c>
      <c r="M166" s="35">
        <f>($I140+($I142-$I143))*$F41*M$17*M$28</f>
        <v>1524237.502148546</v>
      </c>
      <c r="N166" s="35">
        <f>($I140+($I142-$I143))*$F41*N$17*N$28</f>
        <v>1543915.4083012841</v>
      </c>
      <c r="O166" s="35">
        <f>($I140+($I142-$I143))*$F41*O$17*O$28</f>
        <v>1563847.3562224535</v>
      </c>
      <c r="P166" s="35">
        <f>($I140+($I142-$I143))*$F41*P$17*P$28</f>
        <v>1584036.6255912858</v>
      </c>
      <c r="R166" s="25">
        <v>16</v>
      </c>
    </row>
    <row r="167" spans="2:18">
      <c r="B167" s="8" t="s">
        <v>277</v>
      </c>
      <c r="D167" s="8" t="s">
        <v>80</v>
      </c>
      <c r="L167" s="35">
        <f>($I141+$I143)*$F42*L$17*L$28</f>
        <v>6118950.2927865228</v>
      </c>
      <c r="M167" s="35">
        <f>($I141+$I143)*$F42*M$17*M$28</f>
        <v>6197945.9410663955</v>
      </c>
      <c r="N167" s="35">
        <f>($I141+$I143)*$F42*N$17*N$28</f>
        <v>6277961.4231655635</v>
      </c>
      <c r="O167" s="35">
        <f>($I141+$I143)*$F42*O$17*O$28</f>
        <v>6359009.9051386304</v>
      </c>
      <c r="P167" s="35">
        <f>($I141+$I143)*$F42*P$17*P$28</f>
        <v>6441104.7230139719</v>
      </c>
      <c r="R167" s="25">
        <v>16</v>
      </c>
    </row>
    <row r="168" spans="2:18">
      <c r="B168" s="8" t="s">
        <v>229</v>
      </c>
      <c r="D168" s="8" t="s">
        <v>80</v>
      </c>
      <c r="L168" s="139" t="s">
        <v>582</v>
      </c>
      <c r="M168" s="139" t="s">
        <v>585</v>
      </c>
      <c r="N168" s="139" t="s">
        <v>588</v>
      </c>
      <c r="O168" s="139" t="s">
        <v>591</v>
      </c>
      <c r="P168" s="139" t="s">
        <v>594</v>
      </c>
      <c r="R168" s="25">
        <v>17</v>
      </c>
    </row>
    <row r="169" spans="2:18">
      <c r="B169" s="8" t="s">
        <v>230</v>
      </c>
      <c r="D169" s="8" t="s">
        <v>80</v>
      </c>
      <c r="L169" s="139" t="s">
        <v>583</v>
      </c>
      <c r="M169" s="139" t="s">
        <v>586</v>
      </c>
      <c r="N169" s="139" t="s">
        <v>589</v>
      </c>
      <c r="O169" s="139" t="s">
        <v>592</v>
      </c>
      <c r="P169" s="139" t="s">
        <v>595</v>
      </c>
      <c r="R169" s="25">
        <v>17</v>
      </c>
    </row>
    <row r="170" spans="2:18">
      <c r="B170" s="8" t="s">
        <v>231</v>
      </c>
      <c r="D170" s="8" t="s">
        <v>80</v>
      </c>
      <c r="L170" s="139" t="s">
        <v>584</v>
      </c>
      <c r="M170" s="139" t="s">
        <v>587</v>
      </c>
      <c r="N170" s="139" t="s">
        <v>590</v>
      </c>
      <c r="O170" s="139" t="s">
        <v>593</v>
      </c>
      <c r="P170" s="139" t="s">
        <v>596</v>
      </c>
      <c r="R170" s="25">
        <v>17</v>
      </c>
    </row>
    <row r="172" spans="2:18">
      <c r="B172" s="7" t="s">
        <v>309</v>
      </c>
    </row>
    <row r="173" spans="2:18">
      <c r="B173" s="8" t="s">
        <v>443</v>
      </c>
      <c r="D173" s="8" t="s">
        <v>80</v>
      </c>
      <c r="L173" s="35">
        <f>$F$38*L29*(L107-AVERAGE(L16*$H$107,L17*$I$107,L18*$J$107))</f>
        <v>3747209.3067319402</v>
      </c>
      <c r="M173" s="35">
        <f>$F$38*M29*(M107-AVERAGE(M16*$H$107,M17*$I$107,M18*$J$107))</f>
        <v>3795585.7788818474</v>
      </c>
      <c r="N173" s="35">
        <f>$F$38*N29*(N107-AVERAGE(N16*$H$107,N17*$I$107,N18*$J$107))</f>
        <v>3844586.7912872289</v>
      </c>
      <c r="O173" s="35">
        <f>$F$38*O29*(O107-AVERAGE(O16*$H$107,O17*$I$107,O18*$J$107))</f>
        <v>3894220.4067627741</v>
      </c>
      <c r="P173" s="35">
        <f>$F$38*P29*(P107-AVERAGE(P16*$H$107,P17*$I$107,P18*$J$107))</f>
        <v>3944494.792214077</v>
      </c>
      <c r="R173" s="25">
        <v>18</v>
      </c>
    </row>
    <row r="174" spans="2:18">
      <c r="B174" s="8" t="s">
        <v>431</v>
      </c>
      <c r="D174" s="8" t="s">
        <v>80</v>
      </c>
      <c r="L174" s="35">
        <f t="shared" ref="L174:P175" si="3">$F$38*L30*L108</f>
        <v>376893.98401988368</v>
      </c>
      <c r="M174" s="35">
        <f t="shared" si="3"/>
        <v>381759.6853535804</v>
      </c>
      <c r="N174" s="35">
        <f t="shared" si="3"/>
        <v>386688.20289149508</v>
      </c>
      <c r="O174" s="35">
        <f t="shared" si="3"/>
        <v>391680.34759082424</v>
      </c>
      <c r="P174" s="35">
        <f t="shared" si="3"/>
        <v>396736.94087822194</v>
      </c>
      <c r="R174" s="25">
        <v>18</v>
      </c>
    </row>
    <row r="175" spans="2:18">
      <c r="B175" s="8" t="s">
        <v>432</v>
      </c>
      <c r="D175" s="8" t="s">
        <v>80</v>
      </c>
      <c r="L175" s="35">
        <f t="shared" si="3"/>
        <v>188446.99200994187</v>
      </c>
      <c r="M175" s="35">
        <f t="shared" si="3"/>
        <v>381759.6853535804</v>
      </c>
      <c r="N175" s="35">
        <f t="shared" si="3"/>
        <v>386688.2028914952</v>
      </c>
      <c r="O175" s="35">
        <f t="shared" si="3"/>
        <v>391680.34759082441</v>
      </c>
      <c r="P175" s="35">
        <f t="shared" si="3"/>
        <v>396736.940878222</v>
      </c>
      <c r="R175" s="25">
        <v>18</v>
      </c>
    </row>
    <row r="176" spans="2:18">
      <c r="B176" s="8" t="s">
        <v>433</v>
      </c>
      <c r="D176" s="8" t="s">
        <v>80</v>
      </c>
      <c r="L176" s="126"/>
      <c r="M176" s="35">
        <f>$F$38*M32*M110</f>
        <v>190879.8426767902</v>
      </c>
      <c r="N176" s="35">
        <f>$F$38*N32*N110</f>
        <v>386688.20289149508</v>
      </c>
      <c r="O176" s="35">
        <f>$F$38*O32*O110</f>
        <v>391680.34759082441</v>
      </c>
      <c r="P176" s="35">
        <f>$F$38*P32*P110</f>
        <v>396736.94087822188</v>
      </c>
      <c r="R176" s="25">
        <v>18</v>
      </c>
    </row>
    <row r="177" spans="2:18">
      <c r="B177" s="8" t="s">
        <v>434</v>
      </c>
      <c r="D177" s="8" t="s">
        <v>80</v>
      </c>
      <c r="L177" s="126"/>
      <c r="M177" s="126"/>
      <c r="N177" s="35">
        <f>$F$38*N33*N111</f>
        <v>193344.10144574751</v>
      </c>
      <c r="O177" s="35">
        <f>$F$38*O33*O111</f>
        <v>391680.34759082441</v>
      </c>
      <c r="P177" s="35">
        <f>$F$38*P33*P111</f>
        <v>396736.94087822188</v>
      </c>
      <c r="R177" s="25">
        <v>18</v>
      </c>
    </row>
    <row r="178" spans="2:18">
      <c r="B178" s="8" t="s">
        <v>435</v>
      </c>
      <c r="D178" s="8" t="s">
        <v>80</v>
      </c>
      <c r="L178" s="126"/>
      <c r="M178" s="126"/>
      <c r="N178" s="126"/>
      <c r="O178" s="35">
        <f>$F$38*O34*O112</f>
        <v>195840.17379541215</v>
      </c>
      <c r="P178" s="35">
        <f>$F$38*P34*P112</f>
        <v>396736.94087822177</v>
      </c>
      <c r="R178" s="25">
        <v>18</v>
      </c>
    </row>
    <row r="179" spans="2:18">
      <c r="B179" s="8" t="s">
        <v>436</v>
      </c>
      <c r="D179" s="8" t="s">
        <v>80</v>
      </c>
      <c r="L179" s="126"/>
      <c r="M179" s="126"/>
      <c r="N179" s="126"/>
      <c r="O179" s="126"/>
      <c r="P179" s="35">
        <f>$F$38*P35*P113</f>
        <v>198368.470439111</v>
      </c>
      <c r="R179" s="25">
        <v>18</v>
      </c>
    </row>
    <row r="180" spans="2:18">
      <c r="B180" s="7"/>
    </row>
    <row r="181" spans="2:18">
      <c r="B181" s="8" t="s">
        <v>444</v>
      </c>
      <c r="D181" s="8" t="s">
        <v>80</v>
      </c>
      <c r="L181" s="35">
        <f>$F$38*L29*(L115-AVERAGE(L16*$H$115,L17*$I$115,L18*$J$115))</f>
        <v>722098.66839066311</v>
      </c>
      <c r="M181" s="35">
        <f>$F$38*M29*(M115-AVERAGE(M16*$H$115,M17*$I$115,M18*$J$115))</f>
        <v>731420.96219958866</v>
      </c>
      <c r="N181" s="35">
        <f>$F$38*N29*(N115-AVERAGE(N16*$H$115,N17*$I$115,N18*$J$115))</f>
        <v>740863.60682158277</v>
      </c>
      <c r="O181" s="35">
        <f>$F$38*O29*(O115-AVERAGE(O16*$H$115,O17*$I$115,O18*$J$115))</f>
        <v>750428.15598565165</v>
      </c>
      <c r="P181" s="35">
        <f>$F$38*P29*(P115-AVERAGE(P16*$H$115,P17*$I$115,P18*$J$115))</f>
        <v>760116.18347942841</v>
      </c>
      <c r="R181" s="25">
        <v>18</v>
      </c>
    </row>
    <row r="182" spans="2:18">
      <c r="B182" s="8" t="s">
        <v>437</v>
      </c>
      <c r="D182" s="8" t="s">
        <v>80</v>
      </c>
      <c r="L182" s="35">
        <f t="shared" ref="L182:P183" si="4">$F$38*L30*L116</f>
        <v>184399.12872284817</v>
      </c>
      <c r="M182" s="35">
        <f t="shared" si="4"/>
        <v>186779.72147466012</v>
      </c>
      <c r="N182" s="35">
        <f t="shared" si="4"/>
        <v>189191.04767889803</v>
      </c>
      <c r="O182" s="35">
        <f t="shared" si="4"/>
        <v>191633.50410443256</v>
      </c>
      <c r="P182" s="35">
        <f t="shared" si="4"/>
        <v>194107.49264242084</v>
      </c>
      <c r="R182" s="25">
        <v>18</v>
      </c>
    </row>
    <row r="183" spans="2:18">
      <c r="B183" s="8" t="s">
        <v>438</v>
      </c>
      <c r="D183" s="8" t="s">
        <v>80</v>
      </c>
      <c r="L183" s="35">
        <f t="shared" si="4"/>
        <v>92199.564361424098</v>
      </c>
      <c r="M183" s="35">
        <f t="shared" si="4"/>
        <v>186779.72147466018</v>
      </c>
      <c r="N183" s="35">
        <f t="shared" si="4"/>
        <v>189191.04767889803</v>
      </c>
      <c r="O183" s="35">
        <f t="shared" si="4"/>
        <v>191633.50410443259</v>
      </c>
      <c r="P183" s="35">
        <f t="shared" si="4"/>
        <v>194107.49264242081</v>
      </c>
      <c r="R183" s="25">
        <v>18</v>
      </c>
    </row>
    <row r="184" spans="2:18">
      <c r="B184" s="8" t="s">
        <v>439</v>
      </c>
      <c r="D184" s="8" t="s">
        <v>80</v>
      </c>
      <c r="L184" s="126"/>
      <c r="M184" s="35">
        <f>$F$38*M32*M118</f>
        <v>93389.860737330077</v>
      </c>
      <c r="N184" s="35">
        <f>$F$38*N32*N118</f>
        <v>189191.04767889803</v>
      </c>
      <c r="O184" s="35">
        <f>$F$38*O32*O118</f>
        <v>191633.50410443262</v>
      </c>
      <c r="P184" s="35">
        <f>$F$38*P32*P118</f>
        <v>194107.49264242081</v>
      </c>
      <c r="R184" s="25">
        <v>18</v>
      </c>
    </row>
    <row r="185" spans="2:18">
      <c r="B185" s="8" t="s">
        <v>440</v>
      </c>
      <c r="D185" s="8" t="s">
        <v>80</v>
      </c>
      <c r="L185" s="126"/>
      <c r="M185" s="126"/>
      <c r="N185" s="35">
        <f>$F$38*N33*N119</f>
        <v>94595.523839449015</v>
      </c>
      <c r="O185" s="35">
        <f>$F$38*O33*O119</f>
        <v>191633.50410443256</v>
      </c>
      <c r="P185" s="35">
        <f>$F$38*P33*P119</f>
        <v>194107.49264242081</v>
      </c>
      <c r="R185" s="25">
        <v>18</v>
      </c>
    </row>
    <row r="186" spans="2:18">
      <c r="B186" s="8" t="s">
        <v>441</v>
      </c>
      <c r="D186" s="8" t="s">
        <v>80</v>
      </c>
      <c r="L186" s="126"/>
      <c r="M186" s="126"/>
      <c r="N186" s="126"/>
      <c r="O186" s="35">
        <f>$F$38*O34*O120</f>
        <v>95816.75205221631</v>
      </c>
      <c r="P186" s="35">
        <f>$F$38*P34*P120</f>
        <v>194107.49264242084</v>
      </c>
      <c r="R186" s="25">
        <v>18</v>
      </c>
    </row>
    <row r="187" spans="2:18">
      <c r="B187" s="8" t="s">
        <v>442</v>
      </c>
      <c r="D187" s="8" t="s">
        <v>80</v>
      </c>
      <c r="L187" s="126"/>
      <c r="M187" s="126"/>
      <c r="N187" s="126"/>
      <c r="O187" s="126"/>
      <c r="P187" s="35">
        <f>$F$38*P35*P121</f>
        <v>97053.74632121039</v>
      </c>
      <c r="R187" s="25">
        <v>18</v>
      </c>
    </row>
    <row r="188" spans="2:18">
      <c r="L188" s="106"/>
    </row>
    <row r="189" spans="2:18">
      <c r="B189" s="7" t="s">
        <v>310</v>
      </c>
    </row>
    <row r="190" spans="2:18">
      <c r="B190" s="8" t="s">
        <v>105</v>
      </c>
      <c r="D190" s="8" t="s">
        <v>80</v>
      </c>
      <c r="L190" s="31">
        <f>SUM(L162,L165,L173:L179)</f>
        <v>63673967.508967683</v>
      </c>
      <c r="M190" s="31">
        <f>SUM(M162,M165,M173:M179)</f>
        <v>64877758.11486201</v>
      </c>
      <c r="N190" s="31">
        <f>SUM(N162,N165,N173:N179)</f>
        <v>66102018.175016403</v>
      </c>
      <c r="O190" s="31">
        <f>SUM(O162,O165,O173:O179)</f>
        <v>67347075.577246711</v>
      </c>
      <c r="P190" s="31">
        <f>SUM(P162,P165,P173:P179)</f>
        <v>68613263.26382719</v>
      </c>
      <c r="R190" s="25">
        <v>11</v>
      </c>
    </row>
    <row r="191" spans="2:18">
      <c r="B191" s="8" t="s">
        <v>278</v>
      </c>
      <c r="D191" s="8" t="s">
        <v>80</v>
      </c>
      <c r="L191" s="31">
        <v>93016824.922501087</v>
      </c>
      <c r="M191" s="31">
        <v>94404451.85372521</v>
      </c>
      <c r="N191" s="31">
        <v>95812404.374835715</v>
      </c>
      <c r="O191" s="31">
        <v>97240976.019419283</v>
      </c>
      <c r="P191" s="31">
        <v>98690464.512472391</v>
      </c>
      <c r="R191" s="25">
        <v>11</v>
      </c>
    </row>
    <row r="192" spans="2:18">
      <c r="B192" s="8" t="s">
        <v>279</v>
      </c>
      <c r="D192" s="8" t="s">
        <v>80</v>
      </c>
      <c r="L192" s="31">
        <f>L166+L167</f>
        <v>7623760.6926725404</v>
      </c>
      <c r="M192" s="31">
        <f>M166+M167</f>
        <v>7722183.4432149418</v>
      </c>
      <c r="N192" s="31">
        <f>N166+N167</f>
        <v>7821876.831466848</v>
      </c>
      <c r="O192" s="31">
        <f>O166+O167</f>
        <v>7922857.2613610839</v>
      </c>
      <c r="P192" s="31">
        <f>P166+P167</f>
        <v>8025141.3486052575</v>
      </c>
      <c r="R192" s="25">
        <v>16</v>
      </c>
    </row>
    <row r="193" spans="2:18">
      <c r="L193" s="106"/>
    </row>
    <row r="194" spans="2:18" s="14" customFormat="1">
      <c r="B194" s="14" t="s">
        <v>294</v>
      </c>
    </row>
    <row r="195" spans="2:18">
      <c r="L195" s="123"/>
    </row>
    <row r="196" spans="2:18">
      <c r="B196" s="7" t="s">
        <v>311</v>
      </c>
    </row>
    <row r="197" spans="2:18">
      <c r="B197" s="8" t="s">
        <v>341</v>
      </c>
      <c r="D197" s="8" t="s">
        <v>80</v>
      </c>
      <c r="L197" s="35">
        <f>AVERAGE($H$156*L$16*L$27,$I$156*L$17*L$28,$J$156*L$18*L$29)</f>
        <v>44396172.470822252</v>
      </c>
      <c r="M197" s="35">
        <f>AVERAGE($H$156*M$16*M$27,$I$156*M$17*M$28,$J$156*M$18*M$29)</f>
        <v>44969327.057420559</v>
      </c>
      <c r="N197" s="35">
        <f>AVERAGE($H$156*N$16*N$27,$I$156*N$17*N$28,$J$156*N$18*N$29)</f>
        <v>45549881.069731861</v>
      </c>
      <c r="O197" s="35">
        <f>AVERAGE($H$156*O$16*O$27,$I$156*O$17*O$28,$J$156*O$18*O$29)</f>
        <v>46137930.034342103</v>
      </c>
      <c r="P197" s="35">
        <f>AVERAGE($H$156*P$16*P$27,$I$156*P$17*P$28,$J$156*P$18*P$29)</f>
        <v>46733570.711085461</v>
      </c>
      <c r="R197" s="25">
        <v>13</v>
      </c>
    </row>
    <row r="198" spans="2:18">
      <c r="B198" s="8" t="s">
        <v>340</v>
      </c>
      <c r="D198" s="8" t="s">
        <v>80</v>
      </c>
      <c r="L198" s="35">
        <f>AVERAGE($H$155*L$16*L$27,$I$155*L$17*L$28,$J$155*L$18*L$29)</f>
        <v>4929036.267819237</v>
      </c>
      <c r="M198" s="35">
        <f>AVERAGE($H$155*M$16*M$27,$I$155*M$17*M$28,$J$155*M$18*M$29)</f>
        <v>4992670.1260367818</v>
      </c>
      <c r="N198" s="35">
        <f>AVERAGE($H$155*N$16*N$27,$I$155*N$17*N$28,$J$155*N$18*N$29)</f>
        <v>5057125.4973639175</v>
      </c>
      <c r="O198" s="35">
        <f>AVERAGE($H$155*O$16*O$27,$I$155*O$17*O$28,$J$155*O$18*O$29)</f>
        <v>5122412.9875348844</v>
      </c>
      <c r="P198" s="35">
        <f>AVERAGE($H$155*P$16*P$27,$I$155*P$17*P$28,$J$155*P$18*P$29)</f>
        <v>5188543.3392039612</v>
      </c>
      <c r="R198" s="25">
        <v>13</v>
      </c>
    </row>
    <row r="199" spans="2:18">
      <c r="B199" s="8" t="s">
        <v>344</v>
      </c>
      <c r="D199" s="8" t="s">
        <v>80</v>
      </c>
      <c r="L199" s="35">
        <f>AVERAGE($H$157*L$16*L$27,$I$157*L$17*L$28, $J$157*L$18*L$29)</f>
        <v>22411188.620837633</v>
      </c>
      <c r="M199" s="35">
        <f>AVERAGE($H$157*M$16*M$27,$I$157*M$17*M$28, $J$157*M$18*M$29)</f>
        <v>22700517.065932646</v>
      </c>
      <c r="N199" s="35">
        <f>AVERAGE($H$157*N$16*N$27,$I$157*N$17*N$28, $J$157*N$18*N$29)</f>
        <v>22993580.741253842</v>
      </c>
      <c r="O199" s="35">
        <f>AVERAGE($H$157*O$16*O$27,$I$157*O$17*O$28, $J$157*O$18*O$29)</f>
        <v>23290427.868623424</v>
      </c>
      <c r="P199" s="35">
        <f>AVERAGE($H$157*P$16*P$27,$I$157*P$17*P$28, $J$157*P$18*P$29)</f>
        <v>23591107.29240736</v>
      </c>
      <c r="R199" s="25">
        <v>14</v>
      </c>
    </row>
    <row r="200" spans="2:18">
      <c r="B200" s="8" t="s">
        <v>430</v>
      </c>
      <c r="D200" s="8" t="s">
        <v>80</v>
      </c>
      <c r="L200" s="35">
        <f>AVERAGE((($F$48*$H$82+$F$49*$H$83+$F$50*$H$84)*L16*L27),(($F$48*$I$82+$F$49*$I$83+$F$50*$I$84)*L17*L28),(($F$48*$J$82+$F$49*$J$83+$F$50*$J$84)*L18*L29))-L199</f>
        <v>46109429.300066784</v>
      </c>
      <c r="M200" s="35">
        <f t="shared" ref="M200:P200" si="5">AVERAGE((($F$48*$H$82+$F$49*$H$83+$F$50*$H$84)*M16*M27),(($F$48*$I$82+$F$49*$I$83+$F$50*$I$84)*M17*M28),(($F$48*$J$82+$F$49*$J$83+$F$50*$J$84)*M18*M29))-M199</f>
        <v>46704702.032330632</v>
      </c>
      <c r="N200" s="35">
        <f t="shared" si="5"/>
        <v>47307659.735568032</v>
      </c>
      <c r="O200" s="35">
        <f t="shared" si="5"/>
        <v>47918401.622754216</v>
      </c>
      <c r="P200" s="35">
        <f t="shared" si="5"/>
        <v>48537028.187703982</v>
      </c>
      <c r="R200" s="25">
        <v>15</v>
      </c>
    </row>
    <row r="201" spans="2:18">
      <c r="B201" s="8" t="s">
        <v>232</v>
      </c>
      <c r="D201" s="8" t="s">
        <v>80</v>
      </c>
      <c r="L201" s="139" t="s">
        <v>597</v>
      </c>
      <c r="M201" s="139" t="s">
        <v>600</v>
      </c>
      <c r="N201" s="139" t="s">
        <v>603</v>
      </c>
      <c r="O201" s="139" t="s">
        <v>606</v>
      </c>
      <c r="P201" s="139" t="s">
        <v>609</v>
      </c>
      <c r="R201" s="25">
        <v>17</v>
      </c>
    </row>
    <row r="202" spans="2:18">
      <c r="B202" s="8" t="s">
        <v>233</v>
      </c>
      <c r="D202" s="8" t="s">
        <v>80</v>
      </c>
      <c r="L202" s="139" t="s">
        <v>598</v>
      </c>
      <c r="M202" s="139" t="s">
        <v>601</v>
      </c>
      <c r="N202" s="139" t="s">
        <v>604</v>
      </c>
      <c r="O202" s="139" t="s">
        <v>607</v>
      </c>
      <c r="P202" s="139" t="s">
        <v>610</v>
      </c>
      <c r="R202" s="25">
        <v>17</v>
      </c>
    </row>
    <row r="203" spans="2:18">
      <c r="B203" s="8" t="s">
        <v>234</v>
      </c>
      <c r="D203" s="8" t="s">
        <v>80</v>
      </c>
      <c r="L203" s="139" t="s">
        <v>599</v>
      </c>
      <c r="M203" s="139" t="s">
        <v>602</v>
      </c>
      <c r="N203" s="139" t="s">
        <v>605</v>
      </c>
      <c r="O203" s="139" t="s">
        <v>608</v>
      </c>
      <c r="P203" s="139" t="s">
        <v>611</v>
      </c>
      <c r="R203" s="25">
        <v>17</v>
      </c>
    </row>
    <row r="205" spans="2:18">
      <c r="B205" s="7" t="s">
        <v>312</v>
      </c>
    </row>
    <row r="206" spans="2:18">
      <c r="B206" s="8" t="s">
        <v>443</v>
      </c>
      <c r="D206" s="8" t="s">
        <v>80</v>
      </c>
      <c r="L206" s="35">
        <f>$F$38*L29*(L123-AVERAGE(L16*$H$123,L17*$I$123,L18*$J$123))</f>
        <v>3553684.1511291475</v>
      </c>
      <c r="M206" s="35">
        <f>$F$38*M29*(M123-AVERAGE(M16*$H$123,M17*$I$123,M18*$J$123))</f>
        <v>3599562.2135202391</v>
      </c>
      <c r="N206" s="35">
        <f>$F$38*N29*(N123-AVERAGE(N16*$H$123,N17*$I$123,N18*$J$123))</f>
        <v>3521692.4390854407</v>
      </c>
      <c r="O206" s="35">
        <f>$F$38*O29*(O123-AVERAGE(O16*$H$123,O17*$I$123,O18*$J$123))</f>
        <v>3438682.4556371868</v>
      </c>
      <c r="P206" s="35">
        <f>$F$38*P29*(P123-AVERAGE(P16*$H$123,P17*$I$123,P18*$J$123))</f>
        <v>3483075.8461394878</v>
      </c>
      <c r="R206" s="25">
        <v>18</v>
      </c>
    </row>
    <row r="207" spans="2:18">
      <c r="B207" s="8" t="s">
        <v>458</v>
      </c>
      <c r="D207" s="8" t="s">
        <v>80</v>
      </c>
      <c r="L207" s="35">
        <f t="shared" ref="L207:P208" si="6">$F$38*L30*L124</f>
        <v>1928713.3469667879</v>
      </c>
      <c r="M207" s="35">
        <f t="shared" si="6"/>
        <v>1953613.0362761293</v>
      </c>
      <c r="N207" s="35">
        <f t="shared" si="6"/>
        <v>1978834.1805744539</v>
      </c>
      <c r="O207" s="35">
        <f t="shared" si="6"/>
        <v>2004380.92984567</v>
      </c>
      <c r="P207" s="35">
        <f t="shared" si="6"/>
        <v>2030257.4876499781</v>
      </c>
      <c r="R207" s="25">
        <v>18</v>
      </c>
    </row>
    <row r="208" spans="2:18">
      <c r="B208" s="8" t="s">
        <v>459</v>
      </c>
      <c r="D208" s="8" t="s">
        <v>80</v>
      </c>
      <c r="L208" s="35">
        <f t="shared" si="6"/>
        <v>964356.67348339385</v>
      </c>
      <c r="M208" s="35">
        <f t="shared" si="6"/>
        <v>1953613.0362761291</v>
      </c>
      <c r="N208" s="35">
        <f t="shared" si="6"/>
        <v>1978834.1805744539</v>
      </c>
      <c r="O208" s="35">
        <f t="shared" si="6"/>
        <v>2004380.9298456705</v>
      </c>
      <c r="P208" s="35">
        <f t="shared" si="6"/>
        <v>2030257.4876499777</v>
      </c>
      <c r="R208" s="25">
        <v>18</v>
      </c>
    </row>
    <row r="209" spans="2:18">
      <c r="B209" s="8" t="s">
        <v>460</v>
      </c>
      <c r="D209" s="8" t="s">
        <v>80</v>
      </c>
      <c r="L209" s="126"/>
      <c r="M209" s="35">
        <f>$F$38*M32*M126</f>
        <v>976806.51813806465</v>
      </c>
      <c r="N209" s="35">
        <f>$F$38*N32*N126</f>
        <v>1978834.1805744541</v>
      </c>
      <c r="O209" s="35">
        <f>$F$38*O32*O126</f>
        <v>2004380.92984567</v>
      </c>
      <c r="P209" s="35">
        <f>$F$38*P32*P126</f>
        <v>2030257.4876499781</v>
      </c>
      <c r="R209" s="25">
        <v>18</v>
      </c>
    </row>
    <row r="210" spans="2:18">
      <c r="B210" s="8" t="s">
        <v>461</v>
      </c>
      <c r="D210" s="8" t="s">
        <v>80</v>
      </c>
      <c r="L210" s="126"/>
      <c r="M210" s="126"/>
      <c r="N210" s="35">
        <f>$F$38*N33*N127</f>
        <v>989417.09028722707</v>
      </c>
      <c r="O210" s="35">
        <f>$F$38*O33*O127</f>
        <v>2004380.9298456702</v>
      </c>
      <c r="P210" s="35">
        <f>$F$38*P33*P127</f>
        <v>2030257.4876499779</v>
      </c>
      <c r="R210" s="25">
        <v>18</v>
      </c>
    </row>
    <row r="211" spans="2:18">
      <c r="B211" s="8" t="s">
        <v>462</v>
      </c>
      <c r="D211" s="8" t="s">
        <v>80</v>
      </c>
      <c r="L211" s="126"/>
      <c r="M211" s="126"/>
      <c r="N211" s="126"/>
      <c r="O211" s="35">
        <f>$F$38*O34*O128</f>
        <v>1002190.4649228351</v>
      </c>
      <c r="P211" s="35">
        <f>$F$38*P34*P128</f>
        <v>2030257.4876499779</v>
      </c>
      <c r="R211" s="25">
        <v>18</v>
      </c>
    </row>
    <row r="212" spans="2:18">
      <c r="B212" s="8" t="s">
        <v>463</v>
      </c>
      <c r="D212" s="8" t="s">
        <v>80</v>
      </c>
      <c r="L212" s="126"/>
      <c r="M212" s="126"/>
      <c r="N212" s="126"/>
      <c r="O212" s="126"/>
      <c r="P212" s="35">
        <f>$F$38*P35*P129</f>
        <v>1015128.743824989</v>
      </c>
      <c r="R212" s="25">
        <v>18</v>
      </c>
    </row>
    <row r="213" spans="2:18">
      <c r="B213" s="7"/>
    </row>
    <row r="214" spans="2:18">
      <c r="B214" s="8" t="s">
        <v>444</v>
      </c>
      <c r="D214" s="8" t="s">
        <v>80</v>
      </c>
      <c r="L214" s="35">
        <f>$F$38*L29*(L131-AVERAGE(L16*$H$131,L17*$I$131,L18*$J$131))</f>
        <v>530428.99353333469</v>
      </c>
      <c r="M214" s="35">
        <f>$F$38*M29*(M131-AVERAGE(M16*$H$131,M17*$I$131,M18*$J$131))</f>
        <v>537276.83183985064</v>
      </c>
      <c r="N214" s="35">
        <f>$F$38*N29*(N131-AVERAGE(N16*$H$131,N17*$I$131,N18*$J$131))</f>
        <v>537685.09081829363</v>
      </c>
      <c r="O214" s="35">
        <f>$F$38*O29*(O131-AVERAGE(O16*$H$131,O17*$I$131,O18*$J$131))</f>
        <v>537881.53336060641</v>
      </c>
      <c r="P214" s="35">
        <f>$F$38*P29*(P131-AVERAGE(P16*$H$131,P17*$I$131,P18*$J$131))</f>
        <v>544825.58395629306</v>
      </c>
      <c r="R214" s="25">
        <v>18</v>
      </c>
    </row>
    <row r="215" spans="2:18">
      <c r="B215" s="8" t="s">
        <v>464</v>
      </c>
      <c r="D215" s="8" t="s">
        <v>80</v>
      </c>
      <c r="L215" s="35">
        <f t="shared" ref="L215:P216" si="7">$F$38*L30*L132</f>
        <v>312650.49393148359</v>
      </c>
      <c r="M215" s="35">
        <f t="shared" si="7"/>
        <v>316686.81180813909</v>
      </c>
      <c r="N215" s="35">
        <f t="shared" si="7"/>
        <v>320775.23854858213</v>
      </c>
      <c r="O215" s="35">
        <f t="shared" si="7"/>
        <v>324916.44687824429</v>
      </c>
      <c r="P215" s="35">
        <f t="shared" si="7"/>
        <v>329111.11820744252</v>
      </c>
      <c r="R215" s="25">
        <v>18</v>
      </c>
    </row>
    <row r="216" spans="2:18">
      <c r="B216" s="8" t="s">
        <v>465</v>
      </c>
      <c r="D216" s="8" t="s">
        <v>80</v>
      </c>
      <c r="L216" s="35">
        <f t="shared" si="7"/>
        <v>156325.24696574177</v>
      </c>
      <c r="M216" s="35">
        <f t="shared" si="7"/>
        <v>316686.81180813903</v>
      </c>
      <c r="N216" s="35">
        <f t="shared" si="7"/>
        <v>320775.23854858213</v>
      </c>
      <c r="O216" s="35">
        <f t="shared" si="7"/>
        <v>324916.44687824429</v>
      </c>
      <c r="P216" s="35">
        <f t="shared" si="7"/>
        <v>329111.1182074424</v>
      </c>
      <c r="R216" s="25">
        <v>18</v>
      </c>
    </row>
    <row r="217" spans="2:18">
      <c r="B217" s="8" t="s">
        <v>466</v>
      </c>
      <c r="D217" s="8" t="s">
        <v>80</v>
      </c>
      <c r="L217" s="126"/>
      <c r="M217" s="35">
        <f>$F$38*M32*M134</f>
        <v>158343.40590406951</v>
      </c>
      <c r="N217" s="35">
        <f>$F$38*N32*N134</f>
        <v>320775.23854858213</v>
      </c>
      <c r="O217" s="35">
        <f>$F$38*O32*O134</f>
        <v>324916.44687824434</v>
      </c>
      <c r="P217" s="35">
        <f>$F$38*P32*P134</f>
        <v>329111.11820744246</v>
      </c>
      <c r="R217" s="25">
        <v>18</v>
      </c>
    </row>
    <row r="218" spans="2:18">
      <c r="B218" s="8" t="s">
        <v>467</v>
      </c>
      <c r="D218" s="8" t="s">
        <v>80</v>
      </c>
      <c r="L218" s="126"/>
      <c r="M218" s="126"/>
      <c r="N218" s="35">
        <f>$F$38*N33*N135</f>
        <v>160387.61927429104</v>
      </c>
      <c r="O218" s="35">
        <f>$F$38*O33*O135</f>
        <v>324916.44687824429</v>
      </c>
      <c r="P218" s="35">
        <f>$F$38*P33*P135</f>
        <v>329111.11820744246</v>
      </c>
      <c r="R218" s="25">
        <v>18</v>
      </c>
    </row>
    <row r="219" spans="2:18">
      <c r="B219" s="8" t="s">
        <v>468</v>
      </c>
      <c r="D219" s="8" t="s">
        <v>80</v>
      </c>
      <c r="L219" s="126"/>
      <c r="M219" s="126"/>
      <c r="N219" s="126"/>
      <c r="O219" s="35">
        <f>$F$38*O34*O136</f>
        <v>162458.22343912217</v>
      </c>
      <c r="P219" s="35">
        <f>$F$38*P34*P136</f>
        <v>329111.11820744246</v>
      </c>
      <c r="R219" s="25">
        <v>18</v>
      </c>
    </row>
    <row r="220" spans="2:18">
      <c r="B220" s="8" t="s">
        <v>469</v>
      </c>
      <c r="D220" s="8" t="s">
        <v>80</v>
      </c>
      <c r="L220" s="126"/>
      <c r="M220" s="126"/>
      <c r="N220" s="126"/>
      <c r="O220" s="126"/>
      <c r="P220" s="35">
        <f>$F$38*P35*P137</f>
        <v>164555.55910372126</v>
      </c>
      <c r="R220" s="25">
        <v>18</v>
      </c>
    </row>
    <row r="221" spans="2:18">
      <c r="B221" s="7"/>
    </row>
    <row r="222" spans="2:18">
      <c r="B222" s="7" t="s">
        <v>313</v>
      </c>
    </row>
    <row r="223" spans="2:18">
      <c r="B223" s="8" t="s">
        <v>107</v>
      </c>
      <c r="D223" s="8" t="s">
        <v>80</v>
      </c>
      <c r="L223" s="31">
        <f>SUM(L197,L200,L206:L212)</f>
        <v>96952355.94246836</v>
      </c>
      <c r="M223" s="31">
        <f>SUM(M197,M200,M206:M212)</f>
        <v>100157623.89396176</v>
      </c>
      <c r="N223" s="31">
        <f>SUM(N197,N200,N206:N212)</f>
        <v>103305152.8763959</v>
      </c>
      <c r="O223" s="31">
        <f>SUM(O197,O200,O206:O212)</f>
        <v>106514728.29703905</v>
      </c>
      <c r="P223" s="31">
        <f>SUM(P197,P200,P206:P212)</f>
        <v>109920090.9270038</v>
      </c>
      <c r="R223" s="25">
        <v>11</v>
      </c>
    </row>
    <row r="224" spans="2:18">
      <c r="B224" s="8" t="s">
        <v>106</v>
      </c>
      <c r="D224" s="8" t="s">
        <v>80</v>
      </c>
      <c r="L224" s="31">
        <v>57597287.943280764</v>
      </c>
      <c r="M224" s="31">
        <v>58657555.742436647</v>
      </c>
      <c r="N224" s="31">
        <v>59729072.040699497</v>
      </c>
      <c r="O224" s="31">
        <v>60818345.735643014</v>
      </c>
      <c r="P224" s="31">
        <v>61932621.697297588</v>
      </c>
      <c r="R224" s="25">
        <v>11</v>
      </c>
    </row>
  </sheetData>
  <mergeCells count="2">
    <mergeCell ref="B5:D5"/>
    <mergeCell ref="B8:D8"/>
  </mergeCells>
  <conditionalFormatting sqref="H107:P113">
    <cfRule type="cellIs" dxfId="3" priority="4" operator="equal">
      <formula>0</formula>
    </cfRule>
  </conditionalFormatting>
  <conditionalFormatting sqref="H115:P121">
    <cfRule type="cellIs" dxfId="2" priority="3" operator="equal">
      <formula>0</formula>
    </cfRule>
  </conditionalFormatting>
  <conditionalFormatting sqref="H123:P129">
    <cfRule type="cellIs" dxfId="1" priority="2" operator="equal">
      <formula>0</formula>
    </cfRule>
  </conditionalFormatting>
  <conditionalFormatting sqref="H131:P137">
    <cfRule type="cellIs" dxfId="0" priority="1" operator="equal">
      <formula>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FFFFCC"/>
  </sheetPr>
  <dimension ref="A2:X101"/>
  <sheetViews>
    <sheetView showGridLines="0" zoomScale="85" zoomScaleNormal="85" workbookViewId="0">
      <pane xSplit="4" ySplit="11" topLeftCell="E12" activePane="bottomRight" state="frozen"/>
      <selection pane="topRight" activeCell="E1" sqref="E1"/>
      <selection pane="bottomLeft" activeCell="A12" sqref="A12"/>
      <selection pane="bottomRight" activeCell="E11" sqref="E11"/>
    </sheetView>
  </sheetViews>
  <sheetFormatPr defaultColWidth="9.140625" defaultRowHeight="12.75"/>
  <cols>
    <col min="1" max="1" width="4.7109375" style="8" customWidth="1"/>
    <col min="2" max="2" width="75.7109375" style="8" customWidth="1"/>
    <col min="3" max="3" width="2.7109375" style="8" customWidth="1"/>
    <col min="4" max="4" width="26.42578125" style="8" bestFit="1" customWidth="1"/>
    <col min="5" max="5" width="2.7109375" style="8" customWidth="1"/>
    <col min="6" max="6" width="18.28515625" style="8" customWidth="1"/>
    <col min="7" max="7" width="2.7109375" style="8" customWidth="1"/>
    <col min="8" max="12" width="16.7109375" style="8" customWidth="1"/>
    <col min="13" max="13" width="2.7109375" style="8" customWidth="1"/>
    <col min="14" max="14" width="16.7109375" style="25" customWidth="1"/>
    <col min="15" max="15" width="2.7109375" style="8" customWidth="1"/>
    <col min="16" max="17" width="16.7109375" style="8" customWidth="1"/>
    <col min="18" max="20" width="2.7109375" style="8" customWidth="1"/>
    <col min="21" max="35" width="13.7109375" style="8" customWidth="1"/>
    <col min="36" max="16384" width="9.140625" style="8"/>
  </cols>
  <sheetData>
    <row r="2" spans="2:24" s="2" customFormat="1" ht="18">
      <c r="B2" s="2" t="s">
        <v>168</v>
      </c>
    </row>
    <row r="4" spans="2:24">
      <c r="B4" s="29" t="s">
        <v>56</v>
      </c>
      <c r="D4" s="7"/>
      <c r="H4" s="7"/>
    </row>
    <row r="5" spans="2:24" ht="66" customHeight="1">
      <c r="B5" s="141" t="s">
        <v>167</v>
      </c>
      <c r="C5" s="141"/>
      <c r="D5" s="141"/>
      <c r="E5" s="42"/>
      <c r="F5" s="42"/>
      <c r="G5" s="42"/>
      <c r="H5" s="42"/>
      <c r="I5" s="42"/>
      <c r="J5" s="71"/>
      <c r="K5" s="71"/>
      <c r="L5" s="71"/>
      <c r="M5" s="42"/>
      <c r="N5" s="74"/>
      <c r="O5" s="42"/>
      <c r="P5" s="71"/>
      <c r="Q5" s="71"/>
      <c r="R5" s="71"/>
      <c r="S5" s="71"/>
      <c r="T5" s="71"/>
      <c r="U5" s="71"/>
      <c r="V5" s="71"/>
      <c r="W5" s="71"/>
      <c r="X5" s="71"/>
    </row>
    <row r="6" spans="2:24" ht="12.75" customHeight="1">
      <c r="B6" s="44"/>
      <c r="C6" s="44"/>
      <c r="D6" s="44"/>
      <c r="H6" s="71"/>
      <c r="I6" s="71"/>
      <c r="J6" s="71"/>
      <c r="K6" s="71"/>
      <c r="L6" s="71"/>
      <c r="N6" s="74"/>
      <c r="P6" s="71"/>
      <c r="Q6" s="71"/>
      <c r="R6" s="71"/>
      <c r="S6" s="71"/>
      <c r="T6" s="71"/>
      <c r="U6" s="71"/>
      <c r="V6" s="71"/>
      <c r="W6" s="71"/>
      <c r="X6" s="71"/>
    </row>
    <row r="7" spans="2:24" ht="12.75" customHeight="1">
      <c r="B7" s="30" t="s">
        <v>30</v>
      </c>
      <c r="C7" s="44"/>
      <c r="D7" s="44"/>
      <c r="H7" s="71"/>
      <c r="I7" s="71"/>
      <c r="J7" s="71"/>
      <c r="K7" s="71"/>
      <c r="L7" s="71"/>
      <c r="N7" s="74"/>
      <c r="P7" s="71"/>
      <c r="Q7" s="71"/>
      <c r="R7" s="71"/>
      <c r="S7" s="71"/>
      <c r="T7" s="71"/>
      <c r="U7" s="71"/>
      <c r="V7" s="71"/>
      <c r="W7" s="71"/>
      <c r="X7" s="71"/>
    </row>
    <row r="8" spans="2:24" ht="66" customHeight="1">
      <c r="B8" s="141" t="s">
        <v>372</v>
      </c>
      <c r="C8" s="141"/>
      <c r="D8" s="141"/>
      <c r="E8" s="42"/>
      <c r="F8" s="42"/>
      <c r="G8" s="42"/>
      <c r="H8" s="42"/>
      <c r="I8" s="42"/>
      <c r="J8" s="71"/>
      <c r="K8" s="71"/>
      <c r="L8" s="71"/>
      <c r="M8" s="42"/>
      <c r="N8" s="74"/>
      <c r="O8" s="42"/>
      <c r="P8" s="71"/>
      <c r="Q8" s="71"/>
      <c r="R8" s="71"/>
      <c r="S8" s="71"/>
      <c r="T8" s="71"/>
      <c r="U8" s="71"/>
      <c r="V8" s="71"/>
      <c r="W8" s="71"/>
      <c r="X8" s="71"/>
    </row>
    <row r="9" spans="2:24" ht="12.75" customHeight="1">
      <c r="B9" s="44"/>
      <c r="C9" s="44"/>
      <c r="D9" s="44"/>
      <c r="H9" s="73"/>
      <c r="I9" s="73"/>
      <c r="J9" s="73"/>
      <c r="K9" s="73"/>
      <c r="L9" s="73"/>
      <c r="N9" s="72"/>
      <c r="P9" s="71"/>
      <c r="Q9" s="71"/>
      <c r="R9" s="71"/>
      <c r="S9" s="71"/>
      <c r="T9" s="71"/>
      <c r="U9" s="71"/>
      <c r="V9" s="71"/>
      <c r="W9" s="71"/>
      <c r="X9" s="71"/>
    </row>
    <row r="10" spans="2:24" s="1" customFormat="1">
      <c r="B10" s="1" t="s">
        <v>45</v>
      </c>
      <c r="D10" s="1" t="s">
        <v>27</v>
      </c>
      <c r="F10" s="1" t="s">
        <v>28</v>
      </c>
      <c r="H10" s="1">
        <v>2022</v>
      </c>
      <c r="I10" s="1">
        <v>2023</v>
      </c>
      <c r="J10" s="1">
        <v>2024</v>
      </c>
      <c r="K10" s="1">
        <v>2025</v>
      </c>
      <c r="L10" s="1">
        <v>2026</v>
      </c>
      <c r="N10" s="1" t="s">
        <v>119</v>
      </c>
      <c r="P10" s="1" t="s">
        <v>47</v>
      </c>
    </row>
    <row r="13" spans="2:24" s="1" customFormat="1">
      <c r="B13" s="1" t="s">
        <v>48</v>
      </c>
    </row>
    <row r="14" spans="2:24">
      <c r="J14" s="48"/>
      <c r="K14" s="48"/>
      <c r="L14" s="48"/>
      <c r="N14" s="61"/>
    </row>
    <row r="15" spans="2:24">
      <c r="B15" s="29" t="s">
        <v>166</v>
      </c>
      <c r="J15" s="48"/>
      <c r="K15" s="48"/>
      <c r="L15" s="48"/>
      <c r="N15" s="61"/>
    </row>
    <row r="16" spans="2:24">
      <c r="B16" s="46" t="s">
        <v>256</v>
      </c>
      <c r="D16" s="8" t="s">
        <v>104</v>
      </c>
      <c r="H16" s="6">
        <f>'5. Berekening op parameters'!L57</f>
        <v>1</v>
      </c>
      <c r="I16" s="6">
        <f>'5. Berekening op parameters'!M57</f>
        <v>1.032</v>
      </c>
      <c r="J16" s="6">
        <f>'5. Berekening op parameters'!N57</f>
        <v>1.070184</v>
      </c>
      <c r="K16" s="6">
        <f>'5. Berekening op parameters'!O57</f>
        <v>1.1097808079999998</v>
      </c>
      <c r="L16" s="6">
        <f>'5. Berekening op parameters'!P57</f>
        <v>1.1508426978959998</v>
      </c>
      <c r="N16" s="61"/>
    </row>
    <row r="17" spans="2:14">
      <c r="B17" s="29"/>
      <c r="N17" s="8"/>
    </row>
    <row r="18" spans="2:14">
      <c r="B18" s="29" t="s">
        <v>78</v>
      </c>
      <c r="J18" s="48"/>
      <c r="K18" s="48"/>
      <c r="L18" s="48"/>
      <c r="N18" s="61"/>
    </row>
    <row r="19" spans="2:14">
      <c r="B19" s="46" t="s">
        <v>165</v>
      </c>
      <c r="D19" s="8" t="s">
        <v>75</v>
      </c>
      <c r="H19" s="43">
        <f>'2. Reguleringsparameters'!L21</f>
        <v>1.7999999999999999E-2</v>
      </c>
      <c r="I19" s="43">
        <f>'2. Reguleringsparameters'!M21</f>
        <v>1.7999999999999999E-2</v>
      </c>
      <c r="J19" s="43">
        <f>'2. Reguleringsparameters'!N21</f>
        <v>1.7999999999999999E-2</v>
      </c>
      <c r="K19" s="43">
        <f>'2. Reguleringsparameters'!O21</f>
        <v>1.7999999999999999E-2</v>
      </c>
      <c r="L19" s="43">
        <f>'2. Reguleringsparameters'!P21</f>
        <v>1.7999999999999999E-2</v>
      </c>
      <c r="N19" s="61"/>
    </row>
    <row r="20" spans="2:14">
      <c r="B20" s="46" t="s">
        <v>164</v>
      </c>
      <c r="D20" s="8" t="s">
        <v>104</v>
      </c>
      <c r="F20" s="6">
        <f>'5. Berekening op parameters'!P29</f>
        <v>1.0932988467695681</v>
      </c>
      <c r="J20" s="48"/>
      <c r="K20" s="48"/>
      <c r="L20" s="48"/>
      <c r="N20" s="61"/>
    </row>
    <row r="21" spans="2:14">
      <c r="B21" s="29"/>
      <c r="J21" s="48"/>
      <c r="K21" s="48"/>
      <c r="L21" s="48"/>
      <c r="N21" s="61"/>
    </row>
    <row r="22" spans="2:14">
      <c r="B22" s="29" t="s">
        <v>261</v>
      </c>
      <c r="J22" s="48"/>
      <c r="K22" s="48"/>
      <c r="L22" s="48"/>
      <c r="N22" s="61"/>
    </row>
    <row r="23" spans="2:14">
      <c r="B23" s="134" t="s">
        <v>261</v>
      </c>
      <c r="D23" s="8" t="s">
        <v>75</v>
      </c>
      <c r="F23" s="43">
        <f>'2. Reguleringsparameters'!F25</f>
        <v>1</v>
      </c>
      <c r="N23" s="61"/>
    </row>
    <row r="24" spans="2:14">
      <c r="B24" s="70"/>
      <c r="N24" s="8"/>
    </row>
    <row r="25" spans="2:14">
      <c r="B25" s="29" t="s">
        <v>176</v>
      </c>
      <c r="J25" s="48"/>
      <c r="K25" s="48"/>
      <c r="L25" s="48"/>
      <c r="N25" s="61"/>
    </row>
    <row r="26" spans="2:14">
      <c r="B26" s="8" t="s">
        <v>142</v>
      </c>
      <c r="D26" s="8" t="s">
        <v>80</v>
      </c>
      <c r="F26" s="53"/>
      <c r="H26" s="34">
        <f>'6. Berekening doorrollen '!H43</f>
        <v>130096424.85830367</v>
      </c>
      <c r="I26" s="34">
        <f>'6. Berekening doorrollen '!I43</f>
        <v>127275794.97377396</v>
      </c>
      <c r="J26" s="34">
        <f>'6. Berekening doorrollen '!J43</f>
        <v>132394116.17682648</v>
      </c>
      <c r="K26" s="34">
        <f>'6. Berekening doorrollen '!K43</f>
        <v>130344951.28677697</v>
      </c>
      <c r="L26" s="34">
        <f>'6. Berekening doorrollen '!L43</f>
        <v>80916547.634960175</v>
      </c>
      <c r="N26" s="61"/>
    </row>
    <row r="27" spans="2:14">
      <c r="B27" s="8" t="s">
        <v>274</v>
      </c>
      <c r="D27" s="8" t="s">
        <v>80</v>
      </c>
      <c r="F27" s="53"/>
      <c r="H27" s="34">
        <f>'6. Berekening doorrollen '!H44</f>
        <v>14941354.730572596</v>
      </c>
      <c r="I27" s="34">
        <f>'6. Berekening doorrollen '!I44</f>
        <v>14491229.909132661</v>
      </c>
      <c r="J27" s="34">
        <f>'6. Berekening doorrollen '!J44</f>
        <v>15878464.320671745</v>
      </c>
      <c r="K27" s="34">
        <f>'6. Berekening doorrollen '!K44</f>
        <v>15610570.819187013</v>
      </c>
      <c r="L27" s="34">
        <f>'6. Berekening doorrollen '!L44</f>
        <v>13597341.662307024</v>
      </c>
      <c r="N27" s="61"/>
    </row>
    <row r="28" spans="2:14">
      <c r="B28" s="8" t="s">
        <v>282</v>
      </c>
      <c r="D28" s="8" t="s">
        <v>80</v>
      </c>
      <c r="F28" s="53"/>
      <c r="H28" s="34">
        <f>'6. Berekening doorrollen '!H45</f>
        <v>14599589.943444706</v>
      </c>
      <c r="I28" s="34">
        <f>'6. Berekening doorrollen '!I45</f>
        <v>14275013.401053913</v>
      </c>
      <c r="J28" s="34">
        <f>'6. Berekening doorrollen '!J45</f>
        <v>15127323.646031445</v>
      </c>
      <c r="K28" s="34">
        <f>'6. Berekening doorrollen '!K45</f>
        <v>14081070.880130926</v>
      </c>
      <c r="L28" s="34">
        <f>'6. Berekening doorrollen '!L45</f>
        <v>14001460.633202594</v>
      </c>
      <c r="N28" s="61"/>
    </row>
    <row r="29" spans="2:14">
      <c r="B29" s="46" t="s">
        <v>131</v>
      </c>
      <c r="D29" s="8" t="s">
        <v>80</v>
      </c>
      <c r="F29" s="53"/>
      <c r="H29" s="34">
        <f>'7. Berekening bijschatten '!L59</f>
        <v>3956909.7607700564</v>
      </c>
      <c r="I29" s="34">
        <f>'7. Berekening bijschatten '!M59</f>
        <v>6252842.1635753922</v>
      </c>
      <c r="J29" s="34">
        <f>'7. Berekening bijschatten '!N59</f>
        <v>9323114.5498409458</v>
      </c>
      <c r="K29" s="34">
        <f>'7. Berekening bijschatten '!O59</f>
        <v>11867310.84234092</v>
      </c>
      <c r="L29" s="34">
        <f>'7. Berekening bijschatten '!P59</f>
        <v>14228132.607429011</v>
      </c>
      <c r="N29" s="61"/>
    </row>
    <row r="30" spans="2:14">
      <c r="B30" s="46" t="s">
        <v>132</v>
      </c>
      <c r="D30" s="8" t="s">
        <v>80</v>
      </c>
      <c r="F30" s="53"/>
      <c r="H30" s="34">
        <f>'7. Berekening bijschatten '!L60</f>
        <v>1826202.7430237248</v>
      </c>
      <c r="I30" s="34">
        <f>'7. Berekening bijschatten '!M60</f>
        <v>2876198.8848429834</v>
      </c>
      <c r="J30" s="34">
        <f>'7. Berekening bijschatten '!N60</f>
        <v>4308390.7558248397</v>
      </c>
      <c r="K30" s="34">
        <f>'7. Berekening bijschatten '!O60</f>
        <v>5482066.8994580097</v>
      </c>
      <c r="L30" s="34">
        <f>'7. Berekening bijschatten '!P60</f>
        <v>6514012.7114090919</v>
      </c>
      <c r="N30" s="61"/>
    </row>
    <row r="31" spans="2:14">
      <c r="B31" s="46" t="s">
        <v>105</v>
      </c>
      <c r="D31" s="8" t="s">
        <v>80</v>
      </c>
      <c r="F31" s="53"/>
      <c r="H31" s="34">
        <f>'8. Berekening oper. kosten'!L190</f>
        <v>63673967.508967683</v>
      </c>
      <c r="I31" s="34">
        <f>'8. Berekening oper. kosten'!M190</f>
        <v>64877758.11486201</v>
      </c>
      <c r="J31" s="34">
        <f>'8. Berekening oper. kosten'!N190</f>
        <v>66102018.175016403</v>
      </c>
      <c r="K31" s="34">
        <f>'8. Berekening oper. kosten'!O190</f>
        <v>67347075.577246711</v>
      </c>
      <c r="L31" s="34">
        <f>'8. Berekening oper. kosten'!P190</f>
        <v>68613263.26382719</v>
      </c>
      <c r="N31" s="61"/>
    </row>
    <row r="32" spans="2:14">
      <c r="B32" s="46" t="s">
        <v>278</v>
      </c>
      <c r="D32" s="8" t="s">
        <v>80</v>
      </c>
      <c r="F32" s="53"/>
      <c r="H32" s="34">
        <f>'8. Berekening oper. kosten'!L191</f>
        <v>93016824.922501087</v>
      </c>
      <c r="I32" s="34">
        <f>'8. Berekening oper. kosten'!M191</f>
        <v>94404451.85372521</v>
      </c>
      <c r="J32" s="34">
        <f>'8. Berekening oper. kosten'!N191</f>
        <v>95812404.374835715</v>
      </c>
      <c r="K32" s="34">
        <f>'8. Berekening oper. kosten'!O191</f>
        <v>97240976.019419283</v>
      </c>
      <c r="L32" s="34">
        <f>'8. Berekening oper. kosten'!P191</f>
        <v>98690464.512472391</v>
      </c>
      <c r="N32" s="61"/>
    </row>
    <row r="33" spans="2:14">
      <c r="B33" s="46" t="s">
        <v>279</v>
      </c>
      <c r="D33" s="8" t="s">
        <v>80</v>
      </c>
      <c r="F33" s="53"/>
      <c r="H33" s="34">
        <f>'8. Berekening oper. kosten'!L192</f>
        <v>7623760.6926725404</v>
      </c>
      <c r="I33" s="34">
        <f>'8. Berekening oper. kosten'!M192</f>
        <v>7722183.4432149418</v>
      </c>
      <c r="J33" s="34">
        <f>'8. Berekening oper. kosten'!N192</f>
        <v>7821876.831466848</v>
      </c>
      <c r="K33" s="34">
        <f>'8. Berekening oper. kosten'!O192</f>
        <v>7922857.2613610839</v>
      </c>
      <c r="L33" s="34">
        <f>'8. Berekening oper. kosten'!P192</f>
        <v>8025141.3486052575</v>
      </c>
      <c r="N33" s="61"/>
    </row>
    <row r="34" spans="2:14">
      <c r="B34" s="29"/>
      <c r="I34" s="33"/>
      <c r="J34" s="33"/>
      <c r="K34" s="33"/>
      <c r="L34" s="33"/>
      <c r="N34" s="61"/>
    </row>
    <row r="35" spans="2:14">
      <c r="B35" s="29" t="s">
        <v>175</v>
      </c>
      <c r="I35" s="33"/>
      <c r="J35" s="33"/>
      <c r="K35" s="33"/>
      <c r="L35" s="33"/>
      <c r="N35" s="61"/>
    </row>
    <row r="36" spans="2:14">
      <c r="B36" s="46" t="s">
        <v>139</v>
      </c>
      <c r="D36" s="8" t="s">
        <v>80</v>
      </c>
      <c r="H36" s="34">
        <f>'6. Berekening doorrollen '!H54</f>
        <v>151853273.96324196</v>
      </c>
      <c r="I36" s="34">
        <f>'6. Berekening doorrollen '!I54</f>
        <v>148335116.20805213</v>
      </c>
      <c r="J36" s="34">
        <f>'6. Berekening doorrollen '!J54</f>
        <v>150541550.67350081</v>
      </c>
      <c r="K36" s="34">
        <f>'6. Berekening doorrollen '!K54</f>
        <v>132776178.61797217</v>
      </c>
      <c r="L36" s="34">
        <f>'6. Berekening doorrollen '!L54</f>
        <v>124187907.68161741</v>
      </c>
      <c r="N36" s="61"/>
    </row>
    <row r="37" spans="2:14">
      <c r="B37" s="46" t="s">
        <v>140</v>
      </c>
      <c r="D37" s="8" t="s">
        <v>80</v>
      </c>
      <c r="H37" s="34">
        <f>'6. Berekening doorrollen '!H55</f>
        <v>16638342.748567261</v>
      </c>
      <c r="I37" s="34">
        <f>'6. Berekening doorrollen '!I55</f>
        <v>15976504.403330002</v>
      </c>
      <c r="J37" s="34">
        <f>'6. Berekening doorrollen '!J55</f>
        <v>16461767.817324352</v>
      </c>
      <c r="K37" s="34">
        <f>'6. Berekening doorrollen '!K55</f>
        <v>14837936.09731685</v>
      </c>
      <c r="L37" s="34">
        <f>'6. Berekening doorrollen '!L55</f>
        <v>12817611.984455217</v>
      </c>
      <c r="N37" s="61"/>
    </row>
    <row r="38" spans="2:14">
      <c r="B38" s="46" t="s">
        <v>135</v>
      </c>
      <c r="D38" s="8" t="s">
        <v>80</v>
      </c>
      <c r="H38" s="34">
        <f>'7. Berekening bijschatten '!L69</f>
        <v>17629824.412582844</v>
      </c>
      <c r="I38" s="34">
        <f>'7. Berekening bijschatten '!M69</f>
        <v>27629471.080287002</v>
      </c>
      <c r="J38" s="34">
        <f>'7. Berekening bijschatten '!N69</f>
        <v>41671476.391443908</v>
      </c>
      <c r="K38" s="34">
        <f>'7. Berekening bijschatten '!O69</f>
        <v>52994431.92588152</v>
      </c>
      <c r="L38" s="34">
        <f>'7. Berekening bijschatten '!P69</f>
        <v>63754632.531542301</v>
      </c>
      <c r="N38" s="61"/>
    </row>
    <row r="39" spans="2:14">
      <c r="B39" s="46" t="s">
        <v>136</v>
      </c>
      <c r="D39" s="8" t="s">
        <v>80</v>
      </c>
      <c r="H39" s="34">
        <f>'7. Berekening bijschatten '!L70</f>
        <v>3782556.363840986</v>
      </c>
      <c r="I39" s="34">
        <f>'7. Berekening bijschatten '!M70</f>
        <v>6021196.2794198925</v>
      </c>
      <c r="J39" s="34">
        <f>'7. Berekening bijschatten '!N70</f>
        <v>8886956.5460432209</v>
      </c>
      <c r="K39" s="34">
        <f>'7. Berekening bijschatten '!O70</f>
        <v>11321451.985314852</v>
      </c>
      <c r="L39" s="34">
        <f>'7. Berekening bijschatten '!P70</f>
        <v>13298324.704620291</v>
      </c>
      <c r="N39" s="61"/>
    </row>
    <row r="40" spans="2:14">
      <c r="B40" s="8" t="s">
        <v>241</v>
      </c>
      <c r="D40" s="8" t="s">
        <v>80</v>
      </c>
      <c r="H40" s="34">
        <f>'8. Berekening oper. kosten'!L223</f>
        <v>96952355.94246836</v>
      </c>
      <c r="I40" s="34">
        <f>'8. Berekening oper. kosten'!M223</f>
        <v>100157623.89396176</v>
      </c>
      <c r="J40" s="34">
        <f>'8. Berekening oper. kosten'!N223</f>
        <v>103305152.8763959</v>
      </c>
      <c r="K40" s="34">
        <f>'8. Berekening oper. kosten'!O223</f>
        <v>106514728.29703905</v>
      </c>
      <c r="L40" s="34">
        <f>'8. Berekening oper. kosten'!P223</f>
        <v>109920090.9270038</v>
      </c>
      <c r="N40" s="61"/>
    </row>
    <row r="41" spans="2:14">
      <c r="B41" s="8" t="s">
        <v>106</v>
      </c>
      <c r="D41" s="8" t="s">
        <v>80</v>
      </c>
      <c r="H41" s="34">
        <f>'8. Berekening oper. kosten'!L224</f>
        <v>57597287.943280764</v>
      </c>
      <c r="I41" s="34">
        <f>'8. Berekening oper. kosten'!M224</f>
        <v>58657555.742436647</v>
      </c>
      <c r="J41" s="34">
        <f>'8. Berekening oper. kosten'!N224</f>
        <v>59729072.040699497</v>
      </c>
      <c r="K41" s="34">
        <f>'8. Berekening oper. kosten'!O224</f>
        <v>60818345.735643014</v>
      </c>
      <c r="L41" s="34">
        <f>'8. Berekening oper. kosten'!P224</f>
        <v>61932621.697297588</v>
      </c>
      <c r="N41" s="61"/>
    </row>
    <row r="42" spans="2:14">
      <c r="B42" s="29"/>
      <c r="J42" s="48"/>
      <c r="K42" s="48"/>
      <c r="L42" s="48"/>
      <c r="N42" s="104"/>
    </row>
    <row r="43" spans="2:14" s="1" customFormat="1">
      <c r="B43" s="1" t="s">
        <v>163</v>
      </c>
    </row>
    <row r="44" spans="2:14">
      <c r="B44" s="29"/>
      <c r="J44" s="48"/>
      <c r="K44" s="48"/>
      <c r="L44" s="48"/>
      <c r="N44" s="104"/>
    </row>
    <row r="45" spans="2:14">
      <c r="B45" s="29" t="s">
        <v>176</v>
      </c>
      <c r="J45" s="48"/>
      <c r="K45" s="48"/>
      <c r="L45" s="48"/>
      <c r="N45" s="104"/>
    </row>
    <row r="46" spans="2:14">
      <c r="B46" s="46" t="s">
        <v>170</v>
      </c>
      <c r="D46" s="8" t="s">
        <v>80</v>
      </c>
      <c r="H46" s="35">
        <f>SUM(H26,H29,H31)</f>
        <v>197727302.12804139</v>
      </c>
      <c r="I46" s="35">
        <f t="shared" ref="I46:L47" si="0">SUM(I26,I29,I31)</f>
        <v>198406395.25221136</v>
      </c>
      <c r="J46" s="35">
        <f t="shared" si="0"/>
        <v>207819248.90168384</v>
      </c>
      <c r="K46" s="35">
        <f t="shared" si="0"/>
        <v>209559337.70636463</v>
      </c>
      <c r="L46" s="35">
        <f>SUM(L26,L29,L31)</f>
        <v>163757943.50621638</v>
      </c>
      <c r="N46" s="61">
        <v>5</v>
      </c>
    </row>
    <row r="47" spans="2:14">
      <c r="B47" s="46" t="s">
        <v>280</v>
      </c>
      <c r="D47" s="8" t="s">
        <v>80</v>
      </c>
      <c r="H47" s="35">
        <f>SUM(H27,H30,H32)</f>
        <v>109784382.39609741</v>
      </c>
      <c r="I47" s="35">
        <f t="shared" si="0"/>
        <v>111771880.64770085</v>
      </c>
      <c r="J47" s="35">
        <f t="shared" si="0"/>
        <v>115999259.4513323</v>
      </c>
      <c r="K47" s="35">
        <f t="shared" si="0"/>
        <v>118333613.7380643</v>
      </c>
      <c r="L47" s="35">
        <f t="shared" si="0"/>
        <v>118801818.88618851</v>
      </c>
      <c r="N47" s="61">
        <v>5</v>
      </c>
    </row>
    <row r="48" spans="2:14">
      <c r="B48" s="46" t="s">
        <v>283</v>
      </c>
      <c r="D48" s="8" t="s">
        <v>80</v>
      </c>
      <c r="H48" s="35">
        <f>H28+H33</f>
        <v>22223350.636117246</v>
      </c>
      <c r="I48" s="35">
        <f t="shared" ref="I48:L48" si="1">I28+I33</f>
        <v>21997196.844268855</v>
      </c>
      <c r="J48" s="35">
        <f t="shared" si="1"/>
        <v>22949200.477498293</v>
      </c>
      <c r="K48" s="35">
        <f t="shared" si="1"/>
        <v>22003928.141492009</v>
      </c>
      <c r="L48" s="35">
        <f t="shared" si="1"/>
        <v>22026601.98180785</v>
      </c>
      <c r="N48" s="61">
        <v>5</v>
      </c>
    </row>
    <row r="49" spans="2:14">
      <c r="B49" s="29"/>
      <c r="J49" s="48"/>
      <c r="K49" s="48"/>
      <c r="L49" s="48"/>
      <c r="N49" s="61"/>
    </row>
    <row r="50" spans="2:14">
      <c r="B50" s="29" t="s">
        <v>175</v>
      </c>
      <c r="J50" s="48"/>
      <c r="K50" s="48"/>
      <c r="L50" s="48"/>
      <c r="N50" s="61"/>
    </row>
    <row r="51" spans="2:14">
      <c r="B51" s="46" t="s">
        <v>172</v>
      </c>
      <c r="D51" s="8" t="s">
        <v>80</v>
      </c>
      <c r="H51" s="35">
        <f t="shared" ref="H51:L52" si="2">SUM(H36,H38,H40)</f>
        <v>266435454.31829315</v>
      </c>
      <c r="I51" s="35">
        <f t="shared" si="2"/>
        <v>276122211.18230093</v>
      </c>
      <c r="J51" s="35">
        <f t="shared" si="2"/>
        <v>295518179.94134063</v>
      </c>
      <c r="K51" s="35">
        <f t="shared" si="2"/>
        <v>292285338.84089273</v>
      </c>
      <c r="L51" s="35">
        <f t="shared" si="2"/>
        <v>297862631.14016354</v>
      </c>
      <c r="N51" s="61">
        <v>5</v>
      </c>
    </row>
    <row r="52" spans="2:14">
      <c r="B52" s="46" t="s">
        <v>173</v>
      </c>
      <c r="D52" s="8" t="s">
        <v>80</v>
      </c>
      <c r="H52" s="35">
        <f t="shared" si="2"/>
        <v>78018187.055689007</v>
      </c>
      <c r="I52" s="35">
        <f t="shared" si="2"/>
        <v>80655256.425186545</v>
      </c>
      <c r="J52" s="35">
        <f t="shared" si="2"/>
        <v>85077796.404067069</v>
      </c>
      <c r="K52" s="35">
        <f t="shared" si="2"/>
        <v>86977733.818274707</v>
      </c>
      <c r="L52" s="35">
        <f t="shared" si="2"/>
        <v>88048558.386373103</v>
      </c>
      <c r="N52" s="61">
        <v>5</v>
      </c>
    </row>
    <row r="53" spans="2:14">
      <c r="B53" s="29"/>
      <c r="J53" s="48"/>
      <c r="K53" s="48"/>
      <c r="L53" s="48"/>
      <c r="N53" s="61"/>
    </row>
    <row r="54" spans="2:14" s="1" customFormat="1">
      <c r="B54" s="1" t="s">
        <v>162</v>
      </c>
    </row>
    <row r="55" spans="2:14">
      <c r="B55" s="29"/>
      <c r="J55" s="48"/>
      <c r="K55" s="48"/>
      <c r="L55" s="48"/>
      <c r="N55" s="61"/>
    </row>
    <row r="56" spans="2:14">
      <c r="B56" s="29" t="s">
        <v>171</v>
      </c>
      <c r="J56" s="48"/>
      <c r="K56" s="48"/>
      <c r="L56" s="48"/>
      <c r="N56" s="61"/>
    </row>
    <row r="57" spans="2:14">
      <c r="B57" s="46" t="s">
        <v>284</v>
      </c>
      <c r="D57" s="8" t="s">
        <v>80</v>
      </c>
      <c r="H57" s="35">
        <f>$F$23*H46+H47</f>
        <v>307511684.52413881</v>
      </c>
      <c r="I57" s="35">
        <f>$F$23*I46+I47</f>
        <v>310178275.89991224</v>
      </c>
      <c r="J57" s="35">
        <f t="shared" ref="J57:K57" si="3">$F$23*J46+J47</f>
        <v>323818508.35301614</v>
      </c>
      <c r="K57" s="35">
        <f t="shared" si="3"/>
        <v>327892951.44442892</v>
      </c>
      <c r="L57" s="35">
        <f>$F$23*L46+L47</f>
        <v>282559762.39240491</v>
      </c>
      <c r="N57" s="61">
        <v>2</v>
      </c>
    </row>
    <row r="58" spans="2:14">
      <c r="B58" s="46" t="s">
        <v>281</v>
      </c>
      <c r="D58" s="8" t="s">
        <v>80</v>
      </c>
      <c r="H58" s="35">
        <f>H48</f>
        <v>22223350.636117246</v>
      </c>
      <c r="I58" s="35">
        <f t="shared" ref="I58:L58" si="4">I48</f>
        <v>21997196.844268855</v>
      </c>
      <c r="J58" s="35">
        <f t="shared" si="4"/>
        <v>22949200.477498293</v>
      </c>
      <c r="K58" s="35">
        <f t="shared" si="4"/>
        <v>22003928.141492009</v>
      </c>
      <c r="L58" s="35">
        <f t="shared" si="4"/>
        <v>22026601.98180785</v>
      </c>
      <c r="N58" s="61">
        <v>2</v>
      </c>
    </row>
    <row r="59" spans="2:14">
      <c r="B59" s="46" t="s">
        <v>314</v>
      </c>
      <c r="D59" s="8" t="s">
        <v>80</v>
      </c>
      <c r="H59" s="35">
        <f>H57+H58</f>
        <v>329735035.16025603</v>
      </c>
      <c r="I59" s="35">
        <f t="shared" ref="I59:L59" si="5">I57+I58</f>
        <v>332175472.7441811</v>
      </c>
      <c r="J59" s="35">
        <f t="shared" si="5"/>
        <v>346767708.83051443</v>
      </c>
      <c r="K59" s="35">
        <f t="shared" si="5"/>
        <v>349896879.58592093</v>
      </c>
      <c r="L59" s="35">
        <f t="shared" si="5"/>
        <v>304586364.37421274</v>
      </c>
      <c r="N59" s="61">
        <v>2</v>
      </c>
    </row>
    <row r="60" spans="2:14">
      <c r="B60" s="46" t="s">
        <v>315</v>
      </c>
      <c r="D60" s="8" t="s">
        <v>151</v>
      </c>
      <c r="F60" s="35">
        <f>H59/H$16+I59/I$16+J59/J$16+K59/K$16+L59/L$16</f>
        <v>1555585184.7340679</v>
      </c>
      <c r="N60" s="61">
        <v>23</v>
      </c>
    </row>
    <row r="61" spans="2:14">
      <c r="B61" s="29"/>
      <c r="J61" s="48"/>
      <c r="K61" s="48"/>
      <c r="L61" s="48"/>
      <c r="N61" s="61"/>
    </row>
    <row r="62" spans="2:14">
      <c r="B62" s="29" t="s">
        <v>174</v>
      </c>
      <c r="J62" s="48"/>
      <c r="K62" s="48"/>
      <c r="L62" s="48"/>
      <c r="N62" s="61"/>
    </row>
    <row r="63" spans="2:14">
      <c r="B63" s="46" t="s">
        <v>174</v>
      </c>
      <c r="D63" s="8" t="s">
        <v>80</v>
      </c>
      <c r="H63" s="35">
        <f>$F$23*H51+H52</f>
        <v>344453641.37398219</v>
      </c>
      <c r="I63" s="35">
        <f t="shared" ref="I63:L63" si="6">$F$23*I51+I52</f>
        <v>356777467.60748744</v>
      </c>
      <c r="J63" s="35">
        <f t="shared" si="6"/>
        <v>380595976.34540772</v>
      </c>
      <c r="K63" s="35">
        <f t="shared" si="6"/>
        <v>379263072.65916741</v>
      </c>
      <c r="L63" s="35">
        <f t="shared" si="6"/>
        <v>385911189.52653664</v>
      </c>
      <c r="N63" s="61">
        <v>2</v>
      </c>
    </row>
    <row r="64" spans="2:14">
      <c r="B64" s="46" t="s">
        <v>316</v>
      </c>
      <c r="D64" s="8" t="s">
        <v>151</v>
      </c>
      <c r="F64" s="35">
        <f>H63/H$16+I63/I$16+J63/J$16+K63/K$16+L63/L$16</f>
        <v>1722879412.9249814</v>
      </c>
      <c r="N64" s="61">
        <v>23</v>
      </c>
    </row>
    <row r="65" spans="1:16">
      <c r="B65" s="29"/>
      <c r="J65" s="48"/>
      <c r="K65" s="48"/>
      <c r="L65" s="48"/>
      <c r="N65" s="61"/>
    </row>
    <row r="66" spans="1:16">
      <c r="B66" s="29" t="s">
        <v>258</v>
      </c>
      <c r="J66" s="48"/>
      <c r="K66" s="48"/>
      <c r="L66" s="48"/>
      <c r="N66" s="61"/>
    </row>
    <row r="67" spans="1:16">
      <c r="B67" s="46" t="s">
        <v>161</v>
      </c>
      <c r="D67" s="8" t="s">
        <v>80</v>
      </c>
      <c r="H67" s="31">
        <f>H59+H63</f>
        <v>674188676.53423822</v>
      </c>
      <c r="I67" s="31">
        <f t="shared" ref="I67:L67" si="7">I59+I63</f>
        <v>688952940.3516686</v>
      </c>
      <c r="J67" s="31">
        <f t="shared" si="7"/>
        <v>727363685.17592216</v>
      </c>
      <c r="K67" s="31">
        <f t="shared" si="7"/>
        <v>729159952.24508834</v>
      </c>
      <c r="L67" s="31">
        <f t="shared" si="7"/>
        <v>690497553.90074944</v>
      </c>
      <c r="N67" s="61">
        <v>1</v>
      </c>
    </row>
    <row r="68" spans="1:16" s="48" customFormat="1">
      <c r="B68" s="69"/>
      <c r="H68" s="56"/>
      <c r="I68" s="56"/>
      <c r="J68" s="56"/>
      <c r="K68" s="56"/>
      <c r="L68" s="56"/>
      <c r="N68" s="61"/>
    </row>
    <row r="69" spans="1:16">
      <c r="B69" s="66" t="s">
        <v>160</v>
      </c>
    </row>
    <row r="70" spans="1:16">
      <c r="B70" s="65" t="s">
        <v>160</v>
      </c>
      <c r="D70" s="8" t="s">
        <v>151</v>
      </c>
      <c r="F70" s="35">
        <f>H67/H$16+I67/I$16+J67/J$16+K67/K$16+L67/L$16</f>
        <v>3278464597.659049</v>
      </c>
      <c r="H70" s="108"/>
      <c r="N70" s="25">
        <v>23</v>
      </c>
    </row>
    <row r="71" spans="1:16">
      <c r="B71" s="29"/>
      <c r="J71" s="48"/>
      <c r="K71" s="48"/>
      <c r="L71" s="48"/>
      <c r="N71" s="61"/>
    </row>
    <row r="72" spans="1:16" s="1" customFormat="1">
      <c r="B72" s="1" t="s">
        <v>159</v>
      </c>
    </row>
    <row r="74" spans="1:16">
      <c r="B74" s="66" t="s">
        <v>158</v>
      </c>
    </row>
    <row r="75" spans="1:16">
      <c r="B75" s="65" t="s">
        <v>149</v>
      </c>
      <c r="D75" s="8" t="s">
        <v>157</v>
      </c>
      <c r="F75" s="68">
        <v>717298000.91387939</v>
      </c>
      <c r="N75" s="25">
        <v>21</v>
      </c>
      <c r="P75" s="8" t="s">
        <v>156</v>
      </c>
    </row>
    <row r="76" spans="1:16">
      <c r="B76" s="65" t="s">
        <v>155</v>
      </c>
      <c r="D76" s="8" t="s">
        <v>154</v>
      </c>
      <c r="F76" s="63">
        <f>L67</f>
        <v>690497553.90074944</v>
      </c>
      <c r="N76" s="25">
        <v>20</v>
      </c>
    </row>
    <row r="77" spans="1:16">
      <c r="B77" s="65" t="s">
        <v>147</v>
      </c>
      <c r="D77" s="8" t="s">
        <v>75</v>
      </c>
      <c r="F77" s="4">
        <f>$F$20^(1/5)-(F76/F75)^(1/5)</f>
        <v>2.5586862523376275E-2</v>
      </c>
      <c r="N77" s="25">
        <v>19</v>
      </c>
    </row>
    <row r="78" spans="1:16" s="48" customFormat="1">
      <c r="A78" s="8"/>
      <c r="B78" s="65"/>
      <c r="F78" s="64"/>
      <c r="N78" s="61"/>
    </row>
    <row r="79" spans="1:16" s="48" customFormat="1">
      <c r="A79" s="8"/>
      <c r="B79" s="65" t="s">
        <v>153</v>
      </c>
      <c r="D79" s="48" t="s">
        <v>148</v>
      </c>
      <c r="F79" s="64"/>
      <c r="H79" s="35">
        <f>F75*(1+H$19-$F77)</f>
        <v>711855959.59265316</v>
      </c>
      <c r="I79" s="35">
        <f>H79*(1+I$19-$F$77)</f>
        <v>706455206.29077756</v>
      </c>
      <c r="J79" s="35">
        <f>I79*(1+J$19-$F$77)</f>
        <v>701095427.76172602</v>
      </c>
      <c r="K79" s="35">
        <f>J79*(1+K$19-$F$77)</f>
        <v>695776313.13553011</v>
      </c>
      <c r="L79" s="35">
        <f>K79*(1+L$19-$F$77)</f>
        <v>690497553.90074921</v>
      </c>
      <c r="N79" s="61">
        <v>24</v>
      </c>
    </row>
    <row r="80" spans="1:16" s="48" customFormat="1">
      <c r="B80" s="65" t="s">
        <v>152</v>
      </c>
      <c r="D80" s="8" t="s">
        <v>151</v>
      </c>
      <c r="F80" s="35">
        <f>H79/H$16+I79/I$16+J79/J$16+K79/K$16+L79/L$16</f>
        <v>3278464597.6593432</v>
      </c>
      <c r="H80" s="67"/>
      <c r="I80" s="67"/>
      <c r="J80" s="67"/>
      <c r="K80" s="67"/>
      <c r="L80" s="67"/>
      <c r="N80" s="61">
        <v>24</v>
      </c>
    </row>
    <row r="81" spans="2:14" s="48" customFormat="1">
      <c r="B81" s="65"/>
      <c r="F81" s="64"/>
      <c r="H81" s="67"/>
      <c r="I81" s="67"/>
      <c r="J81" s="67"/>
      <c r="K81" s="67"/>
      <c r="L81" s="67"/>
      <c r="N81" s="61"/>
    </row>
    <row r="82" spans="2:14" s="48" customFormat="1">
      <c r="B82" s="66" t="s">
        <v>150</v>
      </c>
      <c r="F82" s="64"/>
      <c r="N82" s="61"/>
    </row>
    <row r="83" spans="2:14" s="48" customFormat="1">
      <c r="B83" s="65" t="s">
        <v>149</v>
      </c>
      <c r="D83" s="48" t="s">
        <v>148</v>
      </c>
      <c r="F83" s="31">
        <f>IF(ABS(F80-F70)&lt;10,F75,"De berekening komt nog niet uit. Probeer de solver functie uit te voeren (zie uitleg)")</f>
        <v>717298000.91387939</v>
      </c>
      <c r="N83" s="61"/>
    </row>
    <row r="84" spans="2:14" s="48" customFormat="1">
      <c r="B84" s="65" t="s">
        <v>147</v>
      </c>
      <c r="D84" s="48" t="s">
        <v>75</v>
      </c>
      <c r="F84" s="3">
        <f>IF(ABS(F80-F70)&lt;1,F77,"")</f>
        <v>2.5586862523376275E-2</v>
      </c>
      <c r="N84" s="61"/>
    </row>
    <row r="85" spans="2:14" s="48" customFormat="1">
      <c r="B85" s="65" t="s">
        <v>146</v>
      </c>
      <c r="D85" s="48" t="s">
        <v>75</v>
      </c>
      <c r="F85" s="3">
        <f>IF(F84&gt;0,ROUNDDOWN(F84,4),ROUNDUP(F84,4))</f>
        <v>2.5499999999999998E-2</v>
      </c>
      <c r="N85" s="61">
        <v>19</v>
      </c>
    </row>
    <row r="86" spans="2:14" s="48" customFormat="1">
      <c r="B86" s="65" t="s">
        <v>145</v>
      </c>
      <c r="D86" s="48" t="s">
        <v>80</v>
      </c>
      <c r="F86" s="64"/>
      <c r="H86" s="31">
        <f>$F$83*(1+H$19-$F$85)</f>
        <v>711918265.90702534</v>
      </c>
      <c r="I86" s="31">
        <f>H86*(1+I$19-$F85)</f>
        <v>706578878.91272271</v>
      </c>
      <c r="J86" s="31">
        <f t="shared" ref="J86:K86" si="8">I86*(1+J$19-$F85)</f>
        <v>701279537.32087731</v>
      </c>
      <c r="K86" s="31">
        <f t="shared" si="8"/>
        <v>696019940.7909708</v>
      </c>
      <c r="L86" s="31">
        <f>K86*(1+L$19-$F85)</f>
        <v>690799791.23503852</v>
      </c>
      <c r="N86" s="61" t="s">
        <v>489</v>
      </c>
    </row>
    <row r="87" spans="2:14" s="48" customFormat="1">
      <c r="B87" s="65"/>
      <c r="C87" s="65"/>
      <c r="D87" s="65"/>
      <c r="E87" s="65"/>
      <c r="F87" s="64"/>
      <c r="G87" s="65"/>
      <c r="H87" s="65"/>
      <c r="I87" s="65"/>
      <c r="J87" s="65"/>
      <c r="K87" s="65"/>
      <c r="L87" s="65"/>
      <c r="M87" s="65"/>
      <c r="N87" s="61"/>
    </row>
    <row r="88" spans="2:14" s="1" customFormat="1">
      <c r="B88" s="1" t="s">
        <v>321</v>
      </c>
    </row>
    <row r="90" spans="2:14">
      <c r="B90" s="8" t="s">
        <v>319</v>
      </c>
      <c r="D90" s="8" t="s">
        <v>157</v>
      </c>
      <c r="F90" s="31">
        <f>(F60/F70)*F75</f>
        <v>340347778.66984814</v>
      </c>
      <c r="N90" s="61">
        <v>22</v>
      </c>
    </row>
    <row r="91" spans="2:14">
      <c r="B91" s="8" t="s">
        <v>317</v>
      </c>
      <c r="D91" s="8" t="s">
        <v>80</v>
      </c>
      <c r="H91" s="31">
        <f>$F90*(1+H$19-$F$85)</f>
        <v>337795170.32982433</v>
      </c>
      <c r="I91" s="31">
        <f>H91*(1+I$19-$F$85)</f>
        <v>335261706.55235064</v>
      </c>
      <c r="J91" s="31">
        <f t="shared" ref="J91:L91" si="9">I91*(1+J$19-$F85)</f>
        <v>332747243.75320804</v>
      </c>
      <c r="K91" s="31">
        <f t="shared" si="9"/>
        <v>330251639.42505902</v>
      </c>
      <c r="L91" s="31">
        <f t="shared" si="9"/>
        <v>327774752.12937111</v>
      </c>
      <c r="N91" s="61" t="s">
        <v>489</v>
      </c>
    </row>
    <row r="93" spans="2:14">
      <c r="B93" s="8" t="s">
        <v>320</v>
      </c>
      <c r="D93" s="8" t="s">
        <v>157</v>
      </c>
      <c r="F93" s="31">
        <f>(F64/F70)*F75</f>
        <v>376950222.24403131</v>
      </c>
      <c r="N93" s="61">
        <v>22</v>
      </c>
    </row>
    <row r="94" spans="2:14">
      <c r="B94" s="8" t="s">
        <v>318</v>
      </c>
      <c r="D94" s="8" t="s">
        <v>80</v>
      </c>
      <c r="H94" s="31">
        <f>$F93*(1+H$19-$F$85)</f>
        <v>374123095.57720107</v>
      </c>
      <c r="I94" s="31">
        <f>H94*(1+I$19-$F$85)</f>
        <v>371317172.36037207</v>
      </c>
      <c r="J94" s="31">
        <f t="shared" ref="J94:L94" si="10">I94*(1+J$19-$F$85)</f>
        <v>368532293.56766927</v>
      </c>
      <c r="K94" s="31">
        <f t="shared" si="10"/>
        <v>365768301.36591178</v>
      </c>
      <c r="L94" s="31">
        <f t="shared" si="10"/>
        <v>363025039.10566747</v>
      </c>
      <c r="N94" s="61" t="s">
        <v>489</v>
      </c>
    </row>
    <row r="97" spans="6:13">
      <c r="H97" s="47"/>
      <c r="I97" s="47"/>
      <c r="J97" s="47"/>
      <c r="K97" s="47"/>
      <c r="L97" s="47"/>
      <c r="M97" s="47"/>
    </row>
    <row r="98" spans="6:13">
      <c r="F98" s="115"/>
    </row>
    <row r="99" spans="6:13">
      <c r="F99" s="115"/>
    </row>
    <row r="101" spans="6:13">
      <c r="F101" s="115"/>
    </row>
  </sheetData>
  <mergeCells count="2">
    <mergeCell ref="B5:D5"/>
    <mergeCell ref="B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C8D9"/>
  </sheetPr>
  <dimension ref="B2:Q77"/>
  <sheetViews>
    <sheetView showGridLines="0" zoomScale="85" zoomScaleNormal="85" workbookViewId="0">
      <pane ySplit="3" topLeftCell="A4" activePane="bottomLeft" state="frozen"/>
      <selection pane="bottomLeft" activeCell="A4" sqref="A4"/>
    </sheetView>
  </sheetViews>
  <sheetFormatPr defaultColWidth="9.140625" defaultRowHeight="12.75"/>
  <cols>
    <col min="1" max="1" width="4.7109375" style="8" customWidth="1"/>
    <col min="2" max="2" width="19.140625" style="8" customWidth="1"/>
    <col min="3" max="3" width="2.7109375" style="8" customWidth="1"/>
    <col min="4" max="4" width="40.7109375" style="8" customWidth="1"/>
    <col min="5" max="5" width="2.7109375" style="8" customWidth="1"/>
    <col min="6" max="6" width="20.7109375" style="8" customWidth="1"/>
    <col min="7" max="7" width="2.7109375" style="8" customWidth="1"/>
    <col min="8" max="8" width="40.7109375" style="8" customWidth="1"/>
    <col min="9" max="9" width="2.7109375" style="8" customWidth="1"/>
    <col min="10" max="10" width="20.7109375" style="8" customWidth="1"/>
    <col min="11" max="11" width="4.7109375" style="8" customWidth="1"/>
    <col min="12" max="12" width="40.7109375" style="8" customWidth="1"/>
    <col min="13" max="13" width="4.7109375" style="8" customWidth="1"/>
    <col min="14" max="14" width="20.7109375" style="8" customWidth="1"/>
    <col min="15" max="15" width="4.7109375" style="8" customWidth="1"/>
    <col min="16" max="16" width="40.7109375" style="8" customWidth="1"/>
    <col min="17" max="17" width="4.7109375" style="8" customWidth="1"/>
    <col min="18" max="16384" width="9.140625" style="8"/>
  </cols>
  <sheetData>
    <row r="2" spans="2:13" s="2" customFormat="1" ht="18">
      <c r="B2" s="2" t="s">
        <v>52</v>
      </c>
    </row>
    <row r="5" spans="2:13" s="1" customFormat="1">
      <c r="B5" s="1" t="s">
        <v>15</v>
      </c>
    </row>
    <row r="7" spans="2:13" ht="126" customHeight="1">
      <c r="B7" s="141" t="s">
        <v>560</v>
      </c>
      <c r="C7" s="141"/>
      <c r="D7" s="141"/>
      <c r="E7" s="141"/>
      <c r="F7" s="141"/>
      <c r="G7" s="141"/>
      <c r="H7" s="141"/>
    </row>
    <row r="9" spans="2:13" s="1" customFormat="1">
      <c r="B9" s="1" t="s">
        <v>180</v>
      </c>
    </row>
    <row r="10" spans="2:13">
      <c r="F10" s="78"/>
    </row>
    <row r="11" spans="2:13">
      <c r="F11" s="78"/>
    </row>
    <row r="12" spans="2:13">
      <c r="F12" s="78"/>
    </row>
    <row r="13" spans="2:13">
      <c r="C13" s="79"/>
      <c r="D13" s="80"/>
      <c r="E13" s="81"/>
      <c r="G13" s="79"/>
      <c r="H13" s="80"/>
      <c r="I13" s="81"/>
      <c r="K13" s="79"/>
      <c r="L13" s="80"/>
      <c r="M13" s="81"/>
    </row>
    <row r="14" spans="2:13">
      <c r="C14" s="82"/>
      <c r="D14" s="83" t="s">
        <v>181</v>
      </c>
      <c r="E14" s="84"/>
      <c r="G14" s="82"/>
      <c r="H14" s="85" t="s">
        <v>182</v>
      </c>
      <c r="I14" s="84"/>
      <c r="K14" s="82"/>
      <c r="L14" s="86" t="s">
        <v>183</v>
      </c>
      <c r="M14" s="84"/>
    </row>
    <row r="15" spans="2:13">
      <c r="C15" s="87"/>
      <c r="D15" s="88"/>
      <c r="E15" s="89"/>
      <c r="G15" s="87"/>
      <c r="H15" s="88"/>
      <c r="I15" s="89"/>
      <c r="K15" s="87"/>
      <c r="L15" s="88"/>
      <c r="M15" s="89"/>
    </row>
    <row r="17" spans="2:16" s="1" customFormat="1">
      <c r="B17" s="1" t="s">
        <v>59</v>
      </c>
    </row>
    <row r="19" spans="2:16">
      <c r="B19" s="8" t="s">
        <v>184</v>
      </c>
    </row>
    <row r="21" spans="2:16">
      <c r="D21" s="90" t="s">
        <v>185</v>
      </c>
      <c r="H21" s="90" t="s">
        <v>186</v>
      </c>
      <c r="P21" s="90" t="s">
        <v>33</v>
      </c>
    </row>
    <row r="22" spans="2:16">
      <c r="D22" s="90"/>
    </row>
    <row r="23" spans="2:16">
      <c r="C23" s="79"/>
      <c r="D23" s="80"/>
      <c r="E23" s="81"/>
      <c r="G23" s="79"/>
      <c r="H23" s="80"/>
      <c r="I23" s="81"/>
    </row>
    <row r="24" spans="2:16">
      <c r="C24" s="82"/>
      <c r="D24" s="83" t="s">
        <v>187</v>
      </c>
      <c r="E24" s="84"/>
      <c r="G24" s="82"/>
      <c r="H24" s="85" t="s">
        <v>188</v>
      </c>
      <c r="I24" s="84"/>
    </row>
    <row r="25" spans="2:16">
      <c r="C25" s="87"/>
      <c r="D25" s="88"/>
      <c r="E25" s="89"/>
      <c r="G25" s="87"/>
      <c r="H25" s="88"/>
      <c r="I25" s="89"/>
    </row>
    <row r="28" spans="2:16">
      <c r="G28" s="79"/>
      <c r="H28" s="80"/>
      <c r="I28" s="81"/>
    </row>
    <row r="29" spans="2:16">
      <c r="G29" s="82"/>
      <c r="H29" s="91" t="s">
        <v>189</v>
      </c>
      <c r="I29" s="84"/>
    </row>
    <row r="30" spans="2:16">
      <c r="G30" s="87"/>
      <c r="H30" s="88"/>
      <c r="I30" s="89"/>
    </row>
    <row r="33" spans="2:17">
      <c r="C33" s="79"/>
      <c r="D33" s="80"/>
      <c r="E33" s="81"/>
      <c r="G33" s="79"/>
      <c r="H33" s="80"/>
      <c r="I33" s="81"/>
    </row>
    <row r="34" spans="2:17">
      <c r="C34" s="82"/>
      <c r="D34" s="83" t="s">
        <v>190</v>
      </c>
      <c r="E34" s="84"/>
      <c r="G34" s="82"/>
      <c r="H34" s="85" t="s">
        <v>191</v>
      </c>
      <c r="I34" s="84"/>
    </row>
    <row r="35" spans="2:17">
      <c r="C35" s="87"/>
      <c r="D35" s="88"/>
      <c r="E35" s="89"/>
      <c r="G35" s="87"/>
      <c r="H35" s="88"/>
      <c r="I35" s="89"/>
    </row>
    <row r="38" spans="2:17">
      <c r="G38" s="79"/>
      <c r="H38" s="80"/>
      <c r="I38" s="81"/>
      <c r="K38" s="79"/>
      <c r="L38" s="80"/>
      <c r="M38" s="81"/>
      <c r="O38" s="79"/>
      <c r="P38" s="80"/>
      <c r="Q38" s="81"/>
    </row>
    <row r="39" spans="2:17">
      <c r="G39" s="82"/>
      <c r="H39" s="85" t="s">
        <v>192</v>
      </c>
      <c r="I39" s="84"/>
      <c r="K39" s="82"/>
      <c r="L39" s="85" t="s">
        <v>193</v>
      </c>
      <c r="M39" s="84"/>
      <c r="O39" s="82"/>
      <c r="P39" s="86" t="s">
        <v>194</v>
      </c>
      <c r="Q39" s="84"/>
    </row>
    <row r="40" spans="2:17">
      <c r="G40" s="87"/>
      <c r="H40" s="88"/>
      <c r="I40" s="89"/>
      <c r="K40" s="87"/>
      <c r="L40" s="88"/>
      <c r="M40" s="89"/>
      <c r="O40" s="87"/>
      <c r="P40" s="88"/>
      <c r="Q40" s="89"/>
    </row>
    <row r="43" spans="2:17">
      <c r="C43" s="79"/>
      <c r="D43" s="80"/>
      <c r="E43" s="81"/>
      <c r="G43" s="79"/>
      <c r="H43" s="80"/>
      <c r="I43" s="81"/>
    </row>
    <row r="44" spans="2:17">
      <c r="C44" s="82"/>
      <c r="D44" s="83" t="s">
        <v>195</v>
      </c>
      <c r="E44" s="84"/>
      <c r="G44" s="82"/>
      <c r="H44" s="85" t="s">
        <v>196</v>
      </c>
      <c r="I44" s="84"/>
    </row>
    <row r="45" spans="2:17">
      <c r="C45" s="87"/>
      <c r="D45" s="88"/>
      <c r="E45" s="89"/>
      <c r="G45" s="87"/>
      <c r="H45" s="88"/>
      <c r="I45" s="89"/>
    </row>
    <row r="47" spans="2:17" s="1" customFormat="1">
      <c r="B47" s="1" t="s">
        <v>16</v>
      </c>
    </row>
    <row r="49" spans="2:9">
      <c r="B49" s="29" t="s">
        <v>39</v>
      </c>
      <c r="D49" s="29" t="s">
        <v>17</v>
      </c>
      <c r="F49" s="11"/>
    </row>
    <row r="51" spans="2:9">
      <c r="B51" s="32">
        <v>123</v>
      </c>
      <c r="D51" s="8" t="s">
        <v>69</v>
      </c>
    </row>
    <row r="52" spans="2:9">
      <c r="B52" s="34">
        <f>B51</f>
        <v>123</v>
      </c>
      <c r="D52" s="8" t="s">
        <v>18</v>
      </c>
    </row>
    <row r="53" spans="2:9">
      <c r="B53" s="35">
        <f>B52+B51</f>
        <v>246</v>
      </c>
      <c r="D53" s="8" t="s">
        <v>19</v>
      </c>
    </row>
    <row r="54" spans="2:9">
      <c r="B54" s="31">
        <f>B52+B53</f>
        <v>369</v>
      </c>
      <c r="D54" s="8" t="s">
        <v>70</v>
      </c>
      <c r="E54" s="11"/>
      <c r="F54" s="11"/>
      <c r="G54" s="11"/>
      <c r="I54" s="11"/>
    </row>
    <row r="55" spans="2:9">
      <c r="B55" s="45"/>
      <c r="D55" s="8" t="s">
        <v>20</v>
      </c>
      <c r="E55" s="11"/>
      <c r="G55" s="11"/>
      <c r="I55" s="11"/>
    </row>
    <row r="57" spans="2:9">
      <c r="B57" s="30" t="s">
        <v>21</v>
      </c>
    </row>
    <row r="58" spans="2:9">
      <c r="B58" s="92">
        <f>B54+16</f>
        <v>385</v>
      </c>
      <c r="D58" s="8" t="s">
        <v>71</v>
      </c>
    </row>
    <row r="59" spans="2:9">
      <c r="B59" s="93">
        <f>B52*PI()</f>
        <v>386.41589639154455</v>
      </c>
      <c r="C59" s="18"/>
      <c r="D59" s="8" t="s">
        <v>22</v>
      </c>
    </row>
    <row r="60" spans="2:9">
      <c r="B60" s="18"/>
      <c r="C60" s="18"/>
    </row>
    <row r="61" spans="2:9">
      <c r="B61" s="30" t="s">
        <v>23</v>
      </c>
      <c r="C61" s="19"/>
    </row>
    <row r="62" spans="2:9">
      <c r="B62" s="94">
        <v>123</v>
      </c>
      <c r="C62" s="19"/>
      <c r="D62" s="8" t="s">
        <v>72</v>
      </c>
    </row>
    <row r="63" spans="2:9">
      <c r="B63" s="95">
        <v>124</v>
      </c>
      <c r="C63" s="19"/>
      <c r="D63" s="8" t="s">
        <v>74</v>
      </c>
    </row>
    <row r="64" spans="2:9">
      <c r="B64" s="96">
        <f>B62-B63</f>
        <v>-1</v>
      </c>
      <c r="C64" s="20"/>
      <c r="D64" s="8" t="s">
        <v>58</v>
      </c>
    </row>
    <row r="67" spans="2:4">
      <c r="B67" s="29" t="s">
        <v>34</v>
      </c>
    </row>
    <row r="68" spans="2:4">
      <c r="B68" s="7"/>
    </row>
    <row r="69" spans="2:4">
      <c r="B69" s="30" t="s">
        <v>40</v>
      </c>
    </row>
    <row r="70" spans="2:4">
      <c r="B70" s="97" t="s">
        <v>33</v>
      </c>
      <c r="D70" s="8" t="s">
        <v>43</v>
      </c>
    </row>
    <row r="71" spans="2:4">
      <c r="B71" t="s">
        <v>31</v>
      </c>
      <c r="D71" s="8" t="s">
        <v>35</v>
      </c>
    </row>
    <row r="72" spans="2:4">
      <c r="B72" s="98" t="s">
        <v>32</v>
      </c>
      <c r="D72" s="8" t="s">
        <v>36</v>
      </c>
    </row>
    <row r="73" spans="2:4">
      <c r="B73" s="17" t="s">
        <v>32</v>
      </c>
      <c r="D73" s="8" t="s">
        <v>38</v>
      </c>
    </row>
    <row r="75" spans="2:4">
      <c r="B75" s="30" t="s">
        <v>42</v>
      </c>
    </row>
    <row r="76" spans="2:4">
      <c r="B76" s="26" t="s">
        <v>37</v>
      </c>
      <c r="D76" s="8" t="s">
        <v>44</v>
      </c>
    </row>
    <row r="77" spans="2:4">
      <c r="B77" s="121" t="s">
        <v>41</v>
      </c>
      <c r="D77" s="8" t="s">
        <v>73</v>
      </c>
    </row>
  </sheetData>
  <mergeCells count="1">
    <mergeCell ref="B7:H7"/>
  </mergeCell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C8D9"/>
  </sheetPr>
  <dimension ref="B2:F36"/>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8" customWidth="1"/>
    <col min="2" max="2" width="7.5703125" style="8" customWidth="1"/>
    <col min="3" max="3" width="45" style="8" customWidth="1"/>
    <col min="4" max="4" width="78.140625" style="8" customWidth="1"/>
    <col min="5" max="5" width="32.28515625" style="8" customWidth="1"/>
    <col min="6" max="6" width="40.7109375" style="8" customWidth="1"/>
    <col min="7" max="7" width="4.5703125" style="8" customWidth="1"/>
    <col min="8" max="16384" width="9.140625" style="8"/>
  </cols>
  <sheetData>
    <row r="2" spans="2:6" s="23" customFormat="1" ht="18">
      <c r="B2" s="23" t="s">
        <v>24</v>
      </c>
    </row>
    <row r="5" spans="2:6" s="14" customFormat="1">
      <c r="B5" s="14" t="s">
        <v>25</v>
      </c>
    </row>
    <row r="7" spans="2:6">
      <c r="B7" s="30" t="s">
        <v>64</v>
      </c>
    </row>
    <row r="8" spans="2:6">
      <c r="B8" s="30" t="s">
        <v>65</v>
      </c>
    </row>
    <row r="10" spans="2:6">
      <c r="B10" s="21" t="s">
        <v>53</v>
      </c>
      <c r="C10" s="21" t="s">
        <v>54</v>
      </c>
      <c r="D10" s="21" t="s">
        <v>55</v>
      </c>
      <c r="E10" s="21" t="s">
        <v>63</v>
      </c>
      <c r="F10" s="21" t="s">
        <v>60</v>
      </c>
    </row>
    <row r="11" spans="2:6">
      <c r="B11" s="22"/>
      <c r="C11" s="27" t="s">
        <v>62</v>
      </c>
      <c r="D11" s="27" t="s">
        <v>26</v>
      </c>
      <c r="E11" s="27" t="s">
        <v>66</v>
      </c>
      <c r="F11" s="27" t="s">
        <v>61</v>
      </c>
    </row>
    <row r="12" spans="2:6">
      <c r="B12" s="12">
        <v>1</v>
      </c>
      <c r="C12" s="12" t="s">
        <v>91</v>
      </c>
      <c r="D12" s="12" t="s">
        <v>89</v>
      </c>
      <c r="E12" s="12"/>
      <c r="F12" s="12"/>
    </row>
    <row r="13" spans="2:6">
      <c r="B13" s="12">
        <v>2</v>
      </c>
      <c r="C13" s="12" t="s">
        <v>92</v>
      </c>
      <c r="D13" s="8" t="s">
        <v>90</v>
      </c>
      <c r="E13" s="12"/>
      <c r="F13" s="12"/>
    </row>
    <row r="14" spans="2:6">
      <c r="B14" s="12">
        <v>3</v>
      </c>
      <c r="C14" s="12" t="s">
        <v>353</v>
      </c>
      <c r="D14" s="12" t="s">
        <v>354</v>
      </c>
      <c r="E14" s="12"/>
      <c r="F14" s="12"/>
    </row>
    <row r="15" spans="2:6">
      <c r="B15" s="12">
        <v>4</v>
      </c>
      <c r="C15" s="12" t="s">
        <v>352</v>
      </c>
      <c r="D15" s="12" t="s">
        <v>355</v>
      </c>
      <c r="E15" s="12"/>
      <c r="F15" s="12"/>
    </row>
    <row r="16" spans="2:6">
      <c r="B16" s="12">
        <v>5</v>
      </c>
      <c r="C16" s="12" t="s">
        <v>356</v>
      </c>
      <c r="D16" s="12" t="s">
        <v>357</v>
      </c>
      <c r="E16" s="12"/>
      <c r="F16" s="12"/>
    </row>
    <row r="17" spans="2:6">
      <c r="B17" s="12">
        <v>6</v>
      </c>
      <c r="C17" s="12" t="s">
        <v>371</v>
      </c>
      <c r="D17" s="12" t="s">
        <v>427</v>
      </c>
      <c r="E17" s="12"/>
      <c r="F17" s="12"/>
    </row>
    <row r="18" spans="2:6">
      <c r="B18" s="12">
        <v>7</v>
      </c>
      <c r="C18" s="12" t="s">
        <v>208</v>
      </c>
      <c r="D18" s="12" t="s">
        <v>207</v>
      </c>
      <c r="F18" s="12"/>
    </row>
    <row r="19" spans="2:6">
      <c r="B19" s="12">
        <v>8</v>
      </c>
      <c r="C19" s="12" t="s">
        <v>214</v>
      </c>
      <c r="D19" s="12" t="s">
        <v>215</v>
      </c>
      <c r="E19" s="12"/>
      <c r="F19" s="12"/>
    </row>
    <row r="20" spans="2:6">
      <c r="B20" s="12">
        <v>9</v>
      </c>
      <c r="C20" s="12" t="s">
        <v>296</v>
      </c>
      <c r="D20" s="12" t="s">
        <v>297</v>
      </c>
      <c r="E20" s="12"/>
      <c r="F20" s="105" t="s">
        <v>225</v>
      </c>
    </row>
    <row r="21" spans="2:6">
      <c r="B21" s="12">
        <v>10</v>
      </c>
      <c r="C21" s="12" t="s">
        <v>295</v>
      </c>
      <c r="D21" s="12" t="s">
        <v>307</v>
      </c>
      <c r="E21" s="12" t="s">
        <v>235</v>
      </c>
      <c r="F21" s="105" t="s">
        <v>225</v>
      </c>
    </row>
    <row r="22" spans="2:6">
      <c r="B22" s="12">
        <v>11</v>
      </c>
      <c r="C22" s="8" t="s">
        <v>502</v>
      </c>
      <c r="D22" s="12" t="s">
        <v>503</v>
      </c>
      <c r="E22" s="136" t="s">
        <v>506</v>
      </c>
      <c r="F22" s="105" t="s">
        <v>225</v>
      </c>
    </row>
    <row r="23" spans="2:6">
      <c r="B23" s="12">
        <v>12</v>
      </c>
      <c r="C23" s="12" t="s">
        <v>507</v>
      </c>
      <c r="D23" s="12" t="s">
        <v>561</v>
      </c>
      <c r="E23" s="12"/>
      <c r="F23" s="105"/>
    </row>
    <row r="24" spans="2:6">
      <c r="B24" s="12">
        <v>13</v>
      </c>
      <c r="C24" s="12" t="s">
        <v>499</v>
      </c>
      <c r="D24" s="12" t="s">
        <v>500</v>
      </c>
      <c r="E24" s="12"/>
      <c r="F24" s="105" t="s">
        <v>225</v>
      </c>
    </row>
    <row r="26" spans="2:6" s="1" customFormat="1">
      <c r="B26" s="1" t="s">
        <v>51</v>
      </c>
    </row>
    <row r="28" spans="2:6">
      <c r="B28" s="30" t="s">
        <v>49</v>
      </c>
    </row>
    <row r="29" spans="2:6">
      <c r="B29" s="30" t="s">
        <v>50</v>
      </c>
    </row>
    <row r="31" spans="2:6">
      <c r="B31" s="7" t="s">
        <v>197</v>
      </c>
    </row>
    <row r="32" spans="2:6" ht="195" customHeight="1">
      <c r="B32" s="141" t="s">
        <v>216</v>
      </c>
      <c r="C32" s="141"/>
      <c r="D32" s="141"/>
      <c r="E32" s="141"/>
      <c r="F32" s="141"/>
    </row>
    <row r="33" spans="2:6">
      <c r="B33" s="7" t="s">
        <v>198</v>
      </c>
    </row>
    <row r="34" spans="2:6" ht="114.75" customHeight="1">
      <c r="B34" s="141" t="s">
        <v>199</v>
      </c>
      <c r="C34" s="141"/>
      <c r="D34" s="141"/>
      <c r="E34" s="141"/>
      <c r="F34" s="141"/>
    </row>
    <row r="35" spans="2:6" ht="28.5" customHeight="1">
      <c r="B35" s="142" t="s">
        <v>200</v>
      </c>
      <c r="C35" s="142"/>
      <c r="D35" s="142"/>
      <c r="E35" s="142"/>
      <c r="F35" s="142"/>
    </row>
    <row r="36" spans="2:6" s="51" customFormat="1" ht="95.25" customHeight="1">
      <c r="B36" s="141" t="s">
        <v>201</v>
      </c>
      <c r="C36" s="141"/>
      <c r="D36" s="141"/>
      <c r="E36" s="141"/>
      <c r="F36" s="141"/>
    </row>
  </sheetData>
  <mergeCells count="4">
    <mergeCell ref="B32:F32"/>
    <mergeCell ref="B34:F34"/>
    <mergeCell ref="B35:F35"/>
    <mergeCell ref="B36:F36"/>
  </mergeCells>
  <phoneticPr fontId="36" type="noConversion"/>
  <hyperlinks>
    <hyperlink ref="B35" r:id="rId1" xr:uid="{00000000-0004-0000-0500-000000000000}"/>
    <hyperlink ref="F21" r:id="rId2" xr:uid="{00000000-0004-0000-0500-000001000000}"/>
    <hyperlink ref="F20" r:id="rId3" location="/CBS/nl/dataset/70936NED/table?fromstatweb" xr:uid="{00000000-0004-0000-0500-000002000000}"/>
    <hyperlink ref="F24" r:id="rId4" location="!/details?id=ECLI:NL:CBB:2023:319" xr:uid="{6C98F03E-8B6F-4B12-89E2-9DD1C170AC04}"/>
    <hyperlink ref="F22" r:id="rId5" xr:uid="{3B80FD59-7E50-48FF-A282-490B5773FE50}"/>
  </hyperlinks>
  <pageMargins left="0.75" right="0.75" top="1" bottom="1" header="0.5" footer="0.5"/>
  <pageSetup paperSize="9"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CCFFFF"/>
  </sheetPr>
  <dimension ref="B2:L26"/>
  <sheetViews>
    <sheetView showGridLines="0" zoomScale="85" zoomScaleNormal="85"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2.75"/>
  <cols>
    <col min="1" max="1" width="4.7109375" style="8" customWidth="1"/>
    <col min="2" max="2" width="75.7109375" style="8" customWidth="1"/>
    <col min="3" max="3" width="2.7109375" style="8" customWidth="1"/>
    <col min="4" max="4" width="13.7109375" style="8" customWidth="1"/>
    <col min="5" max="5" width="2.7109375" style="8" customWidth="1"/>
    <col min="6" max="6" width="16.7109375" style="8" customWidth="1"/>
    <col min="7" max="7" width="2.7109375" style="8" customWidth="1"/>
    <col min="8" max="12" width="16.7109375" style="8" customWidth="1"/>
    <col min="13" max="13" width="13.7109375" style="8" customWidth="1"/>
    <col min="14" max="16384" width="9.140625" style="8"/>
  </cols>
  <sheetData>
    <row r="2" spans="2:12" s="2" customFormat="1" ht="18">
      <c r="B2" s="2" t="s">
        <v>93</v>
      </c>
    </row>
    <row r="4" spans="2:12">
      <c r="B4" s="29" t="s">
        <v>57</v>
      </c>
      <c r="D4" s="7"/>
      <c r="G4" s="7"/>
    </row>
    <row r="5" spans="2:12" ht="89.25" customHeight="1">
      <c r="B5" s="141" t="s">
        <v>177</v>
      </c>
      <c r="C5" s="141"/>
    </row>
    <row r="6" spans="2:12">
      <c r="B6" s="10"/>
    </row>
    <row r="7" spans="2:12" s="1" customFormat="1">
      <c r="B7" s="1" t="s">
        <v>45</v>
      </c>
      <c r="D7" s="1" t="s">
        <v>27</v>
      </c>
      <c r="F7" s="1" t="s">
        <v>28</v>
      </c>
      <c r="H7" s="1">
        <v>2022</v>
      </c>
      <c r="I7" s="1">
        <v>2023</v>
      </c>
      <c r="J7" s="1">
        <v>2024</v>
      </c>
      <c r="K7" s="1">
        <v>2025</v>
      </c>
      <c r="L7" s="1">
        <v>2026</v>
      </c>
    </row>
    <row r="8" spans="2:12" s="75" customFormat="1"/>
    <row r="9" spans="2:12" s="75" customFormat="1"/>
    <row r="10" spans="2:12" s="1" customFormat="1">
      <c r="B10" s="1" t="s">
        <v>178</v>
      </c>
    </row>
    <row r="12" spans="2:12">
      <c r="B12" s="8" t="s">
        <v>470</v>
      </c>
      <c r="D12" s="77" t="s">
        <v>148</v>
      </c>
      <c r="E12" s="76"/>
      <c r="F12" s="31">
        <f>'9. Berekening x-factor'!F83</f>
        <v>717298000.91387939</v>
      </c>
    </row>
    <row r="13" spans="2:12">
      <c r="B13" s="128" t="s">
        <v>471</v>
      </c>
      <c r="D13" s="77" t="s">
        <v>148</v>
      </c>
      <c r="E13" s="76"/>
      <c r="F13" s="31">
        <f>'9. Berekening x-factor'!F90</f>
        <v>340347778.66984814</v>
      </c>
    </row>
    <row r="14" spans="2:12">
      <c r="B14" s="128" t="s">
        <v>472</v>
      </c>
      <c r="D14" s="77" t="s">
        <v>148</v>
      </c>
      <c r="E14" s="76"/>
      <c r="F14" s="31">
        <f>'9. Berekening x-factor'!F93</f>
        <v>376950222.24403131</v>
      </c>
    </row>
    <row r="15" spans="2:12">
      <c r="B15" s="76"/>
    </row>
    <row r="16" spans="2:12">
      <c r="B16" s="8" t="s">
        <v>146</v>
      </c>
      <c r="D16" s="8" t="s">
        <v>75</v>
      </c>
      <c r="F16" s="3">
        <f>'9. Berekening x-factor'!F85</f>
        <v>2.5499999999999998E-2</v>
      </c>
    </row>
    <row r="18" spans="2:12" s="1" customFormat="1">
      <c r="B18" s="1" t="s">
        <v>179</v>
      </c>
    </row>
    <row r="20" spans="2:12">
      <c r="B20" s="77" t="s">
        <v>78</v>
      </c>
      <c r="D20" s="8" t="s">
        <v>75</v>
      </c>
      <c r="H20" s="43">
        <f>'2. Reguleringsparameters'!L21</f>
        <v>1.7999999999999999E-2</v>
      </c>
      <c r="I20" s="43">
        <f>'2. Reguleringsparameters'!M21</f>
        <v>1.7999999999999999E-2</v>
      </c>
      <c r="J20" s="43">
        <f>'2. Reguleringsparameters'!N21</f>
        <v>1.7999999999999999E-2</v>
      </c>
      <c r="K20" s="43">
        <f>'2. Reguleringsparameters'!O21</f>
        <v>1.7999999999999999E-2</v>
      </c>
      <c r="L20" s="43">
        <f>'2. Reguleringsparameters'!P21</f>
        <v>1.7999999999999999E-2</v>
      </c>
    </row>
    <row r="22" spans="2:12" s="1" customFormat="1">
      <c r="B22" s="1" t="s">
        <v>145</v>
      </c>
    </row>
    <row r="24" spans="2:12">
      <c r="B24" s="8" t="s">
        <v>145</v>
      </c>
      <c r="D24" s="8" t="s">
        <v>80</v>
      </c>
      <c r="H24" s="31">
        <f>'9. Berekening x-factor'!H86</f>
        <v>711918265.90702534</v>
      </c>
      <c r="I24" s="31">
        <f>'9. Berekening x-factor'!I86</f>
        <v>706578878.91272271</v>
      </c>
      <c r="J24" s="31">
        <f>'9. Berekening x-factor'!J86</f>
        <v>701279537.32087731</v>
      </c>
      <c r="K24" s="31">
        <f>'9. Berekening x-factor'!K86</f>
        <v>696019940.7909708</v>
      </c>
      <c r="L24" s="31">
        <f>'9. Berekening x-factor'!L86</f>
        <v>690799791.23503852</v>
      </c>
    </row>
    <row r="25" spans="2:12">
      <c r="H25" s="53"/>
      <c r="I25" s="53"/>
      <c r="J25" s="53"/>
      <c r="K25" s="53"/>
      <c r="L25" s="53"/>
    </row>
    <row r="26" spans="2:12">
      <c r="H26" s="47"/>
      <c r="I26" s="47"/>
      <c r="J26" s="47"/>
      <c r="K26" s="47"/>
      <c r="L26" s="47"/>
    </row>
  </sheetData>
  <mergeCells count="1">
    <mergeCell ref="B5: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0" tint="-4.9989318521683403E-2"/>
  </sheetPr>
  <dimension ref="A1"/>
  <sheetViews>
    <sheetView showGridLines="0" zoomScale="85" zoomScaleNormal="85" workbookViewId="0"/>
  </sheetViews>
  <sheetFormatPr defaultColWidth="9.140625" defaultRowHeight="12.75"/>
  <cols>
    <col min="1" max="16384" width="9.140625" style="26"/>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E1FFE1"/>
  </sheetPr>
  <dimension ref="B2:T59"/>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8" customWidth="1"/>
    <col min="2" max="2" width="95" style="8" customWidth="1"/>
    <col min="3" max="3" width="2.7109375" style="8" customWidth="1"/>
    <col min="4" max="4" width="13.7109375" style="8" customWidth="1"/>
    <col min="5" max="5" width="2.7109375" style="8" customWidth="1"/>
    <col min="6" max="6" width="13.7109375" style="8" customWidth="1"/>
    <col min="7" max="7" width="2.7109375" style="8" customWidth="1"/>
    <col min="8" max="9" width="13.7109375" style="8" customWidth="1"/>
    <col min="10" max="16" width="12.5703125" style="8" customWidth="1"/>
    <col min="17" max="17" width="2.7109375" style="8" customWidth="1"/>
    <col min="18" max="18" width="81.28515625" style="8" bestFit="1" customWidth="1"/>
    <col min="19" max="19" width="2.7109375" style="8" customWidth="1"/>
    <col min="20" max="20" width="13.7109375" style="8" customWidth="1"/>
    <col min="21" max="21" width="2.7109375" style="8" customWidth="1"/>
    <col min="22" max="36" width="13.7109375" style="8" customWidth="1"/>
    <col min="37" max="16384" width="9.140625" style="8"/>
  </cols>
  <sheetData>
    <row r="2" spans="2:20" s="23" customFormat="1" ht="18">
      <c r="B2" s="23" t="s">
        <v>285</v>
      </c>
    </row>
    <row r="4" spans="2:20">
      <c r="B4" s="29" t="s">
        <v>29</v>
      </c>
      <c r="J4"/>
    </row>
    <row r="5" spans="2:20" ht="65.25" customHeight="1">
      <c r="B5" s="141" t="s">
        <v>361</v>
      </c>
      <c r="C5" s="141"/>
      <c r="D5" s="42"/>
      <c r="E5" s="42"/>
      <c r="F5" s="42"/>
    </row>
    <row r="6" spans="2:20" ht="12.75" customHeight="1">
      <c r="B6" s="44"/>
      <c r="C6" s="44"/>
      <c r="D6" s="42"/>
      <c r="E6" s="42"/>
      <c r="F6" s="42"/>
    </row>
    <row r="7" spans="2:20" ht="12.75" customHeight="1">
      <c r="B7" s="62" t="s">
        <v>30</v>
      </c>
      <c r="C7" s="44"/>
      <c r="D7" s="42"/>
      <c r="E7" s="42"/>
      <c r="F7" s="42"/>
    </row>
    <row r="8" spans="2:20" ht="27.75" customHeight="1">
      <c r="B8" s="44" t="s">
        <v>501</v>
      </c>
      <c r="C8" s="44"/>
      <c r="D8" s="42"/>
      <c r="E8" s="42"/>
      <c r="F8" s="42"/>
    </row>
    <row r="10" spans="2:20" s="14" customFormat="1">
      <c r="B10" s="14" t="s">
        <v>45</v>
      </c>
      <c r="D10" s="14" t="s">
        <v>27</v>
      </c>
      <c r="F10" s="14" t="s">
        <v>28</v>
      </c>
      <c r="H10" s="109">
        <v>2018</v>
      </c>
      <c r="I10" s="109">
        <v>2019</v>
      </c>
      <c r="J10" s="109">
        <v>2020</v>
      </c>
      <c r="K10" s="109">
        <v>2021</v>
      </c>
      <c r="L10" s="109">
        <v>2022</v>
      </c>
      <c r="M10" s="109">
        <v>2023</v>
      </c>
      <c r="N10" s="109">
        <v>2024</v>
      </c>
      <c r="O10" s="109">
        <v>2025</v>
      </c>
      <c r="P10" s="109">
        <v>2026</v>
      </c>
      <c r="R10" s="14" t="s">
        <v>46</v>
      </c>
      <c r="T10" s="14" t="s">
        <v>47</v>
      </c>
    </row>
    <row r="13" spans="2:20" s="14" customFormat="1">
      <c r="B13" s="14" t="s">
        <v>88</v>
      </c>
    </row>
    <row r="15" spans="2:20">
      <c r="B15" s="8" t="s">
        <v>473</v>
      </c>
      <c r="D15" s="8" t="s">
        <v>75</v>
      </c>
      <c r="H15" s="45"/>
      <c r="I15" s="45"/>
      <c r="J15" s="45"/>
      <c r="K15" s="45"/>
      <c r="L15" s="130">
        <v>2.4E-2</v>
      </c>
      <c r="M15" s="130">
        <v>2.3E-2</v>
      </c>
      <c r="N15" s="130">
        <v>2.8000000000000001E-2</v>
      </c>
      <c r="O15" s="130">
        <v>2.8000000000000001E-2</v>
      </c>
      <c r="P15" s="130">
        <v>2.8000000000000001E-2</v>
      </c>
      <c r="R15" s="8" t="s">
        <v>494</v>
      </c>
      <c r="T15" s="8" t="s">
        <v>498</v>
      </c>
    </row>
    <row r="16" spans="2:20">
      <c r="B16" s="8" t="s">
        <v>474</v>
      </c>
      <c r="D16" s="8" t="s">
        <v>75</v>
      </c>
      <c r="H16" s="45"/>
      <c r="I16" s="45"/>
      <c r="J16" s="45"/>
      <c r="K16" s="45"/>
      <c r="L16" s="130">
        <v>2.1999999999999999E-2</v>
      </c>
      <c r="M16" s="130">
        <v>2.1999999999999999E-2</v>
      </c>
      <c r="N16" s="130">
        <v>2.7E-2</v>
      </c>
      <c r="O16" s="130">
        <v>2.7E-2</v>
      </c>
      <c r="P16" s="130">
        <v>2.7E-2</v>
      </c>
      <c r="R16" s="8" t="s">
        <v>494</v>
      </c>
      <c r="T16" s="8" t="s">
        <v>498</v>
      </c>
    </row>
    <row r="17" spans="2:20">
      <c r="B17" s="8" t="s">
        <v>169</v>
      </c>
      <c r="D17" s="8" t="s">
        <v>75</v>
      </c>
      <c r="H17" s="45"/>
      <c r="I17" s="45"/>
      <c r="J17" s="45"/>
      <c r="K17" s="45"/>
      <c r="L17" s="130">
        <v>3.3000000000000002E-2</v>
      </c>
      <c r="M17" s="130">
        <v>3.2000000000000001E-2</v>
      </c>
      <c r="N17" s="130">
        <v>3.6999999999999998E-2</v>
      </c>
      <c r="O17" s="130">
        <v>3.6999999999999998E-2</v>
      </c>
      <c r="P17" s="130">
        <v>3.6999999999999998E-2</v>
      </c>
      <c r="R17" s="8" t="s">
        <v>494</v>
      </c>
      <c r="T17" s="8" t="s">
        <v>498</v>
      </c>
    </row>
    <row r="19" spans="2:20" s="14" customFormat="1">
      <c r="B19" s="14" t="s">
        <v>78</v>
      </c>
    </row>
    <row r="21" spans="2:20">
      <c r="B21" s="8" t="s">
        <v>87</v>
      </c>
      <c r="D21" s="8" t="s">
        <v>75</v>
      </c>
      <c r="F21" s="38"/>
      <c r="H21" s="5">
        <v>1.4E-2</v>
      </c>
      <c r="I21" s="5">
        <v>2.1000000000000001E-2</v>
      </c>
      <c r="J21" s="5">
        <v>2.8000000000000001E-2</v>
      </c>
      <c r="K21" s="5">
        <v>7.0000000000000001E-3</v>
      </c>
      <c r="L21" s="5">
        <v>1.7999999999999999E-2</v>
      </c>
      <c r="M21" s="5">
        <v>1.7999999999999999E-2</v>
      </c>
      <c r="N21" s="5">
        <v>1.7999999999999999E-2</v>
      </c>
      <c r="O21" s="5">
        <v>1.7999999999999999E-2</v>
      </c>
      <c r="P21" s="5">
        <v>1.7999999999999999E-2</v>
      </c>
      <c r="R21" s="8" t="s">
        <v>504</v>
      </c>
    </row>
    <row r="23" spans="2:20" s="14" customFormat="1">
      <c r="B23" s="14" t="s">
        <v>262</v>
      </c>
    </row>
    <row r="25" spans="2:20">
      <c r="B25" s="8" t="s">
        <v>261</v>
      </c>
      <c r="D25" s="8" t="s">
        <v>75</v>
      </c>
      <c r="F25" s="130">
        <v>1</v>
      </c>
      <c r="R25" s="8" t="s">
        <v>495</v>
      </c>
      <c r="T25" s="8" t="s">
        <v>498</v>
      </c>
    </row>
    <row r="26" spans="2:20">
      <c r="B26" s="8" t="s">
        <v>260</v>
      </c>
      <c r="D26" s="8" t="s">
        <v>75</v>
      </c>
      <c r="F26" s="131"/>
      <c r="T26" s="8" t="s">
        <v>497</v>
      </c>
    </row>
    <row r="27" spans="2:20">
      <c r="B27" s="8" t="s">
        <v>238</v>
      </c>
      <c r="D27" s="8" t="s">
        <v>75</v>
      </c>
      <c r="F27" s="132"/>
      <c r="T27" s="8" t="s">
        <v>497</v>
      </c>
    </row>
    <row r="28" spans="2:20">
      <c r="B28" s="8" t="s">
        <v>240</v>
      </c>
      <c r="D28" s="8" t="s">
        <v>239</v>
      </c>
      <c r="F28" s="133"/>
      <c r="M28" s="18"/>
      <c r="N28" s="18"/>
      <c r="O28" s="18"/>
      <c r="P28" s="18"/>
      <c r="T28" s="8" t="s">
        <v>497</v>
      </c>
    </row>
    <row r="30" spans="2:20" s="14" customFormat="1">
      <c r="B30" s="14" t="s">
        <v>79</v>
      </c>
    </row>
    <row r="32" spans="2:20">
      <c r="B32" s="8" t="s">
        <v>79</v>
      </c>
      <c r="D32" s="8" t="s">
        <v>75</v>
      </c>
      <c r="F32" s="38"/>
      <c r="H32" s="5">
        <v>0</v>
      </c>
      <c r="I32" s="5">
        <v>0</v>
      </c>
      <c r="J32" s="5">
        <v>0</v>
      </c>
      <c r="K32" s="5">
        <v>0</v>
      </c>
      <c r="L32" s="5">
        <v>5.0000000000000001E-3</v>
      </c>
      <c r="M32" s="5">
        <v>5.0000000000000001E-3</v>
      </c>
      <c r="N32" s="5">
        <v>5.0000000000000001E-3</v>
      </c>
      <c r="O32" s="5">
        <v>5.0000000000000001E-3</v>
      </c>
      <c r="P32" s="5">
        <v>5.0000000000000001E-3</v>
      </c>
      <c r="R32" s="8" t="s">
        <v>496</v>
      </c>
    </row>
    <row r="34" spans="2:20" s="14" customFormat="1">
      <c r="B34" s="14" t="s">
        <v>287</v>
      </c>
    </row>
    <row r="36" spans="2:20">
      <c r="B36" s="8" t="s">
        <v>286</v>
      </c>
      <c r="D36" s="8" t="s">
        <v>75</v>
      </c>
      <c r="F36" s="5">
        <v>0.01</v>
      </c>
      <c r="R36" s="8" t="s">
        <v>505</v>
      </c>
    </row>
    <row r="38" spans="2:20" s="14" customFormat="1">
      <c r="B38" s="14" t="s">
        <v>263</v>
      </c>
    </row>
    <row r="40" spans="2:20">
      <c r="B40" s="7" t="s">
        <v>242</v>
      </c>
    </row>
    <row r="41" spans="2:20">
      <c r="B41" s="8" t="s">
        <v>264</v>
      </c>
      <c r="D41" s="8" t="s">
        <v>75</v>
      </c>
      <c r="F41" s="118">
        <v>1</v>
      </c>
      <c r="R41" s="8" t="s">
        <v>495</v>
      </c>
    </row>
    <row r="43" spans="2:20">
      <c r="B43" s="7" t="s">
        <v>265</v>
      </c>
    </row>
    <row r="44" spans="2:20">
      <c r="B44" s="112" t="s">
        <v>266</v>
      </c>
      <c r="D44" s="8" t="s">
        <v>75</v>
      </c>
      <c r="F44" s="5">
        <v>0.01</v>
      </c>
      <c r="R44" s="8" t="s">
        <v>505</v>
      </c>
    </row>
    <row r="45" spans="2:20">
      <c r="B45" s="112" t="s">
        <v>267</v>
      </c>
      <c r="D45" s="8" t="s">
        <v>75</v>
      </c>
      <c r="F45" s="5">
        <v>3.4000000000000002E-2</v>
      </c>
      <c r="R45" s="8" t="s">
        <v>505</v>
      </c>
    </row>
    <row r="47" spans="2:20">
      <c r="B47" s="8" t="s">
        <v>268</v>
      </c>
      <c r="D47" s="8" t="s">
        <v>206</v>
      </c>
      <c r="F47" s="32">
        <v>134675214</v>
      </c>
      <c r="R47" s="8" t="s">
        <v>224</v>
      </c>
      <c r="T47" s="8" t="s">
        <v>488</v>
      </c>
    </row>
    <row r="48" spans="2:20">
      <c r="B48" s="8" t="s">
        <v>269</v>
      </c>
      <c r="D48" s="8" t="s">
        <v>206</v>
      </c>
      <c r="F48" s="32">
        <v>161207241</v>
      </c>
      <c r="R48" s="8" t="s">
        <v>209</v>
      </c>
      <c r="T48" s="8" t="s">
        <v>488</v>
      </c>
    </row>
    <row r="49" spans="2:20">
      <c r="B49" s="8" t="s">
        <v>270</v>
      </c>
      <c r="D49" s="8" t="s">
        <v>206</v>
      </c>
      <c r="F49" s="32">
        <v>19264075.840289921</v>
      </c>
      <c r="R49" s="8" t="s">
        <v>212</v>
      </c>
    </row>
    <row r="50" spans="2:20">
      <c r="B50" s="8" t="s">
        <v>271</v>
      </c>
      <c r="D50" s="8" t="s">
        <v>206</v>
      </c>
      <c r="F50" s="32">
        <v>10427249.13459645</v>
      </c>
      <c r="R50" s="8" t="s">
        <v>213</v>
      </c>
    </row>
    <row r="52" spans="2:20" s="1" customFormat="1">
      <c r="B52" s="1" t="s">
        <v>351</v>
      </c>
    </row>
    <row r="54" spans="2:20">
      <c r="B54" s="8" t="s">
        <v>345</v>
      </c>
      <c r="D54" s="8" t="s">
        <v>75</v>
      </c>
      <c r="F54" s="5">
        <v>0.33600000000000002</v>
      </c>
      <c r="R54" s="8" t="s">
        <v>335</v>
      </c>
      <c r="T54" s="8" t="s">
        <v>487</v>
      </c>
    </row>
    <row r="55" spans="2:20">
      <c r="B55" s="8" t="s">
        <v>346</v>
      </c>
      <c r="D55" s="8" t="s">
        <v>75</v>
      </c>
      <c r="F55" s="5">
        <v>0.16</v>
      </c>
      <c r="R55" s="8" t="s">
        <v>336</v>
      </c>
    </row>
    <row r="56" spans="2:20">
      <c r="B56" s="8" t="s">
        <v>347</v>
      </c>
      <c r="D56" s="8" t="s">
        <v>75</v>
      </c>
      <c r="F56" s="5">
        <v>0.24</v>
      </c>
      <c r="R56" s="8" t="s">
        <v>336</v>
      </c>
    </row>
    <row r="57" spans="2:20">
      <c r="B57" s="8" t="s">
        <v>348</v>
      </c>
      <c r="D57" s="8" t="s">
        <v>75</v>
      </c>
      <c r="F57" s="5">
        <v>0.33</v>
      </c>
      <c r="R57" s="8" t="s">
        <v>335</v>
      </c>
    </row>
    <row r="58" spans="2:20">
      <c r="B58" s="8" t="s">
        <v>349</v>
      </c>
      <c r="D58" s="8" t="s">
        <v>75</v>
      </c>
      <c r="F58" s="5">
        <v>0.50600000000000001</v>
      </c>
      <c r="R58" s="8" t="s">
        <v>336</v>
      </c>
    </row>
    <row r="59" spans="2:20">
      <c r="B59" s="8" t="s">
        <v>350</v>
      </c>
      <c r="D59" s="8" t="s">
        <v>75</v>
      </c>
      <c r="F59" s="5">
        <v>0.76</v>
      </c>
      <c r="R59" s="8" t="s">
        <v>336</v>
      </c>
    </row>
  </sheetData>
  <mergeCells count="1">
    <mergeCell ref="B5:C5"/>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E1FFE1"/>
  </sheetPr>
  <dimension ref="A1:AD85"/>
  <sheetViews>
    <sheetView showGridLines="0" zoomScale="85" zoomScaleNormal="85" workbookViewId="0">
      <pane xSplit="4" ySplit="11" topLeftCell="E12" activePane="bottomRight" state="frozen"/>
      <selection pane="topRight" activeCell="E1" sqref="E1"/>
      <selection pane="bottomLeft" activeCell="A9" sqref="A9"/>
      <selection pane="bottomRight" activeCell="E12" sqref="E12"/>
    </sheetView>
  </sheetViews>
  <sheetFormatPr defaultColWidth="9.140625" defaultRowHeight="12.75"/>
  <cols>
    <col min="1" max="1" width="4.7109375" style="8" customWidth="1"/>
    <col min="2" max="2" width="91.28515625" style="8" customWidth="1"/>
    <col min="3" max="3" width="2.7109375" style="8" customWidth="1"/>
    <col min="4" max="4" width="12.140625" style="8" bestFit="1" customWidth="1"/>
    <col min="5" max="5" width="2.7109375" style="8" customWidth="1"/>
    <col min="6" max="6" width="13.7109375" style="8" customWidth="1"/>
    <col min="7" max="7" width="2.7109375" style="8" customWidth="1"/>
    <col min="8" max="16" width="14.7109375" style="8" customWidth="1"/>
    <col min="17" max="17" width="2.7109375" style="8" customWidth="1"/>
    <col min="18" max="18" width="43.5703125" style="8" bestFit="1" customWidth="1"/>
    <col min="19" max="19" width="2.7109375" style="8" customWidth="1"/>
    <col min="20" max="16384" width="9.140625" style="8"/>
  </cols>
  <sheetData>
    <row r="1" spans="1:30">
      <c r="B1"/>
      <c r="D1"/>
      <c r="F1"/>
      <c r="H1"/>
      <c r="I1"/>
      <c r="J1"/>
      <c r="K1"/>
      <c r="L1"/>
      <c r="M1"/>
      <c r="N1"/>
      <c r="O1"/>
      <c r="P1"/>
      <c r="R1"/>
      <c r="T1"/>
    </row>
    <row r="2" spans="1:30" s="23" customFormat="1" ht="18">
      <c r="B2" s="23" t="s">
        <v>508</v>
      </c>
    </row>
    <row r="4" spans="1:30">
      <c r="A4"/>
      <c r="B4" s="29" t="s">
        <v>29</v>
      </c>
      <c r="C4"/>
      <c r="D4"/>
      <c r="E4"/>
      <c r="F4"/>
      <c r="G4"/>
      <c r="H4"/>
      <c r="I4"/>
      <c r="J4"/>
      <c r="K4"/>
      <c r="L4"/>
      <c r="M4"/>
      <c r="N4"/>
      <c r="O4"/>
      <c r="P4"/>
      <c r="Q4"/>
      <c r="R4"/>
      <c r="S4"/>
      <c r="T4"/>
    </row>
    <row r="5" spans="1:30" ht="75" customHeight="1">
      <c r="A5" s="51"/>
      <c r="B5" s="141" t="s">
        <v>620</v>
      </c>
      <c r="C5" s="141"/>
      <c r="E5" s="51"/>
      <c r="F5" s="51"/>
      <c r="G5" s="51"/>
      <c r="H5" s="51"/>
      <c r="I5" s="51"/>
      <c r="J5" s="51"/>
      <c r="K5" s="51"/>
      <c r="L5" s="51"/>
      <c r="M5" s="51"/>
      <c r="N5" s="51"/>
      <c r="O5" s="51"/>
      <c r="P5" s="51"/>
      <c r="Q5" s="51"/>
      <c r="R5" s="51"/>
      <c r="S5" s="51"/>
      <c r="T5" s="51"/>
    </row>
    <row r="6" spans="1:30" ht="12.75" customHeight="1">
      <c r="A6" s="51"/>
      <c r="B6" s="135"/>
      <c r="C6" s="135"/>
      <c r="E6" s="51"/>
      <c r="F6" s="51"/>
      <c r="G6" s="51"/>
      <c r="H6" s="51"/>
      <c r="I6" s="51"/>
      <c r="J6" s="51"/>
      <c r="K6" s="51"/>
      <c r="L6" s="51"/>
      <c r="M6" s="51"/>
      <c r="N6" s="51"/>
      <c r="O6" s="51"/>
      <c r="P6" s="51"/>
      <c r="Q6" s="51"/>
      <c r="R6" s="51"/>
      <c r="S6" s="51"/>
      <c r="T6" s="51"/>
    </row>
    <row r="7" spans="1:30" ht="12.75" customHeight="1">
      <c r="A7" s="51"/>
      <c r="B7" s="30" t="s">
        <v>30</v>
      </c>
      <c r="C7" s="135"/>
      <c r="E7" s="51"/>
      <c r="F7" s="51"/>
      <c r="G7" s="51"/>
      <c r="H7" s="51"/>
      <c r="I7" s="51"/>
      <c r="J7" s="51"/>
      <c r="K7" s="51"/>
      <c r="L7" s="51"/>
      <c r="M7" s="51"/>
      <c r="N7" s="51"/>
      <c r="O7" s="51"/>
      <c r="P7" s="51"/>
      <c r="Q7" s="51"/>
      <c r="R7" s="51"/>
      <c r="S7" s="51"/>
      <c r="T7" s="51"/>
    </row>
    <row r="8" spans="1:30" ht="26.25" customHeight="1">
      <c r="A8" s="51"/>
      <c r="B8" s="135" t="s">
        <v>559</v>
      </c>
      <c r="C8" s="135"/>
      <c r="E8" s="51"/>
      <c r="F8" s="51"/>
      <c r="G8" s="51"/>
      <c r="H8" s="51"/>
      <c r="I8" s="51"/>
      <c r="J8" s="51"/>
      <c r="K8" s="51"/>
      <c r="L8" s="51"/>
      <c r="M8" s="51"/>
      <c r="N8" s="51"/>
      <c r="O8" s="51"/>
      <c r="P8" s="51"/>
      <c r="Q8" s="51"/>
      <c r="R8" s="51"/>
      <c r="S8" s="51"/>
      <c r="T8" s="51"/>
    </row>
    <row r="9" spans="1:30" ht="12.75" customHeight="1">
      <c r="A9" s="51"/>
      <c r="B9" s="135"/>
      <c r="C9" s="135"/>
      <c r="E9" s="51"/>
      <c r="F9" s="51"/>
      <c r="G9" s="51"/>
      <c r="H9" s="51"/>
      <c r="I9" s="51"/>
      <c r="J9" s="51"/>
      <c r="K9" s="51"/>
      <c r="L9" s="51"/>
      <c r="M9" s="51"/>
      <c r="N9" s="51"/>
      <c r="O9" s="51"/>
      <c r="P9" s="51"/>
      <c r="Q9" s="51"/>
      <c r="R9" s="51"/>
      <c r="S9" s="51"/>
      <c r="T9" s="51"/>
    </row>
    <row r="10" spans="1:30" s="14" customFormat="1">
      <c r="B10" s="14" t="s">
        <v>45</v>
      </c>
      <c r="D10" s="14" t="s">
        <v>27</v>
      </c>
      <c r="F10" s="14" t="s">
        <v>28</v>
      </c>
      <c r="H10" s="14">
        <v>2018</v>
      </c>
      <c r="I10" s="14" t="s">
        <v>86</v>
      </c>
      <c r="J10" s="14">
        <v>2020</v>
      </c>
      <c r="K10" s="14">
        <v>2021</v>
      </c>
      <c r="L10" s="14">
        <v>2022</v>
      </c>
      <c r="M10" s="14">
        <v>2023</v>
      </c>
      <c r="N10" s="14">
        <v>2024</v>
      </c>
      <c r="O10" s="14">
        <v>2025</v>
      </c>
      <c r="P10" s="14">
        <v>2026</v>
      </c>
      <c r="R10" s="14" t="s">
        <v>46</v>
      </c>
      <c r="T10" s="14" t="s">
        <v>47</v>
      </c>
    </row>
    <row r="13" spans="1:30" s="14" customFormat="1">
      <c r="B13" s="14" t="s">
        <v>617</v>
      </c>
    </row>
    <row r="15" spans="1:30">
      <c r="B15" s="8" t="s">
        <v>111</v>
      </c>
      <c r="C15"/>
      <c r="D15" s="8" t="s">
        <v>80</v>
      </c>
      <c r="E15"/>
      <c r="F15"/>
      <c r="G15"/>
      <c r="H15" s="45"/>
      <c r="I15" s="45"/>
      <c r="J15" s="45"/>
      <c r="K15" s="45"/>
      <c r="L15" s="32">
        <v>91851114.842521295</v>
      </c>
      <c r="M15" s="32">
        <v>92419829.829167292</v>
      </c>
      <c r="N15" s="32">
        <v>92159328.35934785</v>
      </c>
      <c r="O15" s="32">
        <v>92333385.163519576</v>
      </c>
      <c r="P15" s="32">
        <v>43788968.535590015</v>
      </c>
      <c r="Q15"/>
      <c r="R15" s="8" t="s">
        <v>509</v>
      </c>
      <c r="S15"/>
      <c r="T15"/>
      <c r="Y15" s="47"/>
      <c r="Z15" s="47"/>
      <c r="AA15" s="47"/>
      <c r="AB15" s="47"/>
      <c r="AC15" s="47"/>
      <c r="AD15" s="47"/>
    </row>
    <row r="16" spans="1:30">
      <c r="B16" s="8" t="s">
        <v>112</v>
      </c>
      <c r="C16"/>
      <c r="D16" s="8" t="s">
        <v>80</v>
      </c>
      <c r="E16"/>
      <c r="F16"/>
      <c r="G16"/>
      <c r="H16" s="45"/>
      <c r="I16" s="45"/>
      <c r="J16" s="45"/>
      <c r="K16" s="45"/>
      <c r="L16" s="32">
        <v>1593554583.9909317</v>
      </c>
      <c r="M16" s="32">
        <v>1515476745.4176815</v>
      </c>
      <c r="N16" s="32">
        <v>1436956707.7670937</v>
      </c>
      <c r="O16" s="32">
        <v>1357555932.9734786</v>
      </c>
      <c r="P16" s="32">
        <v>1325984967.8346488</v>
      </c>
      <c r="Q16"/>
      <c r="R16" s="8" t="s">
        <v>510</v>
      </c>
      <c r="S16"/>
      <c r="T16"/>
      <c r="Y16" s="47"/>
      <c r="Z16" s="47"/>
      <c r="AA16" s="47"/>
      <c r="AB16" s="47"/>
      <c r="AC16" s="47"/>
      <c r="AD16" s="47"/>
    </row>
    <row r="17" spans="1:30">
      <c r="B17" s="8" t="s">
        <v>272</v>
      </c>
      <c r="C17"/>
      <c r="D17" s="8" t="s">
        <v>80</v>
      </c>
      <c r="E17"/>
      <c r="F17"/>
      <c r="G17"/>
      <c r="H17" s="45"/>
      <c r="I17" s="45"/>
      <c r="J17" s="45"/>
      <c r="K17" s="45"/>
      <c r="L17" s="32">
        <v>7334471.3939507464</v>
      </c>
      <c r="M17" s="32">
        <v>7303675.2058256818</v>
      </c>
      <c r="N17" s="32">
        <v>7252723.3806415042</v>
      </c>
      <c r="O17" s="32">
        <v>7106170.9986589514</v>
      </c>
      <c r="P17" s="32">
        <v>5160907.6578129688</v>
      </c>
      <c r="Q17"/>
      <c r="R17" s="8" t="s">
        <v>511</v>
      </c>
      <c r="S17"/>
      <c r="T17"/>
      <c r="Y17" s="47"/>
      <c r="Z17" s="47"/>
      <c r="AA17" s="47"/>
      <c r="AB17" s="47"/>
      <c r="AC17" s="47"/>
      <c r="AD17" s="47"/>
    </row>
    <row r="18" spans="1:30">
      <c r="B18" s="8" t="s">
        <v>618</v>
      </c>
      <c r="C18"/>
      <c r="D18" s="8" t="s">
        <v>80</v>
      </c>
      <c r="E18"/>
      <c r="F18"/>
      <c r="G18"/>
      <c r="H18" s="45"/>
      <c r="I18" s="45"/>
      <c r="J18" s="45"/>
      <c r="K18" s="45"/>
      <c r="L18" s="32">
        <v>316953472.35924375</v>
      </c>
      <c r="M18" s="32">
        <v>312502378.40465128</v>
      </c>
      <c r="N18" s="32">
        <v>308062176.4296515</v>
      </c>
      <c r="O18" s="32">
        <v>303728565.01885933</v>
      </c>
      <c r="P18" s="32">
        <v>301301214.44621629</v>
      </c>
      <c r="Q18"/>
      <c r="R18" s="8" t="s">
        <v>512</v>
      </c>
      <c r="S18"/>
      <c r="T18"/>
      <c r="Y18" s="47"/>
      <c r="Z18" s="47"/>
      <c r="AA18" s="47"/>
      <c r="AB18" s="47"/>
      <c r="AC18" s="47"/>
      <c r="AD18" s="47"/>
    </row>
    <row r="19" spans="1:30">
      <c r="B19" s="8" t="s">
        <v>476</v>
      </c>
      <c r="C19"/>
      <c r="D19" s="8" t="s">
        <v>80</v>
      </c>
      <c r="E19"/>
      <c r="F19"/>
      <c r="G19"/>
      <c r="H19" s="45"/>
      <c r="I19" s="45"/>
      <c r="J19" s="45"/>
      <c r="K19" s="45"/>
      <c r="L19" s="32">
        <v>7656071.8244040236</v>
      </c>
      <c r="M19" s="32">
        <v>7724976.4708236568</v>
      </c>
      <c r="N19" s="32">
        <v>7471442.3596959189</v>
      </c>
      <c r="O19" s="32">
        <v>6560786.0525548644</v>
      </c>
      <c r="P19" s="32">
        <v>6619833.127027858</v>
      </c>
      <c r="Q19"/>
      <c r="R19" s="8" t="s">
        <v>513</v>
      </c>
      <c r="S19"/>
      <c r="T19"/>
      <c r="Y19" s="47"/>
      <c r="Z19" s="47"/>
      <c r="AA19" s="47"/>
      <c r="AB19" s="47"/>
      <c r="AC19" s="47"/>
      <c r="AD19" s="47"/>
    </row>
    <row r="20" spans="1:30">
      <c r="B20" s="8" t="s">
        <v>477</v>
      </c>
      <c r="C20"/>
      <c r="D20" s="8" t="s">
        <v>80</v>
      </c>
      <c r="E20"/>
      <c r="F20"/>
      <c r="G20"/>
      <c r="H20" s="45"/>
      <c r="I20" s="45"/>
      <c r="J20" s="45"/>
      <c r="K20" s="45"/>
      <c r="L20" s="32">
        <v>232612937.01180607</v>
      </c>
      <c r="M20" s="32">
        <v>226981476.97408861</v>
      </c>
      <c r="N20" s="32">
        <v>221552867.90715945</v>
      </c>
      <c r="O20" s="32">
        <v>216986057.66576904</v>
      </c>
      <c r="P20" s="32">
        <v>212319099.05773306</v>
      </c>
      <c r="Q20"/>
      <c r="R20" s="8" t="s">
        <v>514</v>
      </c>
      <c r="S20"/>
      <c r="T20"/>
      <c r="Y20" s="47"/>
      <c r="Z20" s="47"/>
      <c r="AA20" s="47"/>
      <c r="AB20" s="47"/>
      <c r="AC20" s="47"/>
      <c r="AD20" s="47"/>
    </row>
    <row r="21" spans="1:30">
      <c r="B21" s="8" t="s">
        <v>478</v>
      </c>
      <c r="C21"/>
      <c r="D21" s="8" t="s">
        <v>80</v>
      </c>
      <c r="E21"/>
      <c r="F21"/>
      <c r="G21"/>
      <c r="H21" s="45"/>
      <c r="I21" s="45"/>
      <c r="J21" s="45"/>
      <c r="K21" s="45"/>
      <c r="L21" s="32">
        <v>723064.62560992781</v>
      </c>
      <c r="M21" s="32">
        <v>729572.20724041725</v>
      </c>
      <c r="N21" s="32">
        <v>736138.35710558074</v>
      </c>
      <c r="O21" s="32">
        <v>742763.60231953091</v>
      </c>
      <c r="P21" s="32">
        <v>749448.47474040661</v>
      </c>
      <c r="Q21"/>
      <c r="R21" s="8" t="s">
        <v>515</v>
      </c>
      <c r="S21"/>
      <c r="T21"/>
      <c r="Y21" s="47"/>
      <c r="Z21" s="47"/>
      <c r="AA21" s="47"/>
      <c r="AB21" s="47"/>
      <c r="AC21" s="47"/>
      <c r="AD21" s="47"/>
    </row>
    <row r="22" spans="1:30">
      <c r="B22" s="8" t="s">
        <v>479</v>
      </c>
      <c r="C22"/>
      <c r="D22" s="8" t="s">
        <v>80</v>
      </c>
      <c r="E22"/>
      <c r="F22"/>
      <c r="G22"/>
      <c r="H22" s="45"/>
      <c r="I22" s="45"/>
      <c r="J22" s="45"/>
      <c r="K22" s="45"/>
      <c r="L22" s="32">
        <v>26572625.214475397</v>
      </c>
      <c r="M22" s="32">
        <v>26082206.634165261</v>
      </c>
      <c r="N22" s="32">
        <v>25580808.136767168</v>
      </c>
      <c r="O22" s="32">
        <v>25068271.807678536</v>
      </c>
      <c r="P22" s="32">
        <v>24544437.77920723</v>
      </c>
      <c r="Q22"/>
      <c r="R22" s="8" t="s">
        <v>516</v>
      </c>
      <c r="S22"/>
      <c r="T22"/>
      <c r="Y22" s="47"/>
      <c r="Z22" s="47"/>
      <c r="AA22" s="47"/>
      <c r="AB22" s="47"/>
      <c r="AC22" s="47"/>
      <c r="AD22" s="47"/>
    </row>
    <row r="24" spans="1:30" s="14" customFormat="1">
      <c r="B24" s="14" t="s">
        <v>619</v>
      </c>
    </row>
    <row r="26" spans="1:30">
      <c r="B26" s="8" t="s">
        <v>114</v>
      </c>
      <c r="C26"/>
      <c r="D26" s="8" t="s">
        <v>80</v>
      </c>
      <c r="E26"/>
      <c r="F26"/>
      <c r="G26"/>
      <c r="H26" s="45"/>
      <c r="I26" s="45"/>
      <c r="J26" s="45"/>
      <c r="K26" s="45"/>
      <c r="L26" s="32">
        <v>108052988.99631904</v>
      </c>
      <c r="M26" s="32">
        <v>108477037.51986828</v>
      </c>
      <c r="N26" s="32">
        <v>104508195.84862889</v>
      </c>
      <c r="O26" s="32">
        <v>88815353.497609496</v>
      </c>
      <c r="P26" s="32">
        <v>82131106.10614346</v>
      </c>
      <c r="Q26"/>
      <c r="R26" s="8" t="s">
        <v>517</v>
      </c>
      <c r="S26"/>
    </row>
    <row r="27" spans="1:30">
      <c r="B27" s="8" t="s">
        <v>621</v>
      </c>
      <c r="C27"/>
      <c r="D27" s="8" t="s">
        <v>80</v>
      </c>
      <c r="E27"/>
      <c r="F27"/>
      <c r="G27"/>
      <c r="H27" s="45"/>
      <c r="I27" s="45"/>
      <c r="J27" s="45"/>
      <c r="K27" s="45"/>
      <c r="L27" s="32">
        <v>1825011873.621788</v>
      </c>
      <c r="M27" s="32">
        <v>1732959942.9645152</v>
      </c>
      <c r="N27" s="32">
        <v>1644048386.6025686</v>
      </c>
      <c r="O27" s="32">
        <v>1570029468.5843813</v>
      </c>
      <c r="P27" s="32">
        <v>1502028627.6954982</v>
      </c>
      <c r="Q27"/>
      <c r="R27" s="8" t="s">
        <v>518</v>
      </c>
      <c r="S27"/>
    </row>
    <row r="28" spans="1:30">
      <c r="B28" s="8" t="s">
        <v>115</v>
      </c>
      <c r="C28"/>
      <c r="D28" s="8" t="s">
        <v>80</v>
      </c>
      <c r="E28"/>
      <c r="F28"/>
      <c r="G28"/>
      <c r="H28" s="45"/>
      <c r="I28" s="45"/>
      <c r="J28" s="45"/>
      <c r="K28" s="45"/>
      <c r="L28" s="137">
        <v>11254489.916840849</v>
      </c>
      <c r="M28" s="137">
        <v>11024097.279684626</v>
      </c>
      <c r="N28" s="137">
        <v>10677458.12047017</v>
      </c>
      <c r="O28" s="137">
        <v>9260872.0300318729</v>
      </c>
      <c r="P28" s="137">
        <v>7397483.8894698303</v>
      </c>
      <c r="Q28"/>
      <c r="R28" s="8" t="s">
        <v>519</v>
      </c>
      <c r="S28"/>
    </row>
    <row r="29" spans="1:30">
      <c r="B29" s="8" t="s">
        <v>116</v>
      </c>
      <c r="C29"/>
      <c r="D29" s="8" t="s">
        <v>80</v>
      </c>
      <c r="E29"/>
      <c r="F29"/>
      <c r="G29"/>
      <c r="H29" s="45"/>
      <c r="I29" s="45"/>
      <c r="J29" s="45"/>
      <c r="K29" s="45"/>
      <c r="L29" s="137">
        <v>224327201.32193375</v>
      </c>
      <c r="M29" s="137">
        <v>215322048.85414675</v>
      </c>
      <c r="N29" s="137">
        <v>206582489.17336366</v>
      </c>
      <c r="O29" s="137">
        <v>199180859.54589206</v>
      </c>
      <c r="P29" s="137">
        <v>193576003.39233527</v>
      </c>
      <c r="Q29"/>
      <c r="R29" s="8" t="s">
        <v>520</v>
      </c>
      <c r="S29"/>
    </row>
    <row r="31" spans="1:30" s="14" customFormat="1">
      <c r="B31" s="14" t="s">
        <v>616</v>
      </c>
    </row>
    <row r="32" spans="1:30">
      <c r="A32"/>
      <c r="B32" s="7"/>
      <c r="C32"/>
      <c r="D32"/>
      <c r="E32"/>
      <c r="F32"/>
      <c r="G32"/>
      <c r="H32"/>
      <c r="I32"/>
      <c r="J32"/>
      <c r="K32"/>
      <c r="L32"/>
      <c r="M32"/>
      <c r="N32"/>
      <c r="O32"/>
      <c r="P32"/>
      <c r="Q32"/>
      <c r="R32"/>
      <c r="S32"/>
    </row>
    <row r="33" spans="1:19">
      <c r="A33"/>
      <c r="B33" s="8" t="s">
        <v>251</v>
      </c>
      <c r="C33"/>
      <c r="D33" s="8" t="s">
        <v>80</v>
      </c>
      <c r="E33"/>
      <c r="F33"/>
      <c r="G33"/>
      <c r="H33" s="45"/>
      <c r="I33" s="45"/>
      <c r="J33" s="45"/>
      <c r="K33" s="45"/>
      <c r="L33" s="32">
        <v>2266153.7304028017</v>
      </c>
      <c r="M33" s="32">
        <v>3817809.3553878237</v>
      </c>
      <c r="N33" s="32">
        <v>5403198.450714333</v>
      </c>
      <c r="O33" s="32">
        <v>7022879.8298504399</v>
      </c>
      <c r="P33" s="32">
        <v>8484624.9184843637</v>
      </c>
      <c r="Q33"/>
      <c r="R33" s="8" t="s">
        <v>521</v>
      </c>
      <c r="S33"/>
    </row>
    <row r="34" spans="1:19">
      <c r="A34"/>
      <c r="B34" s="8" t="s">
        <v>248</v>
      </c>
      <c r="C34"/>
      <c r="D34" s="8" t="s">
        <v>80</v>
      </c>
      <c r="E34"/>
      <c r="F34"/>
      <c r="G34"/>
      <c r="H34" s="45"/>
      <c r="I34" s="45"/>
      <c r="J34" s="45"/>
      <c r="K34" s="45"/>
      <c r="L34" s="32">
        <v>72212745.667681336</v>
      </c>
      <c r="M34" s="32">
        <v>107220819.55866069</v>
      </c>
      <c r="N34" s="32">
        <v>141451428.77312377</v>
      </c>
      <c r="O34" s="32">
        <v>174869646.56131387</v>
      </c>
      <c r="P34" s="32">
        <v>207632542.54970348</v>
      </c>
      <c r="Q34"/>
      <c r="R34" s="8" t="s">
        <v>522</v>
      </c>
      <c r="S34"/>
    </row>
    <row r="35" spans="1:19">
      <c r="A35"/>
      <c r="B35" s="8" t="s">
        <v>250</v>
      </c>
      <c r="C35"/>
      <c r="D35" s="8" t="s">
        <v>80</v>
      </c>
      <c r="E35"/>
      <c r="F35"/>
      <c r="G35"/>
      <c r="H35" s="45"/>
      <c r="I35" s="45"/>
      <c r="J35" s="45"/>
      <c r="K35" s="45"/>
      <c r="L35" s="32">
        <v>995447.98512739839</v>
      </c>
      <c r="M35" s="32">
        <v>1677040.0787177959</v>
      </c>
      <c r="N35" s="32">
        <v>2373450.1939773676</v>
      </c>
      <c r="O35" s="32">
        <v>3084923.7995755291</v>
      </c>
      <c r="P35" s="32">
        <v>3663289.0798481647</v>
      </c>
      <c r="Q35"/>
      <c r="R35" s="8" t="s">
        <v>523</v>
      </c>
      <c r="S35"/>
    </row>
    <row r="36" spans="1:19">
      <c r="A36"/>
      <c r="B36" s="8" t="s">
        <v>249</v>
      </c>
      <c r="C36"/>
      <c r="D36" s="8" t="s">
        <v>80</v>
      </c>
      <c r="E36"/>
      <c r="F36"/>
      <c r="G36"/>
      <c r="H36" s="45"/>
      <c r="I36" s="45"/>
      <c r="J36" s="45"/>
      <c r="K36" s="45"/>
      <c r="L36" s="32">
        <v>35481808.709653236</v>
      </c>
      <c r="M36" s="32">
        <v>52802077.056788333</v>
      </c>
      <c r="N36" s="32">
        <v>69822950.324211851</v>
      </c>
      <c r="O36" s="32">
        <v>86529783.487997502</v>
      </c>
      <c r="P36" s="32">
        <v>103056011.72378334</v>
      </c>
      <c r="Q36"/>
      <c r="R36" s="8" t="s">
        <v>524</v>
      </c>
      <c r="S36"/>
    </row>
    <row r="37" spans="1:19">
      <c r="A37" s="52"/>
      <c r="B37" s="52"/>
      <c r="C37" s="52"/>
      <c r="D37" s="52"/>
      <c r="E37" s="52"/>
      <c r="F37"/>
      <c r="G37" s="52"/>
      <c r="H37"/>
      <c r="I37"/>
      <c r="J37"/>
      <c r="K37"/>
      <c r="L37"/>
      <c r="M37"/>
      <c r="N37"/>
      <c r="O37"/>
      <c r="P37"/>
      <c r="Q37" s="52"/>
      <c r="R37"/>
      <c r="S37" s="52"/>
    </row>
    <row r="38" spans="1:19" s="14" customFormat="1">
      <c r="B38" s="14" t="s">
        <v>615</v>
      </c>
    </row>
    <row r="39" spans="1:19">
      <c r="A39"/>
      <c r="B39"/>
      <c r="C39"/>
      <c r="D39"/>
      <c r="E39"/>
      <c r="F39"/>
      <c r="G39"/>
      <c r="H39" s="47"/>
      <c r="I39"/>
      <c r="J39"/>
      <c r="K39"/>
      <c r="L39"/>
      <c r="M39"/>
      <c r="N39"/>
      <c r="O39"/>
      <c r="P39"/>
      <c r="Q39"/>
      <c r="R39"/>
      <c r="S39"/>
    </row>
    <row r="40" spans="1:19">
      <c r="A40"/>
      <c r="B40" s="8" t="s">
        <v>110</v>
      </c>
      <c r="C40" s="48"/>
      <c r="D40" s="8" t="s">
        <v>80</v>
      </c>
      <c r="E40" s="48"/>
      <c r="F40" s="48"/>
      <c r="G40" s="48"/>
      <c r="H40" s="45"/>
      <c r="I40" s="45"/>
      <c r="J40" s="32">
        <v>2352577687.9437237</v>
      </c>
      <c r="K40" s="45"/>
      <c r="L40" s="45"/>
      <c r="M40" s="45"/>
      <c r="N40" s="45"/>
      <c r="O40" s="45"/>
      <c r="P40" s="45"/>
      <c r="Q40" s="48"/>
      <c r="R40" s="8" t="s">
        <v>525</v>
      </c>
      <c r="S40" s="48"/>
    </row>
    <row r="41" spans="1:19">
      <c r="A41" s="48"/>
      <c r="B41" s="48"/>
      <c r="C41" s="48"/>
      <c r="D41" s="48"/>
      <c r="E41" s="48"/>
      <c r="F41" s="48"/>
      <c r="G41" s="48"/>
      <c r="H41" s="48"/>
      <c r="I41" s="48"/>
      <c r="J41" s="50"/>
      <c r="K41" s="48"/>
      <c r="L41" s="48"/>
      <c r="M41" s="48"/>
      <c r="N41" s="48"/>
      <c r="O41" s="48"/>
      <c r="P41" s="48"/>
      <c r="Q41" s="48"/>
      <c r="R41" s="48"/>
      <c r="S41" s="48"/>
    </row>
    <row r="42" spans="1:19" s="14" customFormat="1">
      <c r="B42" s="14" t="s">
        <v>614</v>
      </c>
    </row>
    <row r="43" spans="1:19">
      <c r="A43"/>
      <c r="B43" s="7"/>
      <c r="C43"/>
      <c r="D43"/>
      <c r="E43"/>
      <c r="F43"/>
      <c r="G43"/>
      <c r="H43"/>
      <c r="I43"/>
      <c r="J43"/>
      <c r="K43"/>
      <c r="L43"/>
      <c r="M43"/>
      <c r="N43"/>
      <c r="O43"/>
      <c r="P43"/>
      <c r="Q43"/>
      <c r="R43"/>
      <c r="S43"/>
    </row>
    <row r="44" spans="1:19">
      <c r="A44"/>
      <c r="B44" s="8" t="s">
        <v>252</v>
      </c>
      <c r="C44"/>
      <c r="D44" s="8" t="s">
        <v>80</v>
      </c>
      <c r="E44"/>
      <c r="F44"/>
      <c r="G44"/>
      <c r="H44" s="45"/>
      <c r="I44" s="45"/>
      <c r="J44" s="45"/>
      <c r="K44" s="45"/>
      <c r="L44" s="32">
        <v>8893193.2643618844</v>
      </c>
      <c r="M44" s="32">
        <v>14982441.830156792</v>
      </c>
      <c r="N44" s="32">
        <v>21204072.531902872</v>
      </c>
      <c r="O44" s="32">
        <v>27560278.352407973</v>
      </c>
      <c r="P44" s="32">
        <v>33438650.239358876</v>
      </c>
      <c r="Q44"/>
      <c r="R44" s="8" t="s">
        <v>526</v>
      </c>
      <c r="S44"/>
    </row>
    <row r="45" spans="1:19">
      <c r="A45"/>
      <c r="B45" s="8" t="s">
        <v>253</v>
      </c>
      <c r="C45" s="52"/>
      <c r="D45" s="8" t="s">
        <v>80</v>
      </c>
      <c r="E45" s="52"/>
      <c r="F45"/>
      <c r="G45" s="52"/>
      <c r="H45" s="45"/>
      <c r="I45" s="45"/>
      <c r="J45" s="45"/>
      <c r="K45" s="45"/>
      <c r="L45" s="32">
        <v>373144387.34356242</v>
      </c>
      <c r="M45" s="32">
        <v>556881548.62711048</v>
      </c>
      <c r="N45" s="32">
        <v>738572828.09029698</v>
      </c>
      <c r="O45" s="32">
        <v>918097798.17526853</v>
      </c>
      <c r="P45" s="32">
        <v>1095947776.8844848</v>
      </c>
      <c r="Q45" s="52"/>
      <c r="R45" s="8" t="s">
        <v>527</v>
      </c>
      <c r="S45" s="52"/>
    </row>
    <row r="46" spans="1:19">
      <c r="A46"/>
      <c r="B46" s="8" t="s">
        <v>254</v>
      </c>
      <c r="C46" s="52"/>
      <c r="D46" s="8" t="s">
        <v>80</v>
      </c>
      <c r="E46" s="52"/>
      <c r="F46"/>
      <c r="G46" s="52"/>
      <c r="H46" s="45"/>
      <c r="I46" s="45"/>
      <c r="J46" s="45"/>
      <c r="K46" s="45"/>
      <c r="L46" s="32">
        <v>2396108.8460695189</v>
      </c>
      <c r="M46" s="32">
        <v>4036745.89518061</v>
      </c>
      <c r="N46" s="32">
        <v>5713050.8981508976</v>
      </c>
      <c r="O46" s="32">
        <v>7425614.7142307051</v>
      </c>
      <c r="P46" s="32">
        <v>8703648.6128957365</v>
      </c>
      <c r="Q46" s="52"/>
      <c r="R46" s="8" t="s">
        <v>528</v>
      </c>
      <c r="S46" s="52"/>
    </row>
    <row r="47" spans="1:19">
      <c r="A47"/>
      <c r="B47" s="8" t="s">
        <v>255</v>
      </c>
      <c r="C47" s="52"/>
      <c r="D47" s="8" t="s">
        <v>80</v>
      </c>
      <c r="E47" s="52"/>
      <c r="F47"/>
      <c r="G47" s="52"/>
      <c r="H47" s="45"/>
      <c r="I47" s="45"/>
      <c r="J47" s="45"/>
      <c r="K47" s="45"/>
      <c r="L47" s="32">
        <v>59215629.093850881</v>
      </c>
      <c r="M47" s="32">
        <v>87380505.041328818</v>
      </c>
      <c r="N47" s="32">
        <v>114531402.5434081</v>
      </c>
      <c r="O47" s="32">
        <v>140628215.13989246</v>
      </c>
      <c r="P47" s="32">
        <v>166101332.28400001</v>
      </c>
      <c r="Q47" s="52"/>
      <c r="R47" s="8" t="s">
        <v>529</v>
      </c>
      <c r="S47" s="52"/>
    </row>
    <row r="49" spans="1:19" s="14" customFormat="1">
      <c r="B49" s="14" t="s">
        <v>613</v>
      </c>
    </row>
    <row r="50" spans="1:19">
      <c r="A50"/>
      <c r="B50"/>
      <c r="C50"/>
      <c r="D50"/>
      <c r="E50"/>
      <c r="F50"/>
      <c r="G50"/>
      <c r="H50" s="47"/>
      <c r="I50" s="47"/>
      <c r="J50"/>
      <c r="K50"/>
      <c r="L50"/>
      <c r="M50"/>
      <c r="N50"/>
      <c r="O50"/>
      <c r="P50"/>
      <c r="Q50"/>
      <c r="R50"/>
      <c r="S50"/>
    </row>
    <row r="51" spans="1:19">
      <c r="A51"/>
      <c r="B51" s="8" t="s">
        <v>109</v>
      </c>
      <c r="C51" s="48"/>
      <c r="D51" s="8" t="s">
        <v>80</v>
      </c>
      <c r="E51" s="48"/>
      <c r="F51" s="48"/>
      <c r="G51"/>
      <c r="H51" s="45"/>
      <c r="I51" s="45"/>
      <c r="J51" s="32">
        <v>2248149453.7422318</v>
      </c>
      <c r="K51" s="45"/>
      <c r="L51" s="45"/>
      <c r="M51" s="45"/>
      <c r="N51" s="45"/>
      <c r="O51" s="45"/>
      <c r="P51" s="45"/>
      <c r="Q51" s="48"/>
      <c r="R51" s="8" t="s">
        <v>530</v>
      </c>
      <c r="S51" s="48"/>
    </row>
    <row r="52" spans="1:19">
      <c r="A52" s="48"/>
      <c r="B52" s="48"/>
      <c r="C52" s="48"/>
      <c r="D52" s="48"/>
      <c r="E52" s="48"/>
      <c r="F52" s="48"/>
      <c r="G52" s="48"/>
      <c r="H52" s="48"/>
      <c r="I52" s="50"/>
      <c r="J52" s="48"/>
      <c r="K52" s="48"/>
      <c r="L52" s="48"/>
      <c r="M52" s="48"/>
      <c r="N52" s="48"/>
      <c r="O52" s="48"/>
      <c r="P52" s="48"/>
      <c r="Q52" s="48"/>
      <c r="R52" s="48"/>
      <c r="S52" s="48"/>
    </row>
    <row r="53" spans="1:19" s="14" customFormat="1">
      <c r="B53" s="14" t="s">
        <v>293</v>
      </c>
    </row>
    <row r="54" spans="1:19">
      <c r="B54" s="46"/>
      <c r="D54"/>
      <c r="F54"/>
      <c r="H54"/>
      <c r="I54"/>
      <c r="J54"/>
      <c r="K54" s="53"/>
      <c r="L54" s="53"/>
      <c r="M54"/>
      <c r="N54"/>
      <c r="O54"/>
      <c r="P54"/>
      <c r="R54"/>
    </row>
    <row r="55" spans="1:19">
      <c r="B55" s="8" t="s">
        <v>422</v>
      </c>
      <c r="D55" s="8" t="s">
        <v>80</v>
      </c>
      <c r="H55" s="32">
        <v>2208557789.0624371</v>
      </c>
      <c r="I55" s="32">
        <v>2469632477.2863765</v>
      </c>
      <c r="J55" s="32">
        <v>2879841595.7457714</v>
      </c>
      <c r="K55" s="32">
        <v>2966897085.4281526</v>
      </c>
      <c r="L55" s="32">
        <v>3020301232.9658608</v>
      </c>
      <c r="M55" s="32">
        <v>3074666655.159246</v>
      </c>
      <c r="N55" s="32">
        <v>3130010654.9521141</v>
      </c>
      <c r="O55" s="32">
        <v>3186350846.7412548</v>
      </c>
      <c r="P55" s="32">
        <v>3243705161.9825974</v>
      </c>
      <c r="R55" s="8" t="s">
        <v>531</v>
      </c>
    </row>
    <row r="56" spans="1:19">
      <c r="B56" s="8" t="s">
        <v>398</v>
      </c>
      <c r="D56" s="8" t="s">
        <v>80</v>
      </c>
      <c r="H56" s="45"/>
      <c r="I56" s="45"/>
      <c r="J56" s="45"/>
      <c r="K56" s="32">
        <v>18604514.913461395</v>
      </c>
      <c r="L56" s="32">
        <v>37878792.363807403</v>
      </c>
      <c r="M56" s="32">
        <v>38560610.626355939</v>
      </c>
      <c r="N56" s="32">
        <v>39254701.61763034</v>
      </c>
      <c r="O56" s="32">
        <v>39961286.24674768</v>
      </c>
      <c r="P56" s="32">
        <v>40680589.399189152</v>
      </c>
      <c r="R56" s="8" t="s">
        <v>532</v>
      </c>
    </row>
    <row r="57" spans="1:19">
      <c r="B57" s="8" t="s">
        <v>399</v>
      </c>
      <c r="D57" s="8" t="s">
        <v>80</v>
      </c>
      <c r="H57" s="45"/>
      <c r="I57" s="45"/>
      <c r="J57" s="45"/>
      <c r="K57" s="45"/>
      <c r="L57" s="32">
        <v>18844699.200994186</v>
      </c>
      <c r="M57" s="32">
        <v>38367807.573224157</v>
      </c>
      <c r="N57" s="32">
        <v>39058428.109542198</v>
      </c>
      <c r="O57" s="32">
        <v>39761479.815513961</v>
      </c>
      <c r="P57" s="32">
        <v>40477186.452193215</v>
      </c>
      <c r="R57" s="8" t="s">
        <v>533</v>
      </c>
    </row>
    <row r="58" spans="1:19">
      <c r="B58" s="8" t="s">
        <v>400</v>
      </c>
      <c r="D58" s="8" t="s">
        <v>80</v>
      </c>
      <c r="H58" s="45"/>
      <c r="I58" s="45"/>
      <c r="J58" s="45"/>
      <c r="K58" s="45"/>
      <c r="L58" s="45"/>
      <c r="M58" s="32">
        <v>19087984.267679021</v>
      </c>
      <c r="N58" s="32">
        <v>38863135.968994476</v>
      </c>
      <c r="O58" s="32">
        <v>39562672.416436389</v>
      </c>
      <c r="P58" s="32">
        <v>40274800.51993224</v>
      </c>
      <c r="R58" s="8" t="s">
        <v>534</v>
      </c>
    </row>
    <row r="59" spans="1:19">
      <c r="B59" s="8" t="s">
        <v>401</v>
      </c>
      <c r="D59" s="8" t="s">
        <v>80</v>
      </c>
      <c r="H59" s="45"/>
      <c r="I59" s="45"/>
      <c r="J59" s="45"/>
      <c r="K59" s="45"/>
      <c r="L59" s="45"/>
      <c r="M59" s="125"/>
      <c r="N59" s="32">
        <v>19334410.14457475</v>
      </c>
      <c r="O59" s="32">
        <v>39364859.054354213</v>
      </c>
      <c r="P59" s="32">
        <v>40073426.517332576</v>
      </c>
      <c r="R59" s="8" t="s">
        <v>535</v>
      </c>
    </row>
    <row r="60" spans="1:19">
      <c r="B60" s="8" t="s">
        <v>402</v>
      </c>
      <c r="D60" s="8" t="s">
        <v>80</v>
      </c>
      <c r="H60" s="45"/>
      <c r="I60" s="45"/>
      <c r="J60" s="45"/>
      <c r="K60" s="45"/>
      <c r="L60" s="45"/>
      <c r="M60" s="45"/>
      <c r="N60" s="45"/>
      <c r="O60" s="32">
        <v>19584017.379541215</v>
      </c>
      <c r="P60" s="32">
        <v>39873059.384745903</v>
      </c>
      <c r="R60" s="8" t="s">
        <v>536</v>
      </c>
    </row>
    <row r="61" spans="1:19">
      <c r="B61" s="8" t="s">
        <v>403</v>
      </c>
      <c r="D61" s="8" t="s">
        <v>80</v>
      </c>
      <c r="H61" s="45"/>
      <c r="I61" s="45"/>
      <c r="J61" s="45"/>
      <c r="K61" s="45"/>
      <c r="L61" s="45"/>
      <c r="M61" s="45"/>
      <c r="N61" s="45"/>
      <c r="O61" s="45"/>
      <c r="P61" s="32">
        <v>19836847.043911099</v>
      </c>
      <c r="Q61" s="47"/>
      <c r="R61" s="8" t="s">
        <v>537</v>
      </c>
    </row>
    <row r="62" spans="1:19">
      <c r="H62" s="47"/>
    </row>
    <row r="63" spans="1:19">
      <c r="B63" s="8" t="s">
        <v>423</v>
      </c>
      <c r="D63" s="8" t="s">
        <v>80</v>
      </c>
      <c r="H63" s="32">
        <v>246155076.6395869</v>
      </c>
      <c r="I63" s="32">
        <v>307974376.07155591</v>
      </c>
      <c r="J63" s="32">
        <v>365464385.44380444</v>
      </c>
      <c r="K63" s="32">
        <v>386958326.75879067</v>
      </c>
      <c r="L63" s="32">
        <v>393923576.64044899</v>
      </c>
      <c r="M63" s="32">
        <v>401014201.01997727</v>
      </c>
      <c r="N63" s="32">
        <v>408232456.63833666</v>
      </c>
      <c r="O63" s="32">
        <v>415580640.85782695</v>
      </c>
      <c r="P63" s="32">
        <v>423061092.39326805</v>
      </c>
      <c r="R63" s="8" t="s">
        <v>538</v>
      </c>
    </row>
    <row r="64" spans="1:19">
      <c r="B64" s="8" t="s">
        <v>404</v>
      </c>
      <c r="D64" s="8" t="s">
        <v>80</v>
      </c>
      <c r="H64" s="45"/>
      <c r="I64" s="45"/>
      <c r="J64" s="45"/>
      <c r="K64" s="32">
        <v>9102443.8855795767</v>
      </c>
      <c r="L64" s="32">
        <v>18532575.751040015</v>
      </c>
      <c r="M64" s="32">
        <v>18866162.114558734</v>
      </c>
      <c r="N64" s="32">
        <v>19205753.032620795</v>
      </c>
      <c r="O64" s="32">
        <v>19551456.587207966</v>
      </c>
      <c r="P64" s="32">
        <v>19903382.805777714</v>
      </c>
      <c r="R64" s="8" t="s">
        <v>539</v>
      </c>
    </row>
    <row r="65" spans="2:18">
      <c r="B65" s="8" t="s">
        <v>405</v>
      </c>
      <c r="D65" s="8" t="s">
        <v>80</v>
      </c>
      <c r="H65" s="45"/>
      <c r="I65" s="45"/>
      <c r="J65" s="45"/>
      <c r="K65" s="45"/>
      <c r="L65" s="32">
        <v>9219956.4361424092</v>
      </c>
      <c r="M65" s="32">
        <v>18771831.303985946</v>
      </c>
      <c r="N65" s="32">
        <v>19109724.26745769</v>
      </c>
      <c r="O65" s="32">
        <v>19453699.304271929</v>
      </c>
      <c r="P65" s="32">
        <v>19803865.891748823</v>
      </c>
      <c r="R65" s="8" t="s">
        <v>540</v>
      </c>
    </row>
    <row r="66" spans="2:18">
      <c r="B66" s="8" t="s">
        <v>406</v>
      </c>
      <c r="D66" s="8" t="s">
        <v>80</v>
      </c>
      <c r="H66" s="45"/>
      <c r="I66" s="45"/>
      <c r="J66" s="45"/>
      <c r="K66" s="45"/>
      <c r="L66" s="45"/>
      <c r="M66" s="32">
        <v>9338986.0737330075</v>
      </c>
      <c r="N66" s="32">
        <v>19014175.646120403</v>
      </c>
      <c r="O66" s="32">
        <v>19356430.807750572</v>
      </c>
      <c r="P66" s="32">
        <v>19704846.56229008</v>
      </c>
      <c r="R66" s="8" t="s">
        <v>541</v>
      </c>
    </row>
    <row r="67" spans="2:18">
      <c r="B67" s="8" t="s">
        <v>407</v>
      </c>
      <c r="D67" s="8" t="s">
        <v>80</v>
      </c>
      <c r="H67" s="45"/>
      <c r="I67" s="45"/>
      <c r="J67" s="45"/>
      <c r="K67" s="45"/>
      <c r="L67" s="45"/>
      <c r="M67" s="125"/>
      <c r="N67" s="32">
        <v>9459552.3839449007</v>
      </c>
      <c r="O67" s="32">
        <v>19259648.653711814</v>
      </c>
      <c r="P67" s="32">
        <v>19606322.329478629</v>
      </c>
      <c r="R67" s="8" t="s">
        <v>542</v>
      </c>
    </row>
    <row r="68" spans="2:18">
      <c r="B68" s="8" t="s">
        <v>408</v>
      </c>
      <c r="D68" s="8" t="s">
        <v>80</v>
      </c>
      <c r="H68" s="45"/>
      <c r="I68" s="45"/>
      <c r="J68" s="45"/>
      <c r="K68" s="45"/>
      <c r="L68" s="45"/>
      <c r="M68" s="45"/>
      <c r="N68" s="45"/>
      <c r="O68" s="32">
        <v>9581675.2052216306</v>
      </c>
      <c r="P68" s="32">
        <v>19508290.717831239</v>
      </c>
      <c r="R68" s="8" t="s">
        <v>543</v>
      </c>
    </row>
    <row r="69" spans="2:18">
      <c r="B69" s="8" t="s">
        <v>409</v>
      </c>
      <c r="D69" s="8" t="s">
        <v>80</v>
      </c>
      <c r="H69" s="45"/>
      <c r="I69" s="45"/>
      <c r="J69" s="45"/>
      <c r="K69" s="45"/>
      <c r="L69" s="45"/>
      <c r="M69" s="45"/>
      <c r="N69" s="45"/>
      <c r="O69" s="45"/>
      <c r="P69" s="32">
        <v>9705374.6321210396</v>
      </c>
      <c r="R69" s="8" t="s">
        <v>544</v>
      </c>
    </row>
    <row r="71" spans="2:18">
      <c r="B71" s="8" t="s">
        <v>424</v>
      </c>
      <c r="D71" s="8" t="s">
        <v>80</v>
      </c>
      <c r="H71" s="32">
        <v>2661417413.9185042</v>
      </c>
      <c r="I71" s="32">
        <v>2909244156.5210791</v>
      </c>
      <c r="J71" s="32">
        <v>3247870144.7661071</v>
      </c>
      <c r="K71" s="32">
        <v>3382568640.1363845</v>
      </c>
      <c r="L71" s="32">
        <v>3443454875.6588373</v>
      </c>
      <c r="M71" s="32">
        <v>3505437063.4206977</v>
      </c>
      <c r="N71" s="32">
        <v>3555912527.3554735</v>
      </c>
      <c r="O71" s="32">
        <v>3606811255.2206302</v>
      </c>
      <c r="P71" s="32">
        <v>3671733857.8146043</v>
      </c>
      <c r="R71" s="8" t="s">
        <v>545</v>
      </c>
    </row>
    <row r="72" spans="2:18">
      <c r="B72" s="8" t="s">
        <v>410</v>
      </c>
      <c r="D72" s="8" t="s">
        <v>80</v>
      </c>
      <c r="H72" s="45"/>
      <c r="I72" s="45"/>
      <c r="J72" s="45"/>
      <c r="K72" s="32">
        <v>95206550.777798012</v>
      </c>
      <c r="L72" s="32">
        <v>193840537.38359678</v>
      </c>
      <c r="M72" s="32">
        <v>197329667.05650151</v>
      </c>
      <c r="N72" s="32">
        <v>200881601.06351852</v>
      </c>
      <c r="O72" s="32">
        <v>204497469.88266185</v>
      </c>
      <c r="P72" s="32">
        <v>208178424.3405498</v>
      </c>
      <c r="R72" s="8" t="s">
        <v>546</v>
      </c>
    </row>
    <row r="73" spans="2:18">
      <c r="B73" s="8" t="s">
        <v>411</v>
      </c>
      <c r="D73" s="8" t="s">
        <v>80</v>
      </c>
      <c r="H73" s="45"/>
      <c r="I73" s="45"/>
      <c r="J73" s="45"/>
      <c r="K73" s="45"/>
      <c r="L73" s="32">
        <v>96435667.348339379</v>
      </c>
      <c r="M73" s="32">
        <v>196343018.721219</v>
      </c>
      <c r="N73" s="32">
        <v>199877193.05820093</v>
      </c>
      <c r="O73" s="32">
        <v>203474982.53324857</v>
      </c>
      <c r="P73" s="32">
        <v>207137532.21884701</v>
      </c>
      <c r="R73" s="8" t="s">
        <v>547</v>
      </c>
    </row>
    <row r="74" spans="2:18">
      <c r="B74" s="8" t="s">
        <v>412</v>
      </c>
      <c r="D74" s="8" t="s">
        <v>80</v>
      </c>
      <c r="H74" s="45"/>
      <c r="I74" s="45"/>
      <c r="J74" s="45"/>
      <c r="K74" s="45"/>
      <c r="L74" s="45"/>
      <c r="M74" s="32">
        <v>97680651.813806459</v>
      </c>
      <c r="N74" s="32">
        <v>198877807.09290996</v>
      </c>
      <c r="O74" s="32">
        <v>202457607.62058228</v>
      </c>
      <c r="P74" s="32">
        <v>206101844.55775282</v>
      </c>
      <c r="R74" s="8" t="s">
        <v>548</v>
      </c>
    </row>
    <row r="75" spans="2:18">
      <c r="B75" s="8" t="s">
        <v>413</v>
      </c>
      <c r="D75" s="8" t="s">
        <v>80</v>
      </c>
      <c r="H75" s="45"/>
      <c r="I75" s="45"/>
      <c r="J75" s="45"/>
      <c r="K75" s="45"/>
      <c r="L75" s="45"/>
      <c r="M75" s="125"/>
      <c r="N75" s="32">
        <v>98941709.028722703</v>
      </c>
      <c r="O75" s="32">
        <v>201445319.58247942</v>
      </c>
      <c r="P75" s="32">
        <v>205071335.33496404</v>
      </c>
      <c r="R75" s="8" t="s">
        <v>549</v>
      </c>
    </row>
    <row r="76" spans="2:18">
      <c r="B76" s="8" t="s">
        <v>414</v>
      </c>
      <c r="D76" s="8" t="s">
        <v>80</v>
      </c>
      <c r="H76" s="45"/>
      <c r="I76" s="45"/>
      <c r="J76" s="45"/>
      <c r="K76" s="45"/>
      <c r="L76" s="45"/>
      <c r="M76" s="45"/>
      <c r="N76" s="45"/>
      <c r="O76" s="32">
        <v>100219046.49228351</v>
      </c>
      <c r="P76" s="32">
        <v>204045978.65828922</v>
      </c>
      <c r="R76" s="8" t="s">
        <v>550</v>
      </c>
    </row>
    <row r="77" spans="2:18">
      <c r="B77" s="8" t="s">
        <v>415</v>
      </c>
      <c r="D77" s="8" t="s">
        <v>80</v>
      </c>
      <c r="H77" s="45"/>
      <c r="I77" s="45"/>
      <c r="J77" s="45"/>
      <c r="K77" s="45"/>
      <c r="L77" s="45"/>
      <c r="M77" s="45"/>
      <c r="N77" s="45"/>
      <c r="O77" s="45"/>
      <c r="P77" s="32">
        <v>101512874.38249889</v>
      </c>
      <c r="R77" s="8" t="s">
        <v>551</v>
      </c>
    </row>
    <row r="79" spans="2:18">
      <c r="B79" s="8" t="s">
        <v>425</v>
      </c>
      <c r="D79" s="8" t="s">
        <v>80</v>
      </c>
      <c r="H79" s="32">
        <v>253075290.56766963</v>
      </c>
      <c r="I79" s="32">
        <v>269008108.64268476</v>
      </c>
      <c r="J79" s="137">
        <v>305144011.40594423</v>
      </c>
      <c r="K79" s="137">
        <v>336780276.44268548</v>
      </c>
      <c r="L79" s="137">
        <v>342842321.41865432</v>
      </c>
      <c r="M79" s="137">
        <v>349013483.20419008</v>
      </c>
      <c r="N79" s="137">
        <v>354633036.6904887</v>
      </c>
      <c r="O79" s="137">
        <v>360328263.68100071</v>
      </c>
      <c r="P79" s="137">
        <v>366814172.42725885</v>
      </c>
      <c r="R79" s="8" t="s">
        <v>552</v>
      </c>
    </row>
    <row r="80" spans="2:18">
      <c r="B80" s="8" t="s">
        <v>416</v>
      </c>
      <c r="D80" s="8" t="s">
        <v>80</v>
      </c>
      <c r="H80" s="45"/>
      <c r="I80" s="45"/>
      <c r="J80" s="45"/>
      <c r="K80" s="32">
        <v>15433281.038368836</v>
      </c>
      <c r="L80" s="32">
        <v>31422160.194118951</v>
      </c>
      <c r="M80" s="32">
        <v>31987759.077613093</v>
      </c>
      <c r="N80" s="32">
        <v>32563538.741010129</v>
      </c>
      <c r="O80" s="32">
        <v>33149682.438348308</v>
      </c>
      <c r="P80" s="32">
        <v>33746376.722238585</v>
      </c>
      <c r="R80" s="8" t="s">
        <v>553</v>
      </c>
    </row>
    <row r="81" spans="2:18">
      <c r="B81" s="8" t="s">
        <v>417</v>
      </c>
      <c r="D81" s="8" t="s">
        <v>80</v>
      </c>
      <c r="H81" s="45"/>
      <c r="I81" s="45"/>
      <c r="J81" s="45"/>
      <c r="K81" s="45"/>
      <c r="L81" s="32">
        <v>15632524.696574178</v>
      </c>
      <c r="M81" s="32">
        <v>31827820.282225028</v>
      </c>
      <c r="N81" s="32">
        <v>32400721.047305077</v>
      </c>
      <c r="O81" s="32">
        <v>32983934.026156567</v>
      </c>
      <c r="P81" s="32">
        <v>33577644.838627383</v>
      </c>
      <c r="R81" s="8" t="s">
        <v>554</v>
      </c>
    </row>
    <row r="82" spans="2:18">
      <c r="B82" s="8" t="s">
        <v>418</v>
      </c>
      <c r="D82" s="8" t="s">
        <v>80</v>
      </c>
      <c r="H82" s="45"/>
      <c r="I82" s="45"/>
      <c r="J82" s="45"/>
      <c r="K82" s="45"/>
      <c r="L82" s="45"/>
      <c r="M82" s="32">
        <v>15834340.590406951</v>
      </c>
      <c r="N82" s="32">
        <v>32238717.442068554</v>
      </c>
      <c r="O82" s="32">
        <v>32819014.356025785</v>
      </c>
      <c r="P82" s="32">
        <v>33409756.61443425</v>
      </c>
      <c r="R82" s="8" t="s">
        <v>555</v>
      </c>
    </row>
    <row r="83" spans="2:18">
      <c r="B83" s="8" t="s">
        <v>419</v>
      </c>
      <c r="D83" s="8" t="s">
        <v>80</v>
      </c>
      <c r="H83" s="45"/>
      <c r="I83" s="45"/>
      <c r="J83" s="45"/>
      <c r="K83" s="45"/>
      <c r="L83" s="45"/>
      <c r="M83" s="125"/>
      <c r="N83" s="32">
        <v>16038761.927429104</v>
      </c>
      <c r="O83" s="32">
        <v>32654919.284245655</v>
      </c>
      <c r="P83" s="32">
        <v>33242707.831362076</v>
      </c>
      <c r="R83" s="8" t="s">
        <v>556</v>
      </c>
    </row>
    <row r="84" spans="2:18">
      <c r="B84" s="8" t="s">
        <v>420</v>
      </c>
      <c r="D84" s="8" t="s">
        <v>80</v>
      </c>
      <c r="H84" s="45"/>
      <c r="I84" s="45"/>
      <c r="J84" s="45"/>
      <c r="K84" s="45"/>
      <c r="L84" s="45"/>
      <c r="M84" s="45"/>
      <c r="N84" s="45"/>
      <c r="O84" s="32">
        <v>16245822.343912216</v>
      </c>
      <c r="P84" s="32">
        <v>33076494.29220527</v>
      </c>
      <c r="R84" s="8" t="s">
        <v>557</v>
      </c>
    </row>
    <row r="85" spans="2:18">
      <c r="B85" s="8" t="s">
        <v>421</v>
      </c>
      <c r="D85" s="8" t="s">
        <v>80</v>
      </c>
      <c r="H85" s="45"/>
      <c r="I85" s="45"/>
      <c r="J85" s="45"/>
      <c r="K85" s="45"/>
      <c r="L85" s="45"/>
      <c r="M85" s="45"/>
      <c r="N85" s="45"/>
      <c r="O85" s="45"/>
      <c r="P85" s="32">
        <v>16455555.910372125</v>
      </c>
      <c r="R85" s="8" t="s">
        <v>558</v>
      </c>
    </row>
  </sheetData>
  <mergeCells count="1">
    <mergeCell ref="B5:C5"/>
  </mergeCells>
  <phoneticPr fontId="36" type="noConversion"/>
  <pageMargins left="0.7" right="0.7" top="0.75" bottom="0.75" header="0.3" footer="0.3"/>
  <pageSetup paperSize="9" orientation="portrait" r:id="rId1"/>
  <ignoredErrors>
    <ignoredError sqref="I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rgb="FFE1FFE1"/>
  </sheetPr>
  <dimension ref="A2:T71"/>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8" customWidth="1"/>
    <col min="2" max="2" width="94.28515625" style="8" customWidth="1"/>
    <col min="3" max="3" width="2.7109375" style="8" customWidth="1"/>
    <col min="4" max="4" width="13.7109375" style="8" customWidth="1"/>
    <col min="5" max="5" width="2.7109375" style="8" customWidth="1"/>
    <col min="6" max="6" width="13.7109375" style="8" customWidth="1"/>
    <col min="7" max="7" width="2.7109375" style="8" customWidth="1"/>
    <col min="8" max="10" width="13" style="8" bestFit="1" customWidth="1"/>
    <col min="11" max="16" width="12.5703125" style="8" customWidth="1"/>
    <col min="17" max="17" width="2.7109375" style="8" customWidth="1"/>
    <col min="18" max="18" width="80.5703125" style="8" bestFit="1" customWidth="1"/>
    <col min="19" max="19" width="2.7109375" style="8" customWidth="1"/>
    <col min="20" max="20" width="13.7109375" style="8" customWidth="1"/>
    <col min="21" max="21" width="2.7109375" style="8" customWidth="1"/>
    <col min="22" max="36" width="13.7109375" style="8" customWidth="1"/>
    <col min="37" max="16384" width="9.140625" style="8"/>
  </cols>
  <sheetData>
    <row r="2" spans="1:20" s="23" customFormat="1" ht="18">
      <c r="B2" s="23" t="s">
        <v>94</v>
      </c>
    </row>
    <row r="4" spans="1:20">
      <c r="B4" s="29" t="s">
        <v>29</v>
      </c>
      <c r="H4"/>
    </row>
    <row r="5" spans="1:20" ht="62.25" customHeight="1">
      <c r="A5" s="42"/>
      <c r="B5" s="143" t="s">
        <v>484</v>
      </c>
      <c r="C5" s="143"/>
      <c r="D5" s="143"/>
      <c r="E5" s="42"/>
      <c r="F5" s="42"/>
    </row>
    <row r="6" spans="1:20" ht="12.75" customHeight="1">
      <c r="A6" s="42"/>
      <c r="B6" s="120"/>
      <c r="C6" s="120"/>
      <c r="D6" s="42"/>
      <c r="E6" s="42"/>
      <c r="F6" s="42"/>
    </row>
    <row r="7" spans="1:20" ht="12.75" customHeight="1">
      <c r="A7" s="42"/>
      <c r="B7" s="122" t="s">
        <v>30</v>
      </c>
      <c r="C7" s="120"/>
      <c r="D7" s="42"/>
      <c r="E7" s="42"/>
      <c r="F7" s="42"/>
    </row>
    <row r="8" spans="1:20" ht="128.25" customHeight="1">
      <c r="A8" s="42"/>
      <c r="B8" s="141" t="s">
        <v>485</v>
      </c>
      <c r="C8" s="141"/>
      <c r="D8" s="141"/>
      <c r="E8" s="42"/>
      <c r="F8" s="42"/>
    </row>
    <row r="9" spans="1:20">
      <c r="A9" s="42"/>
      <c r="B9" s="42"/>
      <c r="C9" s="42"/>
      <c r="D9" s="42"/>
      <c r="E9" s="42"/>
      <c r="F9" s="42"/>
    </row>
    <row r="10" spans="1:20" s="14" customFormat="1">
      <c r="B10" s="14" t="s">
        <v>45</v>
      </c>
      <c r="D10" s="14" t="s">
        <v>27</v>
      </c>
      <c r="F10" s="14" t="s">
        <v>28</v>
      </c>
      <c r="H10" s="113">
        <v>2018</v>
      </c>
      <c r="I10" s="113">
        <v>2019</v>
      </c>
      <c r="J10" s="113">
        <v>2020</v>
      </c>
      <c r="K10" s="113">
        <v>2021</v>
      </c>
      <c r="L10" s="113">
        <v>2022</v>
      </c>
      <c r="M10" s="113">
        <v>2023</v>
      </c>
      <c r="N10" s="113">
        <v>2024</v>
      </c>
      <c r="O10" s="113">
        <v>2025</v>
      </c>
      <c r="P10" s="113">
        <v>2026</v>
      </c>
      <c r="R10" s="14" t="s">
        <v>46</v>
      </c>
      <c r="T10" s="14" t="s">
        <v>47</v>
      </c>
    </row>
    <row r="13" spans="1:20" s="14" customFormat="1">
      <c r="B13" s="14" t="s">
        <v>84</v>
      </c>
    </row>
    <row r="15" spans="1:20">
      <c r="B15" s="7" t="s">
        <v>243</v>
      </c>
    </row>
    <row r="16" spans="1:20">
      <c r="B16" s="8" t="s">
        <v>322</v>
      </c>
      <c r="D16" s="8" t="s">
        <v>80</v>
      </c>
      <c r="H16" s="32">
        <v>31016768.482756212</v>
      </c>
      <c r="I16" s="32">
        <v>14971151.168855133</v>
      </c>
      <c r="J16" s="32">
        <v>22400776.093696482</v>
      </c>
      <c r="K16" s="107"/>
      <c r="L16" s="41"/>
      <c r="M16" s="41"/>
      <c r="N16" s="41"/>
      <c r="O16" s="41"/>
      <c r="P16" s="41"/>
      <c r="R16" s="8" t="s">
        <v>325</v>
      </c>
    </row>
    <row r="17" spans="2:18">
      <c r="B17" s="8" t="s">
        <v>83</v>
      </c>
      <c r="D17" s="8" t="s">
        <v>80</v>
      </c>
      <c r="H17" s="32">
        <v>-10082448.097243795</v>
      </c>
      <c r="I17" s="32">
        <v>-8352546.3211448845</v>
      </c>
      <c r="J17" s="32">
        <v>-10170981.465065157</v>
      </c>
      <c r="K17" s="41"/>
      <c r="L17" s="41"/>
      <c r="M17" s="41"/>
      <c r="N17" s="41"/>
      <c r="O17" s="41"/>
      <c r="P17" s="41"/>
      <c r="R17" s="8" t="s">
        <v>326</v>
      </c>
    </row>
    <row r="19" spans="2:18">
      <c r="B19" s="7" t="s">
        <v>244</v>
      </c>
    </row>
    <row r="20" spans="2:18">
      <c r="B20" s="8" t="s">
        <v>333</v>
      </c>
      <c r="D20" s="8" t="s">
        <v>80</v>
      </c>
      <c r="H20" s="32">
        <v>1916795.0100000005</v>
      </c>
      <c r="I20" s="32">
        <v>1969643.6899999992</v>
      </c>
      <c r="J20" s="32">
        <v>2026487.56</v>
      </c>
      <c r="K20" s="41"/>
      <c r="L20" s="41"/>
      <c r="M20" s="41"/>
      <c r="N20" s="41"/>
      <c r="O20" s="41"/>
      <c r="P20" s="41"/>
      <c r="R20" s="124" t="s">
        <v>364</v>
      </c>
    </row>
    <row r="21" spans="2:18">
      <c r="B21" s="8" t="s">
        <v>210</v>
      </c>
      <c r="D21" s="8" t="s">
        <v>80</v>
      </c>
      <c r="H21" s="32">
        <v>1850619.4818000002</v>
      </c>
      <c r="I21" s="32">
        <v>2378233.3211999997</v>
      </c>
      <c r="J21" s="32">
        <v>2283915.7948000007</v>
      </c>
      <c r="K21" s="41"/>
      <c r="L21" s="41"/>
      <c r="M21" s="41"/>
      <c r="N21" s="41"/>
      <c r="O21" s="41"/>
      <c r="P21" s="41"/>
      <c r="R21" s="124" t="s">
        <v>366</v>
      </c>
    </row>
    <row r="22" spans="2:18">
      <c r="B22" s="8" t="s">
        <v>331</v>
      </c>
      <c r="D22" s="8" t="s">
        <v>80</v>
      </c>
      <c r="H22" s="32">
        <v>157721.62659999996</v>
      </c>
      <c r="I22" s="32">
        <v>225984.31639999998</v>
      </c>
      <c r="J22" s="32">
        <v>121173.02679999998</v>
      </c>
      <c r="K22" s="41"/>
      <c r="L22" s="41"/>
      <c r="M22" s="41"/>
      <c r="N22" s="41"/>
      <c r="O22" s="41"/>
      <c r="P22" s="41"/>
      <c r="R22" s="124" t="s">
        <v>367</v>
      </c>
    </row>
    <row r="23" spans="2:18">
      <c r="B23" s="8" t="s">
        <v>332</v>
      </c>
      <c r="D23" s="8" t="s">
        <v>80</v>
      </c>
      <c r="H23" s="32">
        <v>3690025.19</v>
      </c>
      <c r="I23" s="32">
        <v>2912891.6199999996</v>
      </c>
      <c r="J23" s="32">
        <v>2756493.4000000004</v>
      </c>
      <c r="K23" s="41"/>
      <c r="L23" s="41"/>
      <c r="M23" s="41"/>
      <c r="N23" s="41"/>
      <c r="O23" s="41"/>
      <c r="P23" s="41"/>
      <c r="R23" s="124" t="s">
        <v>368</v>
      </c>
    </row>
    <row r="24" spans="2:18">
      <c r="R24" s="119"/>
    </row>
    <row r="25" spans="2:18">
      <c r="B25" s="7" t="s">
        <v>203</v>
      </c>
    </row>
    <row r="26" spans="2:18">
      <c r="B26" s="8" t="s">
        <v>226</v>
      </c>
      <c r="D26" s="8" t="s">
        <v>80</v>
      </c>
      <c r="H26" s="140"/>
      <c r="I26" s="140"/>
      <c r="J26" s="140"/>
      <c r="K26" s="41"/>
      <c r="L26" s="41"/>
      <c r="M26" s="41"/>
      <c r="N26" s="41"/>
      <c r="O26" s="41"/>
      <c r="P26" s="41"/>
      <c r="R26" s="8" t="s">
        <v>563</v>
      </c>
    </row>
    <row r="27" spans="2:18">
      <c r="B27" s="8" t="s">
        <v>227</v>
      </c>
      <c r="D27" s="8" t="s">
        <v>80</v>
      </c>
      <c r="H27" s="140"/>
      <c r="I27" s="140"/>
      <c r="J27" s="140"/>
      <c r="K27" s="41"/>
      <c r="L27" s="41"/>
      <c r="M27" s="41"/>
      <c r="N27" s="41"/>
      <c r="O27" s="41"/>
      <c r="P27" s="41"/>
      <c r="R27" s="8" t="s">
        <v>563</v>
      </c>
    </row>
    <row r="28" spans="2:18">
      <c r="B28" s="8" t="s">
        <v>228</v>
      </c>
      <c r="D28" s="8" t="s">
        <v>80</v>
      </c>
      <c r="H28" s="140"/>
      <c r="I28" s="140"/>
      <c r="J28" s="140"/>
      <c r="K28" s="41"/>
      <c r="L28" s="41"/>
      <c r="M28" s="41"/>
      <c r="N28" s="41"/>
      <c r="O28" s="41"/>
      <c r="P28" s="41"/>
      <c r="R28" s="8" t="s">
        <v>563</v>
      </c>
    </row>
    <row r="30" spans="2:18" s="14" customFormat="1">
      <c r="B30" s="14" t="s">
        <v>85</v>
      </c>
    </row>
    <row r="32" spans="2:18">
      <c r="B32" s="7" t="s">
        <v>288</v>
      </c>
    </row>
    <row r="33" spans="2:18">
      <c r="B33" s="8" t="s">
        <v>323</v>
      </c>
      <c r="D33" s="8" t="s">
        <v>80</v>
      </c>
      <c r="H33" s="32">
        <v>59519146.070000015</v>
      </c>
      <c r="I33" s="32">
        <v>71643410.619999945</v>
      </c>
      <c r="J33" s="32">
        <v>73023761.894999951</v>
      </c>
      <c r="K33" s="41"/>
      <c r="L33" s="41"/>
      <c r="M33" s="41"/>
      <c r="N33" s="41"/>
      <c r="O33" s="41"/>
      <c r="P33" s="41"/>
      <c r="R33" s="8" t="s">
        <v>324</v>
      </c>
    </row>
    <row r="34" spans="2:18">
      <c r="B34" s="8" t="s">
        <v>211</v>
      </c>
      <c r="D34" s="8" t="s">
        <v>80</v>
      </c>
      <c r="H34" s="32">
        <v>21124302.600000001</v>
      </c>
      <c r="I34" s="32">
        <v>20364643.440000001</v>
      </c>
      <c r="J34" s="32">
        <v>20963010.800000001</v>
      </c>
      <c r="K34" s="41"/>
      <c r="L34" s="41"/>
      <c r="M34" s="41"/>
      <c r="N34" s="41"/>
      <c r="O34" s="41"/>
      <c r="P34" s="41"/>
      <c r="R34" s="8" t="s">
        <v>327</v>
      </c>
    </row>
    <row r="35" spans="2:18">
      <c r="H35" s="37"/>
      <c r="I35" s="37"/>
      <c r="K35" s="37"/>
      <c r="L35" s="37"/>
      <c r="M35" s="37"/>
      <c r="N35" s="37"/>
      <c r="O35" s="37"/>
      <c r="P35" s="37"/>
    </row>
    <row r="36" spans="2:18">
      <c r="B36" s="7" t="s">
        <v>246</v>
      </c>
      <c r="H36" s="37"/>
      <c r="I36" s="37"/>
      <c r="K36" s="37"/>
      <c r="L36" s="37"/>
      <c r="M36" s="37"/>
      <c r="N36" s="37"/>
      <c r="O36" s="37"/>
      <c r="P36" s="37"/>
    </row>
    <row r="37" spans="2:18">
      <c r="B37" s="8" t="s">
        <v>333</v>
      </c>
      <c r="D37" s="8" t="s">
        <v>80</v>
      </c>
      <c r="H37" s="32">
        <v>2714075.2500000005</v>
      </c>
      <c r="I37" s="32">
        <v>2438124.1699999995</v>
      </c>
      <c r="J37" s="32">
        <v>2660609.0799999996</v>
      </c>
      <c r="K37" s="41"/>
      <c r="L37" s="41"/>
      <c r="M37" s="41"/>
      <c r="N37" s="41"/>
      <c r="O37" s="41"/>
      <c r="P37" s="41"/>
      <c r="R37" s="8" t="s">
        <v>365</v>
      </c>
    </row>
    <row r="38" spans="2:18">
      <c r="B38" s="8" t="s">
        <v>210</v>
      </c>
      <c r="D38" s="8" t="s">
        <v>80</v>
      </c>
      <c r="H38" s="32">
        <v>1261796.2781999989</v>
      </c>
      <c r="I38" s="32">
        <v>1392655.9087999999</v>
      </c>
      <c r="J38" s="32">
        <v>1244763.2351999998</v>
      </c>
      <c r="K38" s="41"/>
      <c r="L38" s="41"/>
      <c r="M38" s="41"/>
      <c r="N38" s="41"/>
      <c r="O38" s="41"/>
      <c r="P38" s="41"/>
      <c r="R38" s="8" t="s">
        <v>369</v>
      </c>
    </row>
    <row r="39" spans="2:18">
      <c r="B39" s="8" t="s">
        <v>331</v>
      </c>
      <c r="D39" s="8" t="s">
        <v>80</v>
      </c>
      <c r="H39" s="32">
        <v>730937.00339999981</v>
      </c>
      <c r="I39" s="32">
        <v>1149996.3835999998</v>
      </c>
      <c r="J39" s="32">
        <v>531339.9632</v>
      </c>
      <c r="K39" s="41"/>
      <c r="L39" s="41"/>
      <c r="M39" s="41"/>
      <c r="N39" s="41"/>
      <c r="O39" s="41"/>
      <c r="P39" s="41"/>
      <c r="R39" s="124" t="s">
        <v>370</v>
      </c>
    </row>
    <row r="40" spans="2:18">
      <c r="R40" s="119"/>
    </row>
    <row r="41" spans="2:18">
      <c r="B41" s="7" t="s">
        <v>204</v>
      </c>
      <c r="H41" s="37"/>
      <c r="I41" s="37"/>
      <c r="K41" s="37"/>
      <c r="L41" s="37"/>
      <c r="M41" s="37"/>
      <c r="N41" s="37"/>
      <c r="O41" s="37"/>
      <c r="P41" s="37"/>
      <c r="R41" s="119"/>
    </row>
    <row r="42" spans="2:18">
      <c r="B42" s="8" t="s">
        <v>226</v>
      </c>
      <c r="D42" s="8" t="s">
        <v>80</v>
      </c>
      <c r="H42" s="140"/>
      <c r="I42" s="140"/>
      <c r="J42" s="140"/>
      <c r="K42" s="41"/>
      <c r="L42" s="41"/>
      <c r="M42" s="41"/>
      <c r="N42" s="41"/>
      <c r="O42" s="41"/>
      <c r="P42" s="41"/>
      <c r="R42" s="8" t="s">
        <v>563</v>
      </c>
    </row>
    <row r="43" spans="2:18">
      <c r="B43" s="8" t="s">
        <v>227</v>
      </c>
      <c r="D43" s="8" t="s">
        <v>80</v>
      </c>
      <c r="H43" s="140"/>
      <c r="I43" s="140"/>
      <c r="J43" s="140"/>
      <c r="K43" s="41"/>
      <c r="L43" s="41"/>
      <c r="M43" s="41"/>
      <c r="N43" s="41"/>
      <c r="O43" s="41"/>
      <c r="P43" s="41"/>
      <c r="R43" s="8" t="s">
        <v>563</v>
      </c>
    </row>
    <row r="44" spans="2:18">
      <c r="B44" s="8" t="s">
        <v>228</v>
      </c>
      <c r="D44" s="8" t="s">
        <v>80</v>
      </c>
      <c r="H44" s="140"/>
      <c r="I44" s="140"/>
      <c r="J44" s="140"/>
      <c r="K44" s="41"/>
      <c r="L44" s="41"/>
      <c r="M44" s="41"/>
      <c r="N44" s="41"/>
      <c r="O44" s="41"/>
      <c r="P44" s="41"/>
      <c r="R44" s="8" t="s">
        <v>563</v>
      </c>
    </row>
    <row r="46" spans="2:18" s="14" customFormat="1">
      <c r="B46" s="14" t="s">
        <v>247</v>
      </c>
    </row>
    <row r="48" spans="2:18">
      <c r="B48" s="7" t="s">
        <v>373</v>
      </c>
    </row>
    <row r="49" spans="2:18">
      <c r="B49" s="8" t="s">
        <v>358</v>
      </c>
      <c r="D49" s="8" t="s">
        <v>80</v>
      </c>
      <c r="H49" s="32">
        <v>95973462.635111362</v>
      </c>
      <c r="I49" s="32">
        <v>94619920.99212943</v>
      </c>
      <c r="J49" s="32">
        <v>114764840.91223219</v>
      </c>
      <c r="K49" s="41"/>
      <c r="L49" s="41"/>
      <c r="M49" s="41"/>
      <c r="N49" s="41"/>
      <c r="O49" s="41"/>
      <c r="P49" s="41"/>
      <c r="R49" s="8" t="s">
        <v>328</v>
      </c>
    </row>
    <row r="50" spans="2:18">
      <c r="B50" s="8" t="s">
        <v>359</v>
      </c>
      <c r="D50" s="8" t="s">
        <v>80</v>
      </c>
      <c r="H50" s="32">
        <v>52186641.654888637</v>
      </c>
      <c r="I50" s="32">
        <v>58966676.657870598</v>
      </c>
      <c r="J50" s="32">
        <v>57727032.277767785</v>
      </c>
      <c r="K50" s="41"/>
      <c r="L50" s="41"/>
      <c r="M50" s="41"/>
      <c r="N50" s="41"/>
      <c r="O50" s="41"/>
      <c r="P50" s="41"/>
      <c r="R50" s="8" t="s">
        <v>329</v>
      </c>
    </row>
    <row r="51" spans="2:18">
      <c r="B51" s="8" t="s">
        <v>360</v>
      </c>
      <c r="D51" s="8" t="s">
        <v>80</v>
      </c>
      <c r="H51" s="32">
        <v>13332997.349999862</v>
      </c>
      <c r="I51" s="32">
        <v>-4033775.4499998912</v>
      </c>
      <c r="J51" s="32">
        <v>4257567.7600001208</v>
      </c>
      <c r="K51" s="41"/>
      <c r="L51" s="41"/>
      <c r="M51" s="41"/>
      <c r="N51" s="41"/>
      <c r="O51" s="41"/>
      <c r="P51" s="41"/>
      <c r="R51" s="8" t="s">
        <v>330</v>
      </c>
    </row>
    <row r="53" spans="2:18">
      <c r="B53" s="7" t="s">
        <v>396</v>
      </c>
    </row>
    <row r="54" spans="2:18">
      <c r="B54" s="8" t="s">
        <v>333</v>
      </c>
      <c r="D54" s="8" t="s">
        <v>80</v>
      </c>
      <c r="H54" s="32">
        <v>62678.673099999993</v>
      </c>
      <c r="I54" s="32">
        <v>149300.92079999999</v>
      </c>
      <c r="J54" s="32">
        <v>126001.21919999999</v>
      </c>
      <c r="K54" s="41"/>
      <c r="L54" s="41"/>
      <c r="M54" s="41"/>
      <c r="N54" s="41"/>
      <c r="O54" s="41"/>
      <c r="P54" s="41"/>
      <c r="R54" s="8" t="s">
        <v>378</v>
      </c>
    </row>
    <row r="55" spans="2:18">
      <c r="B55" s="8" t="s">
        <v>374</v>
      </c>
      <c r="D55" s="8" t="s">
        <v>80</v>
      </c>
      <c r="H55" s="32">
        <v>25069.307497870712</v>
      </c>
      <c r="I55" s="32">
        <v>25085.645318458082</v>
      </c>
      <c r="J55" s="32">
        <v>40786.908784958643</v>
      </c>
      <c r="K55" s="41"/>
      <c r="L55" s="41"/>
      <c r="M55" s="41"/>
      <c r="N55" s="41"/>
      <c r="O55" s="41"/>
      <c r="P55" s="41"/>
      <c r="R55" s="8" t="s">
        <v>379</v>
      </c>
    </row>
    <row r="56" spans="2:18">
      <c r="B56" s="8" t="s">
        <v>375</v>
      </c>
      <c r="D56" s="8" t="s">
        <v>80</v>
      </c>
      <c r="H56" s="32">
        <v>8638139.9810210541</v>
      </c>
      <c r="I56" s="32">
        <v>7372072.1377573246</v>
      </c>
      <c r="J56" s="32">
        <v>8657622.4433206506</v>
      </c>
      <c r="K56" s="41"/>
      <c r="L56" s="41"/>
      <c r="M56" s="41"/>
      <c r="N56" s="41"/>
      <c r="O56" s="41"/>
      <c r="P56" s="41"/>
      <c r="R56" s="8" t="s">
        <v>380</v>
      </c>
    </row>
    <row r="57" spans="2:18">
      <c r="B57" s="8" t="s">
        <v>334</v>
      </c>
      <c r="D57" s="8" t="s">
        <v>80</v>
      </c>
      <c r="H57" s="32">
        <v>941479.55991384038</v>
      </c>
      <c r="I57" s="32">
        <v>948122.07470568479</v>
      </c>
      <c r="J57" s="32">
        <v>896623.43631474697</v>
      </c>
      <c r="K57" s="41"/>
      <c r="L57" s="41"/>
      <c r="M57" s="41"/>
      <c r="N57" s="41"/>
      <c r="O57" s="41"/>
      <c r="P57" s="41"/>
      <c r="R57" s="8" t="s">
        <v>381</v>
      </c>
    </row>
    <row r="58" spans="2:18">
      <c r="B58" s="8" t="s">
        <v>390</v>
      </c>
      <c r="D58" s="8" t="s">
        <v>80</v>
      </c>
      <c r="H58" s="32">
        <v>379443.06701699505</v>
      </c>
      <c r="I58" s="32">
        <v>272702.39978741592</v>
      </c>
      <c r="J58" s="32">
        <v>245267.37996084959</v>
      </c>
      <c r="K58" s="41"/>
      <c r="L58" s="41"/>
      <c r="M58" s="41"/>
      <c r="N58" s="41"/>
      <c r="O58" s="41"/>
      <c r="P58" s="41"/>
      <c r="R58" s="8" t="s">
        <v>392</v>
      </c>
    </row>
    <row r="59" spans="2:18">
      <c r="B59" s="8" t="s">
        <v>391</v>
      </c>
      <c r="D59" s="8" t="s">
        <v>80</v>
      </c>
      <c r="H59" s="32">
        <v>552417.73588101869</v>
      </c>
      <c r="I59" s="32">
        <v>694649.38925039407</v>
      </c>
      <c r="J59" s="32">
        <v>785398.78668973362</v>
      </c>
      <c r="K59" s="41"/>
      <c r="L59" s="41"/>
      <c r="M59" s="41"/>
      <c r="N59" s="41"/>
      <c r="O59" s="41"/>
      <c r="P59" s="41"/>
      <c r="R59" s="8" t="s">
        <v>393</v>
      </c>
    </row>
    <row r="60" spans="2:18">
      <c r="B60" s="8" t="s">
        <v>376</v>
      </c>
      <c r="D60" s="8" t="s">
        <v>80</v>
      </c>
      <c r="H60" s="32">
        <v>280927.35520436661</v>
      </c>
      <c r="I60" s="32">
        <v>298110.95553787274</v>
      </c>
      <c r="J60" s="32">
        <v>404556.57786120451</v>
      </c>
      <c r="K60" s="41"/>
      <c r="L60" s="41"/>
      <c r="M60" s="41"/>
      <c r="N60" s="41"/>
      <c r="O60" s="41"/>
      <c r="P60" s="41"/>
      <c r="R60" s="8" t="s">
        <v>382</v>
      </c>
    </row>
    <row r="61" spans="2:18">
      <c r="B61" s="8" t="s">
        <v>377</v>
      </c>
      <c r="D61" s="8" t="s">
        <v>80</v>
      </c>
      <c r="H61" s="32">
        <v>1850097.579797494</v>
      </c>
      <c r="I61" s="32">
        <v>1912103.8707169078</v>
      </c>
      <c r="J61" s="32">
        <v>1873339.7464666641</v>
      </c>
      <c r="K61" s="41"/>
      <c r="L61" s="41"/>
      <c r="M61" s="41"/>
      <c r="N61" s="41"/>
      <c r="O61" s="41"/>
      <c r="P61" s="41"/>
      <c r="R61" s="8" t="s">
        <v>383</v>
      </c>
    </row>
    <row r="63" spans="2:18">
      <c r="B63" s="7" t="s">
        <v>395</v>
      </c>
    </row>
    <row r="64" spans="2:18">
      <c r="B64" s="8" t="s">
        <v>333</v>
      </c>
      <c r="D64" s="8" t="s">
        <v>80</v>
      </c>
      <c r="H64" s="32">
        <v>209837.29689999999</v>
      </c>
      <c r="I64" s="32">
        <v>472786.24920000002</v>
      </c>
      <c r="J64" s="32">
        <v>399003.86079999997</v>
      </c>
      <c r="K64" s="41"/>
      <c r="L64" s="41"/>
      <c r="M64" s="41"/>
      <c r="N64" s="41"/>
      <c r="O64" s="41"/>
      <c r="P64" s="41"/>
      <c r="R64" s="8" t="s">
        <v>384</v>
      </c>
    </row>
    <row r="65" spans="2:18">
      <c r="B65" s="8" t="s">
        <v>374</v>
      </c>
      <c r="D65" s="8" t="s">
        <v>80</v>
      </c>
      <c r="H65" s="32">
        <v>83927.681623306285</v>
      </c>
      <c r="I65" s="32">
        <v>79437.876841783931</v>
      </c>
      <c r="J65" s="32">
        <v>129158.54448570237</v>
      </c>
      <c r="K65" s="41"/>
      <c r="L65" s="41"/>
      <c r="M65" s="41"/>
      <c r="N65" s="41"/>
      <c r="O65" s="41"/>
      <c r="P65" s="41"/>
      <c r="R65" s="8" t="s">
        <v>385</v>
      </c>
    </row>
    <row r="66" spans="2:18">
      <c r="B66" s="8" t="s">
        <v>375</v>
      </c>
      <c r="D66" s="8" t="s">
        <v>80</v>
      </c>
      <c r="H66" s="32">
        <v>7871372.8113389993</v>
      </c>
      <c r="I66" s="32">
        <v>6763470.699494265</v>
      </c>
      <c r="J66" s="32">
        <v>8478904.0944230184</v>
      </c>
      <c r="K66" s="41"/>
      <c r="L66" s="41"/>
      <c r="M66" s="41"/>
      <c r="N66" s="41"/>
      <c r="O66" s="41"/>
      <c r="P66" s="41"/>
      <c r="R66" s="8" t="s">
        <v>386</v>
      </c>
    </row>
    <row r="67" spans="2:18">
      <c r="B67" s="8" t="s">
        <v>334</v>
      </c>
      <c r="D67" s="8" t="s">
        <v>80</v>
      </c>
      <c r="H67" s="32">
        <v>3151909.8310158891</v>
      </c>
      <c r="I67" s="32">
        <v>3002386.5699013392</v>
      </c>
      <c r="J67" s="32">
        <v>2839307.5483300369</v>
      </c>
      <c r="K67" s="41"/>
      <c r="L67" s="41"/>
      <c r="M67" s="41"/>
      <c r="N67" s="41"/>
      <c r="O67" s="41"/>
      <c r="P67" s="41"/>
      <c r="R67" s="8" t="s">
        <v>387</v>
      </c>
    </row>
    <row r="68" spans="2:18">
      <c r="B68" s="8" t="s">
        <v>390</v>
      </c>
      <c r="D68" s="8" t="s">
        <v>80</v>
      </c>
      <c r="H68" s="32">
        <v>1270309.3982742878</v>
      </c>
      <c r="I68" s="32">
        <v>863557.59932681732</v>
      </c>
      <c r="J68" s="32">
        <v>776680.03654269036</v>
      </c>
      <c r="K68" s="41"/>
      <c r="L68" s="41"/>
      <c r="M68" s="41"/>
      <c r="N68" s="41"/>
      <c r="O68" s="41"/>
      <c r="P68" s="41"/>
      <c r="R68" s="8" t="s">
        <v>426</v>
      </c>
    </row>
    <row r="69" spans="2:18">
      <c r="B69" s="8" t="s">
        <v>391</v>
      </c>
      <c r="D69" s="8" t="s">
        <v>80</v>
      </c>
      <c r="H69" s="32">
        <v>1849398.5070799321</v>
      </c>
      <c r="I69" s="32">
        <v>2199723.0659595812</v>
      </c>
      <c r="J69" s="32">
        <v>2487096.1578508229</v>
      </c>
      <c r="K69" s="41"/>
      <c r="L69" s="41"/>
      <c r="M69" s="41"/>
      <c r="N69" s="41"/>
      <c r="O69" s="41"/>
      <c r="P69" s="41"/>
      <c r="R69" s="8" t="s">
        <v>394</v>
      </c>
    </row>
    <row r="70" spans="2:18">
      <c r="B70" s="8" t="s">
        <v>376</v>
      </c>
      <c r="D70" s="8" t="s">
        <v>80</v>
      </c>
      <c r="H70" s="32">
        <v>940495.92829286936</v>
      </c>
      <c r="I70" s="32">
        <v>944018.02586993435</v>
      </c>
      <c r="J70" s="32">
        <v>1281095.8298938205</v>
      </c>
      <c r="K70" s="41"/>
      <c r="L70" s="41"/>
      <c r="M70" s="41"/>
      <c r="N70" s="41"/>
      <c r="O70" s="41"/>
      <c r="P70" s="41"/>
      <c r="R70" s="8" t="s">
        <v>388</v>
      </c>
    </row>
    <row r="71" spans="2:18">
      <c r="B71" s="8" t="s">
        <v>377</v>
      </c>
      <c r="D71" s="8" t="s">
        <v>80</v>
      </c>
      <c r="H71" s="32">
        <v>6193804.9410611782</v>
      </c>
      <c r="I71" s="32">
        <v>6054995.5906035407</v>
      </c>
      <c r="J71" s="32">
        <v>5932242.5304777697</v>
      </c>
      <c r="K71" s="41"/>
      <c r="L71" s="41"/>
      <c r="M71" s="41"/>
      <c r="N71" s="41"/>
      <c r="O71" s="41"/>
      <c r="P71" s="41"/>
      <c r="R71" s="8" t="s">
        <v>389</v>
      </c>
    </row>
  </sheetData>
  <mergeCells count="2">
    <mergeCell ref="B5:D5"/>
    <mergeCell ref="B8:D8"/>
  </mergeCells>
  <phoneticPr fontId="3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0" tint="-4.9989318521683403E-2"/>
  </sheetPr>
  <dimension ref="A1"/>
  <sheetViews>
    <sheetView showGridLines="0" zoomScale="85" zoomScaleNormal="85" workbookViewId="0"/>
  </sheetViews>
  <sheetFormatPr defaultColWidth="9.140625" defaultRowHeight="12.75"/>
  <cols>
    <col min="1" max="16384" width="9.140625" style="26"/>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GAW model</vt:lpstr>
      <vt:lpstr>4. Operationele kosten</vt:lpstr>
      <vt:lpstr>Berekeningen --&gt;</vt:lpstr>
      <vt:lpstr>5. Berekening op parameters</vt:lpstr>
      <vt:lpstr>6. Berekening doorrollen </vt:lpstr>
      <vt:lpstr>7. Berekening bijschatten </vt:lpstr>
      <vt:lpstr>8. Berekening oper. kosten</vt:lpstr>
      <vt:lpstr>9. Berekening x-factor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2024-03-27T15:46:07Z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