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filterPrivacy="1" codeName="ThisWorkbook" defaultThemeVersion="124226"/>
  <xr:revisionPtr revIDLastSave="0" documentId="8_{74CAA343-3C32-42B2-AFCA-2DF1B5A7703E}" xr6:coauthVersionLast="47" xr6:coauthVersionMax="47" xr10:uidLastSave="{00000000-0000-0000-0000-000000000000}"/>
  <bookViews>
    <workbookView xWindow="28680" yWindow="-120" windowWidth="29040" windowHeight="15840" tabRatio="700" xr2:uid="{00000000-000D-0000-FFFF-FFFF00000000}"/>
  </bookViews>
  <sheets>
    <sheet name="Titelblad" sheetId="9" r:id="rId1"/>
    <sheet name="Toelichting" sheetId="38" r:id="rId2"/>
    <sheet name="Bronnen en toepassingen" sheetId="11" r:id="rId3"/>
    <sheet name="1. Resultaat" sheetId="37" r:id="rId4"/>
    <sheet name="Input --&gt;" sheetId="13" r:id="rId5"/>
    <sheet name="2. Reguleringsparameters" sheetId="18" r:id="rId6"/>
    <sheet name="3. GAW model" sheetId="26" r:id="rId7"/>
    <sheet name="4. Operationele kosten" sheetId="25" r:id="rId8"/>
    <sheet name="Berekeningen --&gt;" sheetId="15" r:id="rId9"/>
    <sheet name="5. Berekening op parameters" sheetId="31" r:id="rId10"/>
    <sheet name="6. Berekening doorrollen " sheetId="33" r:id="rId11"/>
    <sheet name="7. Berekening bijschatten " sheetId="35" r:id="rId12"/>
    <sheet name="8. Berekening oper. kosten" sheetId="27" r:id="rId13"/>
    <sheet name="9. Berekening x-factor" sheetId="36"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cpi2000">#REF!</definedName>
    <definedName name="_cpi2001">#REF!</definedName>
    <definedName name="_cpi2002">#REF!</definedName>
    <definedName name="_cpi2003">#REF!</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AF">[1]ORI!#REF!</definedName>
    <definedName name="afd">'[2]PwC - Afdelingen'!$A$2:$B$109</definedName>
    <definedName name="afdtennet">'[2]TenneT - Afdelingen'!$D$3:$E$70</definedName>
    <definedName name="afwijking">#REF!</definedName>
    <definedName name="AS2DocOpenMode" hidden="1">"AS2DocumentEdit"</definedName>
    <definedName name="Categorie">[3]Lijsten!$D$2:$D$12</definedName>
    <definedName name="CODE">[4]Adresgegevens!$D$7</definedName>
    <definedName name="cpi">[5]Parameters!$E$5</definedName>
    <definedName name="CPI_2005">[6]Database!$D$13</definedName>
    <definedName name="dd">#REF!</definedName>
    <definedName name="DF_GRID_3">[1]ORI!#REF!</definedName>
    <definedName name="ee">[1]ORI!#REF!</definedName>
    <definedName name="eeee">'[7]Toegestane Omzet'!#REF!</definedName>
    <definedName name="Eigenaar">[3]Lijsten!$G$2:$G$11</definedName>
    <definedName name="eur">#REF!</definedName>
    <definedName name="factor">#REF!</definedName>
    <definedName name="fik">[8]cockpit!$B$9</definedName>
    <definedName name="Financiering">[3]Lijsten!$P$2:$P$9</definedName>
    <definedName name="Jaar">[3]Lijsten!$A$2:$A$19</definedName>
    <definedName name="Kwartaal">[3]Lijsten!$B$2:$B$5</definedName>
    <definedName name="METHODE">#REF!</definedName>
    <definedName name="Naam">[9]Lijsten!$B$3:$B$10</definedName>
    <definedName name="NAAM_NE">'[7]Toegestane Omzet'!$M$1</definedName>
    <definedName name="NAAM_VOL">[4]Adresgegevens!$D$8</definedName>
    <definedName name="omzet_2000_aanpas_kolom">#REF!</definedName>
    <definedName name="omzet_2000_kolom">#REF!</definedName>
    <definedName name="omzet_2001_kolom">#REF!</definedName>
    <definedName name="PB">[4]Adresgegevens!$D$9</definedName>
    <definedName name="PC">[4]Adresgegevens!$D$10</definedName>
    <definedName name="PGcode">[3]Lijsten!$L$2:$L$26</definedName>
    <definedName name="PLAATS">[4]Adresgegevens!$D$11</definedName>
    <definedName name="PR_ME_2000">'[7]Toegestane Omzet'!#REF!</definedName>
    <definedName name="Projecteigenaar">[3]Lijsten!$H$2:$H$25</definedName>
    <definedName name="Projectleider">[3]Lijsten!$J$2:$J$15</definedName>
    <definedName name="Regio">[3]Lijsten!$F$2:$F$7</definedName>
    <definedName name="required_x">#REF!</definedName>
    <definedName name="s">[10]Data!#REF!</definedName>
    <definedName name="SAPBEXhrIndnt" hidden="1">"Wide"</definedName>
    <definedName name="SAPsysID" hidden="1">"708C5W7SBKP804JT78WJ0JNKI"</definedName>
    <definedName name="SAPwbID" hidden="1">"ARS"</definedName>
    <definedName name="solver_adj" localSheetId="13" hidden="1">'9. Berekening x-factor'!$F$75</definedName>
    <definedName name="solver_cvg" localSheetId="13" hidden="1">0.000001</definedName>
    <definedName name="solver_drv" localSheetId="13" hidden="1">1</definedName>
    <definedName name="solver_eng" localSheetId="12" hidden="1">1</definedName>
    <definedName name="solver_eng" localSheetId="13" hidden="1">1</definedName>
    <definedName name="solver_est" localSheetId="13" hidden="1">1</definedName>
    <definedName name="solver_itr" localSheetId="13" hidden="1">2147483647</definedName>
    <definedName name="solver_lhs0" localSheetId="13" hidden="1">'9. Berekening x-factor'!#REF!</definedName>
    <definedName name="solver_lhs1" localSheetId="13" hidden="1">'9. Berekening x-factor'!$F$80</definedName>
    <definedName name="solver_lhs2" localSheetId="13" hidden="1">'9. Berekening x-factor'!$F$80</definedName>
    <definedName name="solver_lhs3" localSheetId="13" hidden="1">'9. Berekening x-factor'!#REF!</definedName>
    <definedName name="solver_lhs4" localSheetId="13" hidden="1">'9. Berekening x-factor'!#REF!</definedName>
    <definedName name="solver_lhs5" localSheetId="13" hidden="1">'9. Berekening x-factor'!#REF!</definedName>
    <definedName name="solver_lhs6" localSheetId="13" hidden="1">'9. Berekening x-factor'!#REF!</definedName>
    <definedName name="solver_mip" localSheetId="13" hidden="1">2147483647</definedName>
    <definedName name="solver_mni" localSheetId="13" hidden="1">30</definedName>
    <definedName name="solver_mrt" localSheetId="13" hidden="1">0.075</definedName>
    <definedName name="solver_msl" localSheetId="13" hidden="1">2</definedName>
    <definedName name="solver_neg" localSheetId="12" hidden="1">1</definedName>
    <definedName name="solver_neg" localSheetId="13" hidden="1">2</definedName>
    <definedName name="solver_nod" localSheetId="13" hidden="1">2147483647</definedName>
    <definedName name="solver_num" localSheetId="12" hidden="1">0</definedName>
    <definedName name="solver_num" localSheetId="13" hidden="1">1</definedName>
    <definedName name="solver_nwt" localSheetId="13" hidden="1">1</definedName>
    <definedName name="solver_opt" localSheetId="12" hidden="1">'8. Berekening oper. kosten'!$B$52</definedName>
    <definedName name="solver_opt" localSheetId="13" hidden="1">'9. Berekening x-factor'!$F$80</definedName>
    <definedName name="solver_pre" localSheetId="13" hidden="1">0.00000000001</definedName>
    <definedName name="solver_rbv" localSheetId="13" hidden="1">1</definedName>
    <definedName name="solver_rel0" localSheetId="13" hidden="1">2</definedName>
    <definedName name="solver_rel1" localSheetId="13" hidden="1">2</definedName>
    <definedName name="solver_rel2" localSheetId="13" hidden="1">2</definedName>
    <definedName name="solver_rel3" localSheetId="13" hidden="1">2</definedName>
    <definedName name="solver_rel4" localSheetId="13" hidden="1">2</definedName>
    <definedName name="solver_rel5" localSheetId="13" hidden="1">2</definedName>
    <definedName name="solver_rel6" localSheetId="13" hidden="1">2</definedName>
    <definedName name="solver_rhs0" localSheetId="13" hidden="1">'9. Berekening x-factor'!#REF!</definedName>
    <definedName name="solver_rhs1" localSheetId="13" hidden="1">'9. Berekening x-factor'!$F$70</definedName>
    <definedName name="solver_rhs2" localSheetId="13" hidden="1">'9. Berekening x-factor'!$F$70</definedName>
    <definedName name="solver_rhs3" localSheetId="13" hidden="1">'9. Berekening x-factor'!#REF!</definedName>
    <definedName name="solver_rhs4" localSheetId="13" hidden="1">'9. Berekening x-factor'!#REF!</definedName>
    <definedName name="solver_rhs5" localSheetId="13" hidden="1">'9. Berekening x-factor'!#REF!</definedName>
    <definedName name="solver_rhs6" localSheetId="13" hidden="1">'9. Berekening x-factor'!#REF!</definedName>
    <definedName name="solver_rlx" localSheetId="13" hidden="1">2</definedName>
    <definedName name="solver_rsd" localSheetId="13" hidden="1">0</definedName>
    <definedName name="solver_scl" localSheetId="13" hidden="1">1</definedName>
    <definedName name="solver_sho" localSheetId="13" hidden="1">2</definedName>
    <definedName name="solver_ssz" localSheetId="13" hidden="1">100</definedName>
    <definedName name="solver_tim" localSheetId="13" hidden="1">2147483647</definedName>
    <definedName name="solver_tol" localSheetId="13" hidden="1">0.01</definedName>
    <definedName name="solver_typ" localSheetId="12" hidden="1">1</definedName>
    <definedName name="solver_typ" localSheetId="13" hidden="1">1</definedName>
    <definedName name="solver_val" localSheetId="12" hidden="1">0</definedName>
    <definedName name="solver_val" localSheetId="13" hidden="1">0</definedName>
    <definedName name="solver_ver" localSheetId="12" hidden="1">3</definedName>
    <definedName name="solver_ver" localSheetId="13" hidden="1">3</definedName>
    <definedName name="Spanning">[3]Lijsten!$C$2:$C$6</definedName>
    <definedName name="Status">[3]Lijsten!$E$2:$E$13</definedName>
    <definedName name="tarief_factor">#REF!</definedName>
    <definedName name="test">#REF!</definedName>
    <definedName name="TEST0">#REF!</definedName>
    <definedName name="TESTHKEY">#REF!</definedName>
    <definedName name="TESTKEYS">#REF!</definedName>
    <definedName name="TESTVKEY">#REF!</definedName>
    <definedName name="TIPROJ">'[2]PwC - TI-projecten'!$B$1:$E$303</definedName>
    <definedName name="TTTI">'[2]TenneT - Projecten TI'!$B$2:$G$221</definedName>
    <definedName name="VerbruikstarRC">[11]Tarievenvoorstel!#REF!</definedName>
    <definedName name="wac">[10]Data!#REF!</definedName>
    <definedName name="wacc">[10]Data!#REF!</definedName>
    <definedName name="wacc_exc_tax">[10]constants!$E$3</definedName>
    <definedName name="wacc_inc_tax">[10]constants!$E$4</definedName>
    <definedName name="WvD">'[2]TenneT - WvD'!$A$2:$A$274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3" i="36" l="1"/>
  <c r="M30" i="35" l="1"/>
  <c r="N30" i="35"/>
  <c r="O30" i="35"/>
  <c r="P30" i="35"/>
  <c r="L30" i="35"/>
  <c r="L29" i="35"/>
  <c r="H24" i="33"/>
  <c r="I24" i="33"/>
  <c r="J24" i="33"/>
  <c r="K24" i="33"/>
  <c r="L24" i="33"/>
  <c r="H25" i="33"/>
  <c r="I25" i="33"/>
  <c r="J25" i="33"/>
  <c r="K25" i="33"/>
  <c r="L25" i="33"/>
  <c r="H26" i="33"/>
  <c r="I26" i="33"/>
  <c r="J26" i="33"/>
  <c r="K26" i="33"/>
  <c r="L26" i="33"/>
  <c r="I23" i="33"/>
  <c r="J23" i="33"/>
  <c r="K23" i="33"/>
  <c r="L23" i="33"/>
  <c r="M32" i="27" l="1"/>
  <c r="N33" i="27"/>
  <c r="O34" i="27"/>
  <c r="P35" i="27"/>
  <c r="L31" i="27"/>
  <c r="L20" i="27"/>
  <c r="M21" i="27"/>
  <c r="N22" i="27"/>
  <c r="O23" i="27"/>
  <c r="P24" i="27"/>
  <c r="H132" i="27" l="1"/>
  <c r="I132" i="27"/>
  <c r="J132" i="27"/>
  <c r="K132" i="27"/>
  <c r="L132" i="27"/>
  <c r="M132" i="27"/>
  <c r="N132" i="27"/>
  <c r="O132" i="27"/>
  <c r="P132" i="27"/>
  <c r="H133" i="27"/>
  <c r="I133" i="27"/>
  <c r="J133" i="27"/>
  <c r="K133" i="27"/>
  <c r="L133" i="27"/>
  <c r="M133" i="27"/>
  <c r="N133" i="27"/>
  <c r="O133" i="27"/>
  <c r="P133" i="27"/>
  <c r="H134" i="27"/>
  <c r="I134" i="27"/>
  <c r="J134" i="27"/>
  <c r="K134" i="27"/>
  <c r="L134" i="27"/>
  <c r="M134" i="27"/>
  <c r="N134" i="27"/>
  <c r="O134" i="27"/>
  <c r="P134" i="27"/>
  <c r="H135" i="27"/>
  <c r="I135" i="27"/>
  <c r="J135" i="27"/>
  <c r="K135" i="27"/>
  <c r="L135" i="27"/>
  <c r="M135" i="27"/>
  <c r="N135" i="27"/>
  <c r="O135" i="27"/>
  <c r="P135" i="27"/>
  <c r="H136" i="27"/>
  <c r="I136" i="27"/>
  <c r="J136" i="27"/>
  <c r="K136" i="27"/>
  <c r="L136" i="27"/>
  <c r="M136" i="27"/>
  <c r="N136" i="27"/>
  <c r="O136" i="27"/>
  <c r="P136" i="27"/>
  <c r="H137" i="27"/>
  <c r="I137" i="27"/>
  <c r="J137" i="27"/>
  <c r="K137" i="27"/>
  <c r="L137" i="27"/>
  <c r="M137" i="27"/>
  <c r="N137" i="27"/>
  <c r="O137" i="27"/>
  <c r="P137" i="27"/>
  <c r="I131" i="27"/>
  <c r="J131" i="27"/>
  <c r="K131" i="27"/>
  <c r="L131" i="27"/>
  <c r="M131" i="27"/>
  <c r="N131" i="27"/>
  <c r="O131" i="27"/>
  <c r="P131" i="27"/>
  <c r="H131" i="27"/>
  <c r="H124" i="27"/>
  <c r="I124" i="27"/>
  <c r="J124" i="27"/>
  <c r="K124" i="27"/>
  <c r="L124" i="27"/>
  <c r="M124" i="27"/>
  <c r="N124" i="27"/>
  <c r="O124" i="27"/>
  <c r="P124" i="27"/>
  <c r="H125" i="27"/>
  <c r="I125" i="27"/>
  <c r="J125" i="27"/>
  <c r="K125" i="27"/>
  <c r="L125" i="27"/>
  <c r="M125" i="27"/>
  <c r="N125" i="27"/>
  <c r="O125" i="27"/>
  <c r="P125" i="27"/>
  <c r="H126" i="27"/>
  <c r="I126" i="27"/>
  <c r="J126" i="27"/>
  <c r="K126" i="27"/>
  <c r="L126" i="27"/>
  <c r="M126" i="27"/>
  <c r="N126" i="27"/>
  <c r="O126" i="27"/>
  <c r="P126" i="27"/>
  <c r="H127" i="27"/>
  <c r="I127" i="27"/>
  <c r="J127" i="27"/>
  <c r="K127" i="27"/>
  <c r="L127" i="27"/>
  <c r="M127" i="27"/>
  <c r="N127" i="27"/>
  <c r="O127" i="27"/>
  <c r="P127" i="27"/>
  <c r="H128" i="27"/>
  <c r="I128" i="27"/>
  <c r="J128" i="27"/>
  <c r="K128" i="27"/>
  <c r="L128" i="27"/>
  <c r="M128" i="27"/>
  <c r="N128" i="27"/>
  <c r="O128" i="27"/>
  <c r="P128" i="27"/>
  <c r="H129" i="27"/>
  <c r="I129" i="27"/>
  <c r="J129" i="27"/>
  <c r="K129" i="27"/>
  <c r="L129" i="27"/>
  <c r="M129" i="27"/>
  <c r="N129" i="27"/>
  <c r="O129" i="27"/>
  <c r="P129" i="27"/>
  <c r="I123" i="27"/>
  <c r="J123" i="27"/>
  <c r="K123" i="27"/>
  <c r="L123" i="27"/>
  <c r="M123" i="27"/>
  <c r="N123" i="27"/>
  <c r="O123" i="27"/>
  <c r="P123" i="27"/>
  <c r="H123" i="27"/>
  <c r="H116" i="27"/>
  <c r="I116" i="27"/>
  <c r="J116" i="27"/>
  <c r="K116" i="27"/>
  <c r="L116" i="27"/>
  <c r="M116" i="27"/>
  <c r="N116" i="27"/>
  <c r="O116" i="27"/>
  <c r="P116" i="27"/>
  <c r="H117" i="27"/>
  <c r="I117" i="27"/>
  <c r="J117" i="27"/>
  <c r="K117" i="27"/>
  <c r="L117" i="27"/>
  <c r="M117" i="27"/>
  <c r="N117" i="27"/>
  <c r="O117" i="27"/>
  <c r="P117" i="27"/>
  <c r="H118" i="27"/>
  <c r="I118" i="27"/>
  <c r="J118" i="27"/>
  <c r="K118" i="27"/>
  <c r="L118" i="27"/>
  <c r="M118" i="27"/>
  <c r="N118" i="27"/>
  <c r="O118" i="27"/>
  <c r="P118" i="27"/>
  <c r="H119" i="27"/>
  <c r="I119" i="27"/>
  <c r="J119" i="27"/>
  <c r="K119" i="27"/>
  <c r="L119" i="27"/>
  <c r="M119" i="27"/>
  <c r="N119" i="27"/>
  <c r="O119" i="27"/>
  <c r="P119" i="27"/>
  <c r="H120" i="27"/>
  <c r="I120" i="27"/>
  <c r="J120" i="27"/>
  <c r="K120" i="27"/>
  <c r="L120" i="27"/>
  <c r="M120" i="27"/>
  <c r="N120" i="27"/>
  <c r="O120" i="27"/>
  <c r="P120" i="27"/>
  <c r="H121" i="27"/>
  <c r="I121" i="27"/>
  <c r="J121" i="27"/>
  <c r="K121" i="27"/>
  <c r="L121" i="27"/>
  <c r="M121" i="27"/>
  <c r="N121" i="27"/>
  <c r="O121" i="27"/>
  <c r="P121" i="27"/>
  <c r="I115" i="27"/>
  <c r="J115" i="27"/>
  <c r="K115" i="27"/>
  <c r="L115" i="27"/>
  <c r="M115" i="27"/>
  <c r="N115" i="27"/>
  <c r="O115" i="27"/>
  <c r="P115" i="27"/>
  <c r="H115" i="27"/>
  <c r="I107" i="27"/>
  <c r="J107" i="27"/>
  <c r="K107" i="27"/>
  <c r="L107" i="27"/>
  <c r="M107" i="27"/>
  <c r="N107" i="27"/>
  <c r="O107" i="27"/>
  <c r="P107" i="27"/>
  <c r="I108" i="27"/>
  <c r="J108" i="27"/>
  <c r="K108" i="27"/>
  <c r="L108" i="27"/>
  <c r="M108" i="27"/>
  <c r="N108" i="27"/>
  <c r="O108" i="27"/>
  <c r="P108" i="27"/>
  <c r="I109" i="27"/>
  <c r="J109" i="27"/>
  <c r="K109" i="27"/>
  <c r="L109" i="27"/>
  <c r="M109" i="27"/>
  <c r="N109" i="27"/>
  <c r="O109" i="27"/>
  <c r="P109" i="27"/>
  <c r="I110" i="27"/>
  <c r="J110" i="27"/>
  <c r="K110" i="27"/>
  <c r="L110" i="27"/>
  <c r="M110" i="27"/>
  <c r="N110" i="27"/>
  <c r="O110" i="27"/>
  <c r="P110" i="27"/>
  <c r="I111" i="27"/>
  <c r="J111" i="27"/>
  <c r="K111" i="27"/>
  <c r="L111" i="27"/>
  <c r="M111" i="27"/>
  <c r="N111" i="27"/>
  <c r="O111" i="27"/>
  <c r="P111" i="27"/>
  <c r="I112" i="27"/>
  <c r="J112" i="27"/>
  <c r="K112" i="27"/>
  <c r="L112" i="27"/>
  <c r="M112" i="27"/>
  <c r="N112" i="27"/>
  <c r="O112" i="27"/>
  <c r="P112" i="27"/>
  <c r="I113" i="27"/>
  <c r="J113" i="27"/>
  <c r="K113" i="27"/>
  <c r="L113" i="27"/>
  <c r="M113" i="27"/>
  <c r="N113" i="27"/>
  <c r="O113" i="27"/>
  <c r="P113" i="27"/>
  <c r="H108" i="27"/>
  <c r="H109" i="27"/>
  <c r="H110" i="27"/>
  <c r="H111" i="27"/>
  <c r="H112" i="27"/>
  <c r="H113" i="27"/>
  <c r="H107" i="27"/>
  <c r="I97" i="27"/>
  <c r="J97" i="27"/>
  <c r="I98" i="27"/>
  <c r="J98" i="27"/>
  <c r="I99" i="27"/>
  <c r="J99" i="27"/>
  <c r="I100" i="27"/>
  <c r="J100" i="27"/>
  <c r="I101" i="27"/>
  <c r="J101" i="27"/>
  <c r="I102" i="27"/>
  <c r="J102" i="27"/>
  <c r="I103" i="27"/>
  <c r="J103" i="27"/>
  <c r="I104" i="27"/>
  <c r="J104" i="27"/>
  <c r="H98" i="27"/>
  <c r="H99" i="27"/>
  <c r="H100" i="27"/>
  <c r="H101" i="27"/>
  <c r="H102" i="27"/>
  <c r="H103" i="27"/>
  <c r="H104" i="27"/>
  <c r="H97" i="27"/>
  <c r="I87" i="27"/>
  <c r="J87" i="27"/>
  <c r="I88" i="27"/>
  <c r="J88" i="27"/>
  <c r="I89" i="27"/>
  <c r="J89" i="27"/>
  <c r="I90" i="27"/>
  <c r="J90" i="27"/>
  <c r="I91" i="27"/>
  <c r="J91" i="27"/>
  <c r="I92" i="27"/>
  <c r="J92" i="27"/>
  <c r="I93" i="27"/>
  <c r="J93" i="27"/>
  <c r="I94" i="27"/>
  <c r="J94" i="27"/>
  <c r="H88" i="27"/>
  <c r="H89" i="27"/>
  <c r="H90" i="27"/>
  <c r="H91" i="27"/>
  <c r="H92" i="27"/>
  <c r="H93" i="27"/>
  <c r="H94" i="27"/>
  <c r="H87" i="27"/>
  <c r="H157" i="27" l="1"/>
  <c r="I151" i="27"/>
  <c r="I157" i="27"/>
  <c r="H151" i="27"/>
  <c r="J157" i="27"/>
  <c r="J151" i="27"/>
  <c r="H73" i="27"/>
  <c r="I73" i="27"/>
  <c r="J73" i="27"/>
  <c r="H74" i="27"/>
  <c r="I74" i="27"/>
  <c r="J74" i="27"/>
  <c r="I72" i="27"/>
  <c r="J72" i="27"/>
  <c r="H72" i="27"/>
  <c r="H58" i="27"/>
  <c r="I58" i="27"/>
  <c r="J58" i="27"/>
  <c r="H59" i="27"/>
  <c r="I59" i="27"/>
  <c r="J59" i="27"/>
  <c r="H60" i="27"/>
  <c r="I60" i="27"/>
  <c r="J60" i="27"/>
  <c r="I57" i="27"/>
  <c r="J57" i="27"/>
  <c r="H57" i="27"/>
  <c r="H155" i="27" l="1"/>
  <c r="I149" i="27"/>
  <c r="J155" i="27"/>
  <c r="H149" i="27"/>
  <c r="J149" i="27"/>
  <c r="I155" i="27"/>
  <c r="F46" i="27"/>
  <c r="F47" i="27"/>
  <c r="F48" i="27"/>
  <c r="F49" i="27"/>
  <c r="F50" i="27"/>
  <c r="F45" i="27"/>
  <c r="H83" i="27" l="1"/>
  <c r="I83" i="27"/>
  <c r="J83" i="27"/>
  <c r="H84" i="27"/>
  <c r="I84" i="27"/>
  <c r="J84" i="27"/>
  <c r="I82" i="27"/>
  <c r="J82" i="27"/>
  <c r="H82" i="27"/>
  <c r="F16" i="33" l="1"/>
  <c r="I20" i="37" l="1"/>
  <c r="J20" i="37"/>
  <c r="K20" i="37"/>
  <c r="L20" i="37"/>
  <c r="H20" i="37"/>
  <c r="M29" i="35" l="1"/>
  <c r="N29" i="35"/>
  <c r="O29" i="35"/>
  <c r="P29" i="35"/>
  <c r="I22" i="33" l="1"/>
  <c r="J22" i="33"/>
  <c r="K22" i="33"/>
  <c r="L22" i="33"/>
  <c r="H23" i="33"/>
  <c r="I19" i="36" l="1"/>
  <c r="J19" i="36"/>
  <c r="K19" i="36"/>
  <c r="L19" i="36"/>
  <c r="H19" i="36"/>
  <c r="M19" i="31" l="1"/>
  <c r="F58" i="31" s="1"/>
  <c r="N19" i="31"/>
  <c r="F59" i="31" s="1"/>
  <c r="O19" i="31"/>
  <c r="F60" i="31" s="1"/>
  <c r="P19" i="31"/>
  <c r="F61" i="31" s="1"/>
  <c r="L19" i="31"/>
  <c r="F57" i="31" s="1"/>
  <c r="P61" i="31"/>
  <c r="O60" i="31"/>
  <c r="N59" i="31"/>
  <c r="M58" i="31"/>
  <c r="L57" i="31"/>
  <c r="H16" i="36" s="1"/>
  <c r="M57" i="31" l="1"/>
  <c r="I16" i="36" s="1"/>
  <c r="L17" i="35"/>
  <c r="M17" i="35"/>
  <c r="N17" i="35"/>
  <c r="O17" i="35"/>
  <c r="P17" i="35"/>
  <c r="M16" i="35"/>
  <c r="N16" i="35"/>
  <c r="O16" i="35"/>
  <c r="P16" i="35"/>
  <c r="L16" i="35"/>
  <c r="I141" i="27" l="1"/>
  <c r="I142" i="27"/>
  <c r="I143" i="27"/>
  <c r="I140" i="27"/>
  <c r="F42" i="27" l="1"/>
  <c r="F41" i="27"/>
  <c r="J69" i="27" l="1"/>
  <c r="J68" i="27"/>
  <c r="J54" i="27"/>
  <c r="J53" i="27"/>
  <c r="J154" i="27" l="1"/>
  <c r="J148" i="27"/>
  <c r="J156" i="27" l="1"/>
  <c r="J150" i="27"/>
  <c r="B64" i="38"/>
  <c r="B52" i="38"/>
  <c r="B53" i="38" s="1"/>
  <c r="B54" i="38" l="1"/>
  <c r="B58" i="38" s="1"/>
  <c r="B59" i="38"/>
  <c r="I29" i="33" l="1"/>
  <c r="J29" i="33"/>
  <c r="K29" i="33"/>
  <c r="L29" i="33"/>
  <c r="I30" i="33"/>
  <c r="J30" i="33"/>
  <c r="K30" i="33"/>
  <c r="L30" i="33"/>
  <c r="I31" i="33"/>
  <c r="J31" i="33"/>
  <c r="K31" i="33"/>
  <c r="L31" i="33"/>
  <c r="I32" i="33"/>
  <c r="J32" i="33"/>
  <c r="K32" i="33"/>
  <c r="L32" i="33"/>
  <c r="H30" i="33"/>
  <c r="H31" i="33"/>
  <c r="H32" i="33"/>
  <c r="H29" i="33"/>
  <c r="I19" i="33"/>
  <c r="J19" i="33"/>
  <c r="K19" i="33"/>
  <c r="L19" i="33"/>
  <c r="I20" i="33"/>
  <c r="J20" i="33"/>
  <c r="K20" i="33"/>
  <c r="L20" i="33"/>
  <c r="I21" i="33"/>
  <c r="J21" i="33"/>
  <c r="K21" i="33"/>
  <c r="L21" i="33"/>
  <c r="H20" i="33"/>
  <c r="H21" i="33"/>
  <c r="H22" i="33"/>
  <c r="H19" i="33"/>
  <c r="I13" i="33"/>
  <c r="I40" i="33" s="1"/>
  <c r="J13" i="33"/>
  <c r="J40" i="33" s="1"/>
  <c r="K13" i="33"/>
  <c r="L13" i="33"/>
  <c r="L40" i="33" s="1"/>
  <c r="H13" i="33"/>
  <c r="K39" i="33" l="1"/>
  <c r="K40" i="33"/>
  <c r="H39" i="33"/>
  <c r="H40" i="33"/>
  <c r="L50" i="33"/>
  <c r="L54" i="33" s="1"/>
  <c r="L36" i="36" s="1"/>
  <c r="L39" i="33"/>
  <c r="L45" i="33" s="1"/>
  <c r="J50" i="33"/>
  <c r="J54" i="33" s="1"/>
  <c r="J36" i="36" s="1"/>
  <c r="J39" i="33"/>
  <c r="J45" i="33" s="1"/>
  <c r="H50" i="33"/>
  <c r="H54" i="33" s="1"/>
  <c r="H36" i="36" s="1"/>
  <c r="H38" i="33"/>
  <c r="H44" i="33" s="1"/>
  <c r="I50" i="33"/>
  <c r="I54" i="33" s="1"/>
  <c r="I36" i="36" s="1"/>
  <c r="I39" i="33"/>
  <c r="I45" i="33" s="1"/>
  <c r="K50" i="33"/>
  <c r="K54" i="33" s="1"/>
  <c r="K36" i="36" s="1"/>
  <c r="H37" i="33"/>
  <c r="H43" i="33" s="1"/>
  <c r="M40" i="35"/>
  <c r="N40" i="35"/>
  <c r="O40" i="35"/>
  <c r="P40" i="35"/>
  <c r="M41" i="35"/>
  <c r="N41" i="35"/>
  <c r="O41" i="35"/>
  <c r="P41" i="35"/>
  <c r="L41" i="35"/>
  <c r="L40" i="35"/>
  <c r="J38" i="35"/>
  <c r="M33" i="35"/>
  <c r="N33" i="35"/>
  <c r="O33" i="35"/>
  <c r="P33" i="35"/>
  <c r="M34" i="35"/>
  <c r="N34" i="35"/>
  <c r="O34" i="35"/>
  <c r="P34" i="35"/>
  <c r="M35" i="35"/>
  <c r="N35" i="35"/>
  <c r="O35" i="35"/>
  <c r="P35" i="35"/>
  <c r="M36" i="35"/>
  <c r="N36" i="35"/>
  <c r="O36" i="35"/>
  <c r="P36" i="35"/>
  <c r="L36" i="35"/>
  <c r="L34" i="35"/>
  <c r="L35" i="35"/>
  <c r="L33" i="35"/>
  <c r="M27" i="35"/>
  <c r="N27" i="35"/>
  <c r="O27" i="35"/>
  <c r="P27" i="35"/>
  <c r="M28" i="35"/>
  <c r="N28" i="35"/>
  <c r="O28" i="35"/>
  <c r="P28" i="35"/>
  <c r="L28" i="35"/>
  <c r="L27" i="35"/>
  <c r="L46" i="35" s="1"/>
  <c r="J25" i="35"/>
  <c r="M20" i="35"/>
  <c r="N20" i="35"/>
  <c r="O20" i="35"/>
  <c r="P20" i="35"/>
  <c r="M21" i="35"/>
  <c r="N21" i="35"/>
  <c r="O21" i="35"/>
  <c r="P21" i="35"/>
  <c r="M22" i="35"/>
  <c r="N22" i="35"/>
  <c r="O22" i="35"/>
  <c r="P22" i="35"/>
  <c r="M23" i="35"/>
  <c r="N23" i="35"/>
  <c r="O23" i="35"/>
  <c r="P23" i="35"/>
  <c r="L21" i="35"/>
  <c r="L22" i="35"/>
  <c r="L23" i="35"/>
  <c r="L20" i="35"/>
  <c r="K45" i="33" l="1"/>
  <c r="K28" i="36" s="1"/>
  <c r="H45" i="33"/>
  <c r="N46" i="35"/>
  <c r="M46" i="35"/>
  <c r="P46" i="35"/>
  <c r="O46" i="35"/>
  <c r="J45" i="35"/>
  <c r="H28" i="36"/>
  <c r="L28" i="36"/>
  <c r="I28" i="36"/>
  <c r="J28" i="36"/>
  <c r="O47" i="35"/>
  <c r="P47" i="35"/>
  <c r="M47" i="35"/>
  <c r="N47" i="35"/>
  <c r="L47" i="35"/>
  <c r="L48" i="35" l="1"/>
  <c r="L49" i="35" s="1"/>
  <c r="P48" i="35"/>
  <c r="P49" i="35" s="1"/>
  <c r="P50" i="35" s="1"/>
  <c r="O48" i="35"/>
  <c r="O49" i="35" s="1"/>
  <c r="O50" i="35" s="1"/>
  <c r="O66" i="35" s="1"/>
  <c r="O70" i="35" s="1"/>
  <c r="K39" i="36" s="1"/>
  <c r="N48" i="35"/>
  <c r="N49" i="35" s="1"/>
  <c r="N50" i="35" s="1"/>
  <c r="N55" i="35" s="1"/>
  <c r="M48" i="35"/>
  <c r="M49" i="35" s="1"/>
  <c r="P55" i="35" l="1"/>
  <c r="P59" i="35" s="1"/>
  <c r="L29" i="36" s="1"/>
  <c r="P66" i="35"/>
  <c r="P70" i="35" s="1"/>
  <c r="L39" i="36" s="1"/>
  <c r="P65" i="35"/>
  <c r="P69" i="35" s="1"/>
  <c r="L38" i="36" s="1"/>
  <c r="P56" i="35"/>
  <c r="P60" i="35" s="1"/>
  <c r="L30" i="36" s="1"/>
  <c r="O55" i="35"/>
  <c r="O59" i="35" s="1"/>
  <c r="K29" i="36" s="1"/>
  <c r="L50" i="35"/>
  <c r="L66" i="35" s="1"/>
  <c r="L70" i="35" s="1"/>
  <c r="H39" i="36" s="1"/>
  <c r="O56" i="35"/>
  <c r="O60" i="35" s="1"/>
  <c r="K30" i="36" s="1"/>
  <c r="N65" i="35"/>
  <c r="N69" i="35" s="1"/>
  <c r="J38" i="36" s="1"/>
  <c r="M50" i="35"/>
  <c r="M56" i="35" s="1"/>
  <c r="M60" i="35" s="1"/>
  <c r="I30" i="36" s="1"/>
  <c r="N56" i="35"/>
  <c r="N60" i="35" s="1"/>
  <c r="J30" i="36" s="1"/>
  <c r="O65" i="35"/>
  <c r="O69" i="35" s="1"/>
  <c r="K38" i="36" s="1"/>
  <c r="N59" i="35"/>
  <c r="J29" i="36" s="1"/>
  <c r="N66" i="35"/>
  <c r="N70" i="35" s="1"/>
  <c r="J39" i="36" s="1"/>
  <c r="M66" i="35" l="1"/>
  <c r="M70" i="35" s="1"/>
  <c r="I39" i="36" s="1"/>
  <c r="L65" i="35"/>
  <c r="L69" i="35" s="1"/>
  <c r="H38" i="36" s="1"/>
  <c r="M65" i="35"/>
  <c r="M69" i="35" s="1"/>
  <c r="I38" i="36" s="1"/>
  <c r="L56" i="35"/>
  <c r="L60" i="35" s="1"/>
  <c r="H30" i="36" s="1"/>
  <c r="M55" i="35"/>
  <c r="M59" i="35" s="1"/>
  <c r="I29" i="36" s="1"/>
  <c r="L55" i="35"/>
  <c r="L59" i="35" s="1"/>
  <c r="H29" i="36" s="1"/>
  <c r="J37" i="33"/>
  <c r="J43" i="33" s="1"/>
  <c r="J26" i="36" s="1"/>
  <c r="H51" i="33"/>
  <c r="H55" i="33" s="1"/>
  <c r="H37" i="36" s="1"/>
  <c r="I51" i="33"/>
  <c r="I55" i="33" s="1"/>
  <c r="I37" i="36" s="1"/>
  <c r="J51" i="33"/>
  <c r="J55" i="33" s="1"/>
  <c r="J37" i="36" s="1"/>
  <c r="K51" i="33"/>
  <c r="L51" i="33"/>
  <c r="L55" i="33" s="1"/>
  <c r="L37" i="36" s="1"/>
  <c r="H26" i="36"/>
  <c r="I37" i="33"/>
  <c r="I43" i="33" s="1"/>
  <c r="I26" i="36" s="1"/>
  <c r="H27" i="36"/>
  <c r="I38" i="33"/>
  <c r="I44" i="33" s="1"/>
  <c r="I27" i="36" s="1"/>
  <c r="K37" i="33" l="1"/>
  <c r="K43" i="33" s="1"/>
  <c r="K26" i="36" s="1"/>
  <c r="K55" i="33"/>
  <c r="K37" i="36" s="1"/>
  <c r="J38" i="33"/>
  <c r="J44" i="33" s="1"/>
  <c r="J27" i="36" s="1"/>
  <c r="L38" i="33"/>
  <c r="L44" i="33" s="1"/>
  <c r="L27" i="36" s="1"/>
  <c r="K38" i="33"/>
  <c r="K44" i="33" s="1"/>
  <c r="K27" i="36" s="1"/>
  <c r="L37" i="33"/>
  <c r="L43" i="33" s="1"/>
  <c r="L26" i="36" s="1"/>
  <c r="H69" i="27" l="1"/>
  <c r="I69" i="27"/>
  <c r="I68" i="27"/>
  <c r="H68" i="27"/>
  <c r="H54" i="27"/>
  <c r="I54" i="27"/>
  <c r="I53" i="27"/>
  <c r="H53" i="27"/>
  <c r="H148" i="27" l="1"/>
  <c r="H150" i="27" s="1"/>
  <c r="H154" i="27"/>
  <c r="I148" i="27"/>
  <c r="I154" i="27"/>
  <c r="I150" i="27" l="1"/>
  <c r="H156" i="27"/>
  <c r="I156" i="27"/>
  <c r="F38" i="27" l="1"/>
  <c r="L216" i="27" l="1"/>
  <c r="O219" i="27"/>
  <c r="P212" i="27"/>
  <c r="P179" i="27"/>
  <c r="O211" i="27"/>
  <c r="M209" i="27"/>
  <c r="N177" i="27"/>
  <c r="M217" i="27"/>
  <c r="N218" i="27"/>
  <c r="P220" i="27"/>
  <c r="L208" i="27"/>
  <c r="L175" i="27"/>
  <c r="O178" i="27"/>
  <c r="N210" i="27"/>
  <c r="M176" i="27"/>
  <c r="M184" i="27"/>
  <c r="N185" i="27"/>
  <c r="P187" i="27"/>
  <c r="L183" i="27"/>
  <c r="O186" i="27"/>
  <c r="H13" i="31"/>
  <c r="F26" i="31" s="1"/>
  <c r="I13" i="31"/>
  <c r="F27" i="31" s="1"/>
  <c r="J13" i="31"/>
  <c r="F28" i="31" s="1"/>
  <c r="K13" i="31"/>
  <c r="F29" i="31" s="1"/>
  <c r="L13" i="31"/>
  <c r="F30" i="31" s="1"/>
  <c r="M13" i="31"/>
  <c r="F31" i="31" s="1"/>
  <c r="N13" i="31"/>
  <c r="F32" i="31" s="1"/>
  <c r="O13" i="31"/>
  <c r="F33" i="31" s="1"/>
  <c r="P13" i="31"/>
  <c r="F34" i="31" s="1"/>
  <c r="H16" i="31"/>
  <c r="F41" i="31" s="1"/>
  <c r="I16" i="31"/>
  <c r="F42" i="31" s="1"/>
  <c r="I41" i="31" s="1"/>
  <c r="J16" i="31"/>
  <c r="F43" i="31" s="1"/>
  <c r="J42" i="31" s="1"/>
  <c r="K16" i="31"/>
  <c r="L16" i="31"/>
  <c r="M16" i="31"/>
  <c r="N16" i="31"/>
  <c r="O16" i="31"/>
  <c r="P16" i="31"/>
  <c r="F49" i="31" s="1"/>
  <c r="P48" i="31" s="1"/>
  <c r="P34" i="27" s="1"/>
  <c r="P211" i="27" s="1"/>
  <c r="P186" i="27" l="1"/>
  <c r="P219" i="27"/>
  <c r="P178" i="27"/>
  <c r="F46" i="31"/>
  <c r="M45" i="31" s="1"/>
  <c r="M31" i="27" s="1"/>
  <c r="N58" i="31"/>
  <c r="F45" i="31"/>
  <c r="L44" i="31" s="1"/>
  <c r="L30" i="27" s="1"/>
  <c r="F48" i="31"/>
  <c r="O47" i="31" s="1"/>
  <c r="O33" i="27" s="1"/>
  <c r="P60" i="31"/>
  <c r="F44" i="31"/>
  <c r="K43" i="31" s="1"/>
  <c r="K42" i="31" s="1"/>
  <c r="K41" i="31" s="1"/>
  <c r="F47" i="31"/>
  <c r="N46" i="31" s="1"/>
  <c r="N32" i="27" s="1"/>
  <c r="O59" i="31"/>
  <c r="J41" i="31"/>
  <c r="N176" i="27" l="1"/>
  <c r="N217" i="27"/>
  <c r="N209" i="27"/>
  <c r="N184" i="27"/>
  <c r="M208" i="27"/>
  <c r="M183" i="27"/>
  <c r="M216" i="27"/>
  <c r="M175" i="27"/>
  <c r="L182" i="27"/>
  <c r="L207" i="27"/>
  <c r="L174" i="27"/>
  <c r="L215" i="27"/>
  <c r="O185" i="27"/>
  <c r="O218" i="27"/>
  <c r="O210" i="27"/>
  <c r="O177" i="27"/>
  <c r="N45" i="31"/>
  <c r="N31" i="27" s="1"/>
  <c r="P47" i="31"/>
  <c r="L43" i="31"/>
  <c r="O46" i="31"/>
  <c r="M44" i="31"/>
  <c r="O58" i="31"/>
  <c r="O57" i="31" s="1"/>
  <c r="K16" i="36" s="1"/>
  <c r="P59" i="31"/>
  <c r="N57" i="31"/>
  <c r="J16" i="36" s="1"/>
  <c r="J27" i="31"/>
  <c r="K28" i="31"/>
  <c r="N31" i="31"/>
  <c r="N21" i="27" s="1"/>
  <c r="O32" i="31"/>
  <c r="O22" i="27" s="1"/>
  <c r="P33" i="31"/>
  <c r="P23" i="27" s="1"/>
  <c r="M30" i="31"/>
  <c r="M20" i="27" s="1"/>
  <c r="L29" i="31"/>
  <c r="L19" i="27" s="1"/>
  <c r="I26" i="31"/>
  <c r="N44" i="31" l="1"/>
  <c r="N30" i="27" s="1"/>
  <c r="N174" i="27" s="1"/>
  <c r="O45" i="31"/>
  <c r="O31" i="27" s="1"/>
  <c r="O32" i="27"/>
  <c r="L42" i="31"/>
  <c r="L28" i="27" s="1"/>
  <c r="L29" i="27"/>
  <c r="P46" i="31"/>
  <c r="P32" i="27" s="1"/>
  <c r="P33" i="27"/>
  <c r="N207" i="27"/>
  <c r="N215" i="27"/>
  <c r="N182" i="27"/>
  <c r="M43" i="31"/>
  <c r="M29" i="27" s="1"/>
  <c r="M30" i="27"/>
  <c r="N208" i="27"/>
  <c r="N216" i="27"/>
  <c r="N183" i="27"/>
  <c r="N175" i="27"/>
  <c r="P58" i="31"/>
  <c r="N43" i="31"/>
  <c r="N29" i="27" s="1"/>
  <c r="P45" i="31"/>
  <c r="P31" i="27" s="1"/>
  <c r="K27" i="31"/>
  <c r="K26" i="31" s="1"/>
  <c r="O31" i="31"/>
  <c r="O21" i="27" s="1"/>
  <c r="M29" i="31"/>
  <c r="M19" i="27" s="1"/>
  <c r="J26" i="31"/>
  <c r="N30" i="31"/>
  <c r="N20" i="27" s="1"/>
  <c r="L28" i="31"/>
  <c r="L18" i="27" s="1"/>
  <c r="P32" i="31"/>
  <c r="P22" i="27" s="1"/>
  <c r="O44" i="31" l="1"/>
  <c r="O30" i="27" s="1"/>
  <c r="M42" i="31"/>
  <c r="M28" i="27" s="1"/>
  <c r="L41" i="31"/>
  <c r="M207" i="27"/>
  <c r="M174" i="27"/>
  <c r="M215" i="27"/>
  <c r="M182" i="27"/>
  <c r="O182" i="27"/>
  <c r="O174" i="27"/>
  <c r="O207" i="27"/>
  <c r="O215" i="27"/>
  <c r="P218" i="27"/>
  <c r="P177" i="27"/>
  <c r="P185" i="27"/>
  <c r="P210" i="27"/>
  <c r="O209" i="27"/>
  <c r="O184" i="27"/>
  <c r="O217" i="27"/>
  <c r="O176" i="27"/>
  <c r="P183" i="27"/>
  <c r="P175" i="27"/>
  <c r="P216" i="27"/>
  <c r="P208" i="27"/>
  <c r="P176" i="27"/>
  <c r="P184" i="27"/>
  <c r="P217" i="27"/>
  <c r="P209" i="27"/>
  <c r="O183" i="27"/>
  <c r="O175" i="27"/>
  <c r="O208" i="27"/>
  <c r="O216" i="27"/>
  <c r="P57" i="31"/>
  <c r="L16" i="36" s="1"/>
  <c r="P31" i="31"/>
  <c r="L27" i="31"/>
  <c r="L17" i="27" s="1"/>
  <c r="M28" i="31"/>
  <c r="M18" i="27" s="1"/>
  <c r="L27" i="27"/>
  <c r="O43" i="31"/>
  <c r="O29" i="27" s="1"/>
  <c r="N29" i="31"/>
  <c r="N19" i="27" s="1"/>
  <c r="P44" i="31"/>
  <c r="P30" i="27" s="1"/>
  <c r="N42" i="31"/>
  <c r="N28" i="27" s="1"/>
  <c r="O30" i="31"/>
  <c r="O20" i="27" s="1"/>
  <c r="M41" i="31" l="1"/>
  <c r="M27" i="27" s="1"/>
  <c r="L166" i="27"/>
  <c r="L167" i="27"/>
  <c r="P30" i="31"/>
  <c r="P20" i="27" s="1"/>
  <c r="P21" i="27"/>
  <c r="P207" i="27"/>
  <c r="P182" i="27"/>
  <c r="P174" i="27"/>
  <c r="P215" i="27"/>
  <c r="O29" i="31"/>
  <c r="O19" i="27" s="1"/>
  <c r="P43" i="31"/>
  <c r="P29" i="27" s="1"/>
  <c r="O42" i="31"/>
  <c r="O28" i="27" s="1"/>
  <c r="L26" i="31"/>
  <c r="L16" i="27" s="1"/>
  <c r="L199" i="27" s="1"/>
  <c r="N41" i="31"/>
  <c r="N27" i="27" s="1"/>
  <c r="N28" i="31"/>
  <c r="N18" i="27" s="1"/>
  <c r="M27" i="31"/>
  <c r="M17" i="27" s="1"/>
  <c r="P29" i="31" l="1"/>
  <c r="F20" i="36" s="1"/>
  <c r="P19" i="27"/>
  <c r="L206" i="27"/>
  <c r="L214" i="27"/>
  <c r="L181" i="27"/>
  <c r="L173" i="27"/>
  <c r="L164" i="27"/>
  <c r="L165" i="27" s="1"/>
  <c r="L192" i="27"/>
  <c r="P42" i="31"/>
  <c r="P28" i="27" s="1"/>
  <c r="M26" i="31"/>
  <c r="M16" i="27" s="1"/>
  <c r="N27" i="31"/>
  <c r="N17" i="27" s="1"/>
  <c r="P28" i="31"/>
  <c r="P18" i="27" s="1"/>
  <c r="O41" i="31"/>
  <c r="O27" i="27" s="1"/>
  <c r="O28" i="31"/>
  <c r="O18" i="27" s="1"/>
  <c r="M214" i="27" l="1"/>
  <c r="M206" i="27"/>
  <c r="M181" i="27"/>
  <c r="M173" i="27"/>
  <c r="L200" i="27"/>
  <c r="L163" i="27"/>
  <c r="L162" i="27"/>
  <c r="L190" i="27" s="1"/>
  <c r="L198" i="27"/>
  <c r="L197" i="27"/>
  <c r="H33" i="36"/>
  <c r="M166" i="27"/>
  <c r="M167" i="27"/>
  <c r="P41" i="31"/>
  <c r="P27" i="27" s="1"/>
  <c r="P27" i="31"/>
  <c r="P17" i="27" s="1"/>
  <c r="O27" i="31"/>
  <c r="O17" i="27" s="1"/>
  <c r="N26" i="31"/>
  <c r="N16" i="27" s="1"/>
  <c r="H48" i="36" l="1"/>
  <c r="H58" i="36" s="1"/>
  <c r="N214" i="27"/>
  <c r="N206" i="27"/>
  <c r="N173" i="27"/>
  <c r="N181" i="27"/>
  <c r="L223" i="27"/>
  <c r="M199" i="27"/>
  <c r="M200" i="27" s="1"/>
  <c r="M164" i="27"/>
  <c r="M165" i="27" s="1"/>
  <c r="M163" i="27"/>
  <c r="M198" i="27"/>
  <c r="M197" i="27"/>
  <c r="M162" i="27"/>
  <c r="M192" i="27"/>
  <c r="I33" i="36" s="1"/>
  <c r="I48" i="36" s="1"/>
  <c r="I58" i="36" s="1"/>
  <c r="N167" i="27"/>
  <c r="N166" i="27"/>
  <c r="P26" i="31"/>
  <c r="P16" i="27" s="1"/>
  <c r="O26" i="31"/>
  <c r="O16" i="27" s="1"/>
  <c r="O214" i="27" l="1"/>
  <c r="O206" i="27"/>
  <c r="O173" i="27"/>
  <c r="O181" i="27"/>
  <c r="P181" i="27"/>
  <c r="P214" i="27"/>
  <c r="P206" i="27"/>
  <c r="P173" i="27"/>
  <c r="M223" i="27"/>
  <c r="M190" i="27"/>
  <c r="N199" i="27"/>
  <c r="N200" i="27" s="1"/>
  <c r="N164" i="27"/>
  <c r="N165" i="27" s="1"/>
  <c r="N198" i="27"/>
  <c r="N163" i="27"/>
  <c r="N162" i="27"/>
  <c r="N197" i="27"/>
  <c r="N192" i="27"/>
  <c r="J33" i="36" s="1"/>
  <c r="J48" i="36" s="1"/>
  <c r="J58" i="36" s="1"/>
  <c r="O166" i="27"/>
  <c r="O167" i="27"/>
  <c r="P167" i="27"/>
  <c r="P166" i="27"/>
  <c r="P192" i="27" l="1"/>
  <c r="N223" i="27"/>
  <c r="N190" i="27"/>
  <c r="O199" i="27"/>
  <c r="O200" i="27" s="1"/>
  <c r="P199" i="27"/>
  <c r="P200" i="27" s="1"/>
  <c r="P164" i="27"/>
  <c r="P165" i="27" s="1"/>
  <c r="O164" i="27"/>
  <c r="O165" i="27" s="1"/>
  <c r="O198" i="27"/>
  <c r="O163" i="27"/>
  <c r="O197" i="27"/>
  <c r="O162" i="27"/>
  <c r="P163" i="27"/>
  <c r="P198" i="27"/>
  <c r="P197" i="27"/>
  <c r="P162" i="27"/>
  <c r="H40" i="36"/>
  <c r="H51" i="36" s="1"/>
  <c r="L33" i="36"/>
  <c r="L48" i="36" s="1"/>
  <c r="L58" i="36" s="1"/>
  <c r="O192" i="27"/>
  <c r="K33" i="36" s="1"/>
  <c r="K48" i="36" s="1"/>
  <c r="K58" i="36" s="1"/>
  <c r="H41" i="36"/>
  <c r="H52" i="36" s="1"/>
  <c r="I31" i="36"/>
  <c r="I46" i="36" s="1"/>
  <c r="I40" i="36"/>
  <c r="I51" i="36" s="1"/>
  <c r="H31" i="36"/>
  <c r="H46" i="36" s="1"/>
  <c r="H32" i="36"/>
  <c r="H47" i="36" s="1"/>
  <c r="H57" i="36" l="1"/>
  <c r="O223" i="27"/>
  <c r="H63" i="36"/>
  <c r="P190" i="27"/>
  <c r="H59" i="36"/>
  <c r="P223" i="27"/>
  <c r="O190" i="27"/>
  <c r="I41" i="36"/>
  <c r="I52" i="36" s="1"/>
  <c r="I63" i="36" s="1"/>
  <c r="J31" i="36"/>
  <c r="J46" i="36" s="1"/>
  <c r="J40" i="36"/>
  <c r="J51" i="36" s="1"/>
  <c r="I32" i="36"/>
  <c r="I47" i="36" s="1"/>
  <c r="I57" i="36" s="1"/>
  <c r="H67" i="36" l="1"/>
  <c r="I59" i="36"/>
  <c r="I67" i="36" s="1"/>
  <c r="J41" i="36"/>
  <c r="J52" i="36" s="1"/>
  <c r="J63" i="36" s="1"/>
  <c r="L31" i="36"/>
  <c r="L46" i="36" s="1"/>
  <c r="K31" i="36"/>
  <c r="K46" i="36" s="1"/>
  <c r="K40" i="36"/>
  <c r="K51" i="36" s="1"/>
  <c r="L40" i="36"/>
  <c r="L51" i="36" s="1"/>
  <c r="J32" i="36"/>
  <c r="J47" i="36" s="1"/>
  <c r="J57" i="36" l="1"/>
  <c r="J59" i="36" s="1"/>
  <c r="J67" i="36" s="1"/>
  <c r="K41" i="36"/>
  <c r="K52" i="36" s="1"/>
  <c r="K63" i="36" s="1"/>
  <c r="L41" i="36"/>
  <c r="L52" i="36" s="1"/>
  <c r="L63" i="36" s="1"/>
  <c r="K32" i="36"/>
  <c r="K47" i="36" s="1"/>
  <c r="L32" i="36"/>
  <c r="L47" i="36" s="1"/>
  <c r="L57" i="36" s="1"/>
  <c r="L59" i="36" l="1"/>
  <c r="L67" i="36" s="1"/>
  <c r="F76" i="36" s="1"/>
  <c r="K57" i="36"/>
  <c r="K59" i="36" s="1"/>
  <c r="F64" i="36"/>
  <c r="K67" i="36" l="1"/>
  <c r="F70" i="36" s="1"/>
  <c r="F60" i="36"/>
  <c r="F77" i="36"/>
  <c r="H79" i="36" s="1"/>
  <c r="F90" i="36" l="1"/>
  <c r="F93" i="36"/>
  <c r="F13" i="37"/>
  <c r="I79" i="36"/>
  <c r="J79" i="36" s="1"/>
  <c r="K79" i="36" s="1"/>
  <c r="L79" i="36" s="1"/>
  <c r="F80" i="36" l="1"/>
  <c r="F83" i="36" s="1"/>
  <c r="F14" i="37"/>
  <c r="F12" i="37" l="1"/>
  <c r="F84" i="36"/>
  <c r="F85" i="36" s="1"/>
  <c r="H91" i="36" l="1"/>
  <c r="I91" i="36" s="1"/>
  <c r="J91" i="36" s="1"/>
  <c r="K91" i="36" s="1"/>
  <c r="L91" i="36" s="1"/>
  <c r="H94" i="36"/>
  <c r="I94" i="36" s="1"/>
  <c r="J94" i="36" s="1"/>
  <c r="K94" i="36" s="1"/>
  <c r="L94" i="36" s="1"/>
  <c r="H86" i="36"/>
  <c r="I86" i="36" s="1"/>
  <c r="J86" i="36" s="1"/>
  <c r="K86" i="36" s="1"/>
  <c r="L86" i="36" s="1"/>
  <c r="F16" i="37"/>
  <c r="H24" i="37" l="1"/>
  <c r="J24" i="37"/>
  <c r="I24" i="37"/>
  <c r="K24" i="37" l="1"/>
  <c r="L24" i="3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B58" authorId="0" shapeId="0" xr:uid="{00000000-0006-0000-0400-000001000000}">
      <text>
        <r>
          <rPr>
            <sz val="8"/>
            <color indexed="81"/>
            <rFont val="Tahoma"/>
            <family val="2"/>
          </rPr>
          <t xml:space="preserve">In alle gevallen wordt een (groep van) roze cel(len) voorzien van een opmerking die uitlegt wat er bijzonder is aan de betreffende gegevens of berekening
</t>
        </r>
      </text>
    </comment>
  </commentList>
</comments>
</file>

<file path=xl/sharedStrings.xml><?xml version="1.0" encoding="utf-8"?>
<sst xmlns="http://schemas.openxmlformats.org/spreadsheetml/2006/main" count="1264" uniqueCount="622">
  <si>
    <t>Titelblad</t>
  </si>
  <si>
    <t>Over dit bestand</t>
  </si>
  <si>
    <t>Zaaknummer</t>
  </si>
  <si>
    <t>Titel</t>
  </si>
  <si>
    <t>Ondertitel</t>
  </si>
  <si>
    <t>Hoort bij besluit(en):</t>
  </si>
  <si>
    <t>Hoort bij onderzoek/publicatie ACM:</t>
  </si>
  <si>
    <t>Kenmerk besluit(en)</t>
  </si>
  <si>
    <t>Samenhang met andere rekenbestanden</t>
  </si>
  <si>
    <t>Overig opmerkingen</t>
  </si>
  <si>
    <t>Over de status van dit bestand</t>
  </si>
  <si>
    <t>Definitief? (j/n)</t>
  </si>
  <si>
    <t>Juridisch integraal onderdeel van bovenstaande besluit(en) (j/n)?</t>
  </si>
  <si>
    <t>Opmerkingen openbare versiegeschiedenis</t>
  </si>
  <si>
    <t>Disclaimer</t>
  </si>
  <si>
    <t>Toelichting bij de werking van dit model</t>
  </si>
  <si>
    <t>Legenda voor gebruik van celkleuren en tabkleuren</t>
  </si>
  <si>
    <t>Beschrijving</t>
  </si>
  <si>
    <t>Waarde die zonder berekening wordt overgenomen uit een andere cel</t>
  </si>
  <si>
    <t>Berekende waarde</t>
  </si>
  <si>
    <t>Cel is niet van toepassing (dus leeg, niet nul), maar er wordt door een formule wel naar verwezen</t>
  </si>
  <si>
    <t>Bijzonderheden:</t>
  </si>
  <si>
    <t>Ingevoerde waarde of berekening die nog niet juist is (indien van toepassing)</t>
  </si>
  <si>
    <t>Eventueel te gebruiken:</t>
  </si>
  <si>
    <t>Bronnenoverzicht en specifieke toepassingen</t>
  </si>
  <si>
    <t>Bronnenoverzicht</t>
  </si>
  <si>
    <t>Exacte bestandsnaam</t>
  </si>
  <si>
    <t>Eenheid</t>
  </si>
  <si>
    <t>Constante</t>
  </si>
  <si>
    <t>Beschrijving gegevens</t>
  </si>
  <si>
    <t>Toelichting bij bijzonderheden</t>
  </si>
  <si>
    <t>Data</t>
  </si>
  <si>
    <t>Berekening</t>
  </si>
  <si>
    <t>Resultaat</t>
  </si>
  <si>
    <t>Tabkleur</t>
  </si>
  <si>
    <t>Tabblad met input</t>
  </si>
  <si>
    <t>Tabblad met berekeningen</t>
  </si>
  <si>
    <t>Input --&gt;</t>
  </si>
  <si>
    <t>Tabblad dat als geheel nog onjuist of niet up to date is</t>
  </si>
  <si>
    <t>Celkleur getallen</t>
  </si>
  <si>
    <t>Tabbladen die het model vormen</t>
  </si>
  <si>
    <t>Toelichting</t>
  </si>
  <si>
    <t>Tabbladen ten behoeve van begrip</t>
  </si>
  <si>
    <t>Tabblad met resultaten/output</t>
  </si>
  <si>
    <t>Leeg tabblad dat wordt gebruikt als index/markering voor een serie tabbladen (kleur: licht grijs)</t>
  </si>
  <si>
    <t>Omschrijving</t>
  </si>
  <si>
    <t>Bronverwijzing</t>
  </si>
  <si>
    <t>Opmerking</t>
  </si>
  <si>
    <t>Ophalen gegevens voor berekening</t>
  </si>
  <si>
    <t>In rekenmodellen probeert ACM zoveel mogelijk eenvoudige navolgbare berekeningen te maken en geen ingewikkelde functies of toepassingen te gebruiken.</t>
  </si>
  <si>
    <t>Wanneer toch gebruik wordt gemaakt van cel- en rangenamen, macro's of andere bijzondere functies in Excel wordt de werking ervan hier toegelicht</t>
  </si>
  <si>
    <t>Duiding van specifieke Excel-toepassingen en overige bijzonderheden</t>
  </si>
  <si>
    <t>Toelichting bij dit bestand</t>
  </si>
  <si>
    <t>Nr.</t>
  </si>
  <si>
    <t xml:space="preserve">Verkorte naam </t>
  </si>
  <si>
    <t>Naam bestand extern</t>
  </si>
  <si>
    <t>Beschrijving berekening</t>
  </si>
  <si>
    <t>Beschrijving resultaat</t>
  </si>
  <si>
    <t>Grijze cijfers geven de uitkomt van een check berekening; dit is geen resultaat waarmee verder wordt gerekend</t>
  </si>
  <si>
    <t>Schematische weergave en/of inhoudsopgave van de werking van dit model</t>
  </si>
  <si>
    <t>Aanvullende gegevens bestand extern</t>
  </si>
  <si>
    <t>Datum ontvangst, versie nr., opmerkingen</t>
  </si>
  <si>
    <t>Zoals gebruikt in dit bestand</t>
  </si>
  <si>
    <t>Zaaknummer en/of kenmerk ACM</t>
  </si>
  <si>
    <t>In onderstaand overzicht houdt ACM bij welke bronnen gebruikt zijn voor de data en berekeningen in dit bestand.</t>
  </si>
  <si>
    <t>Ieder inputblad heeft een kolom 'bronverwijzing', waarin gebruikte bronnen met een verkorte naam worden aangeduid. Deze bronnen worden verder toegelicht in deze tabel.</t>
  </si>
  <si>
    <t>Indien van toepassing</t>
  </si>
  <si>
    <t>Bevat bedrijfsvertrouwelijke gegevens? (j/n)</t>
  </si>
  <si>
    <t>Is of wordt gepubliceerd? (j/n)</t>
  </si>
  <si>
    <t>Data en input (bron wordt vermeld)</t>
  </si>
  <si>
    <t>Berekende waarde die wordt opgehaald op een ander tabblad, incl. (eind)resultaat van berekening</t>
  </si>
  <si>
    <t>Waarde of berekening die speciale aandacht vraagt (zie toelichting in opmerking)</t>
  </si>
  <si>
    <t>Deze kleur wordt uitsluitend gebruikt bij een informatieverzoek: cellen die door de ontvanger van het dataverzoek moeten worden ingevuld</t>
  </si>
  <si>
    <t>Gestandaardiseerde tabbladen, omvat tenminste: 'Titelblad', 'Toelichting' en 'Bronnen en toepassingen' (kleur: ACM-lichtpaars)</t>
  </si>
  <si>
    <t>Een kader kan worden gebruikt om aan te geven dat een bepaald veld input bevat, maar deze input automatisch wordt ingeladen, bijvoorbeeld door middel van een macro (dus niet handmatig in te vullen)</t>
  </si>
  <si>
    <t>%</t>
  </si>
  <si>
    <t>Jaarlijkse CPI</t>
  </si>
  <si>
    <t>1+CPI</t>
  </si>
  <si>
    <t>CPI</t>
  </si>
  <si>
    <t>Frontier shift</t>
  </si>
  <si>
    <t>EUR, pp jaar</t>
  </si>
  <si>
    <t>Berekening CPI-mutatie</t>
  </si>
  <si>
    <t>Berekening frontier shift</t>
  </si>
  <si>
    <t>Kosten (opbrengsten) InterTSO Compensation</t>
  </si>
  <si>
    <t>Operationele kosten EHS</t>
  </si>
  <si>
    <t>Operationele kosten HS</t>
  </si>
  <si>
    <t>2019</t>
  </si>
  <si>
    <t>CPI september jaar t-2 t/m augustus jaar t-1</t>
  </si>
  <si>
    <t>WACC</t>
  </si>
  <si>
    <t>Invulmodule reguleringsdata TenneT 2018</t>
  </si>
  <si>
    <t>Invulmodule reguleringsdata TenneT 2019</t>
  </si>
  <si>
    <t>Reguleringsdata TenneT 2018</t>
  </si>
  <si>
    <t>Reguleringsdata TenneT 2019</t>
  </si>
  <si>
    <t>Tabel 1 - Resultaat</t>
  </si>
  <si>
    <t>Tabel 4 - Operationele kosten</t>
  </si>
  <si>
    <t>Tabel 5 - Berekening op parameters</t>
  </si>
  <si>
    <t>1+CPI van 2018 naar jaar</t>
  </si>
  <si>
    <t>1+CPI van 2019 naar jaar</t>
  </si>
  <si>
    <t>1+CPI van 2020 naar jaar</t>
  </si>
  <si>
    <t xml:space="preserve">1+CPI </t>
  </si>
  <si>
    <t>1-Frontier shift</t>
  </si>
  <si>
    <t>1-FS van 2018 naar jaar</t>
  </si>
  <si>
    <t>1-FS van 2019 naar jaar</t>
  </si>
  <si>
    <t>1-FS van 2020 naar jaar</t>
  </si>
  <si>
    <t>1+%</t>
  </si>
  <si>
    <t>Verwachte operationele kosten EHS binnen scope</t>
  </si>
  <si>
    <t>Verwachte operationele kosten HS buiten scope</t>
  </si>
  <si>
    <t>Verwachte operationele kosten HS binnen scope</t>
  </si>
  <si>
    <t>Tabel 8 - Berekening verwachte operationele kosten</t>
  </si>
  <si>
    <t>GAW Ultimo 2020 HS</t>
  </si>
  <si>
    <t>GAW Ultimo 2020 EHS</t>
  </si>
  <si>
    <t>Afschrijvingen activa geactiveerd t/m 2020 EHS binnen scope</t>
  </si>
  <si>
    <t>GAW activa geactiveerd t/m 2020  EHS binnen scope</t>
  </si>
  <si>
    <t>GAW activa geactiveerd t/m 2020  EHS buiten scope</t>
  </si>
  <si>
    <t>Afschrijvingen activa geactiveerd t/m 2020 HS binnen scope</t>
  </si>
  <si>
    <t>Afschrijvingen activa geactiveerd t/m 2020  HS buiten scope</t>
  </si>
  <si>
    <t>GAW activa geactiveerd t/m 2020 HS buiten scope</t>
  </si>
  <si>
    <t>Kapitaalkosten doorrollen</t>
  </si>
  <si>
    <t>Vermogenskosten</t>
  </si>
  <si>
    <t>Formule</t>
  </si>
  <si>
    <t>Tabel 6 - Berekening kapitaalkosten doorrollen</t>
  </si>
  <si>
    <t>Afschrijvingen en GAW EHS</t>
  </si>
  <si>
    <t>Afschrijvingen en GAW HS</t>
  </si>
  <si>
    <t>Percentage bijschatten bestaand vermogen</t>
  </si>
  <si>
    <t>Percentage bijschatten nieuw vermogen</t>
  </si>
  <si>
    <t>Stijging GAW</t>
  </si>
  <si>
    <t>Totale bijgeschatte GAW</t>
  </si>
  <si>
    <t>Totale doorgerolde GAW</t>
  </si>
  <si>
    <t>Stijging benodigd vermogen</t>
  </si>
  <si>
    <t>Totale GAW ultimo 2020</t>
  </si>
  <si>
    <t>GAW activa doorrollen t/m 2020 binnen scope EHS</t>
  </si>
  <si>
    <t>Verwachte kapitaalkosten bijschatten EHS binnen scope</t>
  </si>
  <si>
    <t>Verwachte kapitaalkosten bijschatten EHS buiten scope</t>
  </si>
  <si>
    <t>GAW activa doorrollen t/m 2020 binnen scope HS</t>
  </si>
  <si>
    <t>GAW activa doorrollen t/m 2020 buiten scope HS</t>
  </si>
  <si>
    <t>Verwachte kapitaalkosten bijschatten HS binnen scope</t>
  </si>
  <si>
    <t>Verwachte kapitaalkosten bijschatten HS buiten scope</t>
  </si>
  <si>
    <t>Vermogenskosten doorrollen HS binnen scope</t>
  </si>
  <si>
    <t>Vermogenskosten doorrollen HS buiten scope</t>
  </si>
  <si>
    <t>Kapitaalkosten doorrollen HS binnen scope</t>
  </si>
  <si>
    <t>Kapitaalkosten doorrollen HS buiten scope</t>
  </si>
  <si>
    <t>Vermogenskosten doorrollen EHS binnen scope</t>
  </si>
  <si>
    <t>Kapitaalkosten doorrollen EHS binnen scope</t>
  </si>
  <si>
    <t>GAW activa geactiveerd t/m 2020 HS binnen scope</t>
  </si>
  <si>
    <t>Afschrijvingen activa geactiveerd t/m 2020 HS buiten scope</t>
  </si>
  <si>
    <t>Toegestane inkomsten</t>
  </si>
  <si>
    <t>X-factor</t>
  </si>
  <si>
    <t>X-factor (onafgerond)</t>
  </si>
  <si>
    <t>EUR, pp 2021</t>
  </si>
  <si>
    <t>Begininkomsten</t>
  </si>
  <si>
    <t>Definitieve resultaten</t>
  </si>
  <si>
    <t>Netto contante waarde 2022</t>
  </si>
  <si>
    <t>Totale toegestane inkomsten x-factormethode</t>
  </si>
  <si>
    <t>Toegestane inkomsten die volgen uit begininkomsten en x-factor</t>
  </si>
  <si>
    <t>EUR,  pp 2026</t>
  </si>
  <si>
    <t>Eindinkomsten</t>
  </si>
  <si>
    <t>De waarde in de roze cel is door de oplosser berekend. Zie de toelichting bij de oplosser in het tabblad 'Bronnen en toepassingen' voor een meer gedetailleerdere toelichting.</t>
  </si>
  <si>
    <t>EUR,  pp 2021</t>
  </si>
  <si>
    <t>Hulpberekeningen voor de oplosser</t>
  </si>
  <si>
    <t xml:space="preserve">Berekening x-factor &amp; begininkomsten </t>
  </si>
  <si>
    <t>Totale verwachte efficiënte kosten</t>
  </si>
  <si>
    <t>Verwachte efficiënte kosten</t>
  </si>
  <si>
    <t>Berekening verwachte efficiënte kosten</t>
  </si>
  <si>
    <t>Berekening verwachte kosten</t>
  </si>
  <si>
    <t>1+ CPI van 2021 naar 2026</t>
  </si>
  <si>
    <t>Jaarlijkse consumentenprijsindex</t>
  </si>
  <si>
    <t>1+ discontovoet</t>
  </si>
  <si>
    <t>Op dit tabblad berekent de ACM de verwachte kosten, de verwachte efficiënte kosten, de begininkomsten, de eindinkomsten, de x-factor en de toegestane inkomsten. De eindinkomsten zijn gelijk aan de verwachte efficiënte kosten 2026. De x-factor is het resultaat van een berekening van het verschil tussen de verwachte jaarlijkse ontwikkeling van de CPI in de periode 2021-2026 en de jaarlijkse ontwikkeling tussen de begininkomsten en de eindinkomsten. Zie 'toelichting bij bijzonderheden' voor een toelichting bij de berekening van de begininkomsten.</t>
  </si>
  <si>
    <t>Tabel 9 - X-factorberekening</t>
  </si>
  <si>
    <t>Nominale WACC bestaand vermogen</t>
  </si>
  <si>
    <t>Verwachte kosten EHS binnen scope</t>
  </si>
  <si>
    <t>Verwachte efficiënte kosten EHS</t>
  </si>
  <si>
    <t>Verwachte kosten HS binnen scope</t>
  </si>
  <si>
    <t>Verwachte kosten HS buiten scope</t>
  </si>
  <si>
    <t>Verwachte efficiënte kosten HS</t>
  </si>
  <si>
    <t>Verwachte kosten HS</t>
  </si>
  <si>
    <t>Verwachte kosten EHS</t>
  </si>
  <si>
    <t>Op dit tabblad toont de ACM de begininkomsten, toegestane inkomsten en x-factor. Deze gegevens zijn het resultaat van berekening op de berekeningstabbladen in dit bestand. Voor de tarievenbesluiten zijn enkel de begininkomsten en x-factor van belang. De geschatte CPI en toegestane inkomsten dienen om een globaal beeld te geven van de inkomsten gedurende de periode. De daadwerkelijke inflatie kan afwijken, waarmee ook de toegestane inkomsten in de tarievenbesluiten kunnen afwijken. Ook worden er in de tarievenbesluiten nog correcties doorgevoerd die van invloed zijn op de toegestane inkomsten.</t>
  </si>
  <si>
    <t>Begininkomsten en X-factor</t>
  </si>
  <si>
    <t>Geschatte inflatie</t>
  </si>
  <si>
    <t>Samenhang van dit bestand met andere bestanden</t>
  </si>
  <si>
    <t>Reguleringsdata</t>
  </si>
  <si>
    <t>GAW model</t>
  </si>
  <si>
    <t>X-factormodel</t>
  </si>
  <si>
    <t>Toelichting samenhang tabbladen:</t>
  </si>
  <si>
    <t>Inputs</t>
  </si>
  <si>
    <t>Berekeningen</t>
  </si>
  <si>
    <t>2. Reguleringsparameters</t>
  </si>
  <si>
    <t>5. Berekening op parameters</t>
  </si>
  <si>
    <t>[berekeningstabbladen]</t>
  </si>
  <si>
    <t>3. GAW model</t>
  </si>
  <si>
    <t>6. Berekening doorrollen</t>
  </si>
  <si>
    <t>7. Berekening bijschatten</t>
  </si>
  <si>
    <t>9. Berekening x-factor</t>
  </si>
  <si>
    <t>1. Resultaat</t>
  </si>
  <si>
    <t>4. Operationele kosten</t>
  </si>
  <si>
    <t>8. Berekening oper. kosten</t>
  </si>
  <si>
    <t>Oplosser</t>
  </si>
  <si>
    <t>Gebruik van oplosser</t>
  </si>
  <si>
    <t xml:space="preserve">Op het tabblad ‘X-factor berekening’ berekent de ACM de totale verwachte efficiënte kosten. Vervolgens gebruikt de ACM de oplosser om de begininkomsten te berekenen zodanig dat gesommeerd over de reguleringsperiode (2022-2026) de verwachte efficiënte kosten terugverdiend kunnen worden. De totale verwachte efficiënte kosten zijn daarbij gelijk aan de totale toegestane inkomsten. 
Indien de verwachte efficiënte kosten op het tabblad ‘X-factorberekening’ worden aangepast, dan veranderen de begininkomsten niet automatisch mee. In dat geval moet de oplosser worden gebruikt om de begininkomsten opnieuw te berekenen.  De begininkomsten met de oplosserworden als volgt berekend:
Op het tabblad 'X-factor berekening' gebruikt de ACM de invoegtoepassing "oplosser". Uitleg over hoe deze invoegtoepassing ingeladen kan worden is te vinden via deze link:
</t>
  </si>
  <si>
    <t>https://support.office.com/nl-nl/article/de-invoegtoepassing-oplosser-laden-in-excel-612926fc-d53b-46b4-872c-e24772f078ca</t>
  </si>
  <si>
    <t>1. De oplosser kan worden geopend via Gegevens – Analysis – Solver
2. Klik op “Solve” om de begininkomsten te berekenen.
3. Er verschijnt nu een pop-up. Controleer of “Keep solver solution” is aangevinkt. Klik vervolgens op “OK”.
4. De begininkomsten zijn nu opnieuw berekend.</t>
  </si>
  <si>
    <t>Berekening kapitaalkosten doorrollen EHS</t>
  </si>
  <si>
    <t>Inkoopkosten energie &amp; vermogen EHS (buiten scope)</t>
  </si>
  <si>
    <t>Inkoopkosten energie &amp; vermogen HS (buiten scope)</t>
  </si>
  <si>
    <t>1-%</t>
  </si>
  <si>
    <t>EUR, pp 2019</t>
  </si>
  <si>
    <t>COBRA - TenneT Kennisgevingsformulier COBRAcable (COBRA) - 20200722 (FINAL)</t>
  </si>
  <si>
    <t>COBRA - TenneT Kennisgevingsformulier</t>
  </si>
  <si>
    <t>COBRA - TenneT Kennisgevingsformulier, tabel 2 (B), rij 32, regulatorische waarde uit kolom Q</t>
  </si>
  <si>
    <t>Belastingen</t>
  </si>
  <si>
    <t>Inkoop transport bij regionale netbeheerders</t>
  </si>
  <si>
    <t>Rekenmodule RCR-investeringen, tab 31, cel L29</t>
  </si>
  <si>
    <t>Rekenmodule RCR-investeringen, tab 31, cel L39</t>
  </si>
  <si>
    <t>Rekenmodule RCR-investeringen</t>
  </si>
  <si>
    <t>Rekenmodule RCR-investeringen TenneT 2021</t>
  </si>
  <si>
    <t>De ACM gebruikt de oplosser om de begininkomsten te berekenen. De aanleiding daarvoor is als volgt. Een gevolg van de gewijzigde methode is dat een preciezere schatting van de ontwikkeling van de efficiënte kapitaalkosten mogelijk is.  Dat leidt er echter ook toe dat er niet per definitie sprake is van een gelijkmatige ontwikkeling van de efficiënte kosten tijdens de reguleringsperiode. Een gewijzigde verdeling van kapitaalkosten over de tijd leidt bijvoorbeeld tot een stijging vanaf het ingangsjaar en een verwachte daling daarna.
In de oude schattingsmethode bepaalde de ACM de efficiënte kosten in het jaar voorafgaand aan de reguleringsperiode en de verwachte efficiënte kosten in het laatste jaar van de reguleringsperiode. De consequentie daarvan is dat alle ontwikkelingen van de verwachte efficiënte kosten in tussenliggende jaren niet tot uitdrukking komen in de x-factor. Daardoor ontstaat – zeker bij een ongelijkmatige ontwikkeling van de verwachte efficiënte kosten – het risico dat TenneT gesommeerd over de reguleringsperiode aanzienlijk meer of minder dan haar verwachte efficiënte kosten kan terugverdienen via de tarieven. Dat zou leiden tot over- of onderdekking van de verwachte efficiënte kosten over de reguleringsperiode.
Het doel van de methode is dat TenneT in beginsel haar verwachte efficiënte kosten inclusief een redelijk rendement dat in het economisch verkeer gebruikelijk is terug kan verdienen binnen de betrokken reguleringsperiode.  Daarom is het noodzakelijk om de manier waarop de ACM het efficiënte kostenniveau ten behoeve van het bepalen van de begininkomsten vaststelt te wijzigen. In plaats van de verwachte efficiënte kosten voor het beginjaar (2021) te bepalen, bepaalt de ACM het efficiënte kostenniveau van 2021 zodanig dat gesommeerd over de reguleringsperiode (2022-2026) TenneT haar verwachte efficiënte kosten terug kan verdienen.
Een expliciete berekening voor de begininkomsten 2021 inbouwen in het x-factormodel is onevenredig complex, omdat er dan wiskundig geoptimaliseerd moet worden. Daarom maakt de ACM gebruik van de oplosser. De oplosser kan het efficiënte kostenniveau 2021 vinden zodanig dat gesommeerd over de reguleringsperiode (2022-2026) de verwachte efficiënte kosten terugverdiend kunnen worden.</t>
  </si>
  <si>
    <t xml:space="preserve">Het percentage van de GAW dat onder de WACC nieuw vermogen valt wordt over beide netvlakken gezamenlijk bepaald. Als de totale activawaarde (de GAW van doorrollen + bijschatten) hoger is dan de GAW ultimo 2020 wordt over de stijging de WACC nieuw vermogen toegepast. </t>
  </si>
  <si>
    <t>1 - Frontier shift van … naar …</t>
  </si>
  <si>
    <t xml:space="preserve">1+ CPI van … naar … </t>
  </si>
  <si>
    <t>Berekening discontovoet</t>
  </si>
  <si>
    <t>1 + Discontovoet</t>
  </si>
  <si>
    <t xml:space="preserve">Nominale WACC </t>
  </si>
  <si>
    <t>1 + Discontovoet van ... naar…</t>
  </si>
  <si>
    <t>COBRA - TenneT Kennisgevingsformulier, tabel 2 (A), rij 32, regulatorische waarde uit kolom P + tabel 2 (B), rij 32, regulatorische waarde uit kolom P</t>
  </si>
  <si>
    <t>Link</t>
  </si>
  <si>
    <t>Netverliezen</t>
  </si>
  <si>
    <t>Blindvermogen betrekken</t>
  </si>
  <si>
    <t>Oplossen transportbeperkingen</t>
  </si>
  <si>
    <t>Netverliezen EHS (buiten scope)</t>
  </si>
  <si>
    <t>Blindvermogen betrekken EHS (buiten scope)</t>
  </si>
  <si>
    <t>Oplossen transportbeperkingen EHS (buiten scope)</t>
  </si>
  <si>
    <t>Netverliezen HS (buiten scope)</t>
  </si>
  <si>
    <t>Blindvermogen betrekken HS (buiten scope)</t>
  </si>
  <si>
    <t>Oplossen transportbeperkingen HS (buiten scope)</t>
  </si>
  <si>
    <t>ACM/UIT/505474</t>
  </si>
  <si>
    <t>Ja</t>
  </si>
  <si>
    <t xml:space="preserve">Op dit tabblad berekent de ACM de bijschating van kapitaalkosten van activa geactiveerd vanaf 2020 (bijschatten). De hoogte van de bijschatting en de daaruit volgende GAW en afschrijvingen worden berekend in het GAW model. De kapitaalkosten bestaan uit de afschrijvingen en de vermogenskosten. De vermogenskosten worden berekend door de gestandaardiseerde activawaarde (GAW) te vermenigvuldigen met de gewogen gemiddelde kosten van kapitaal (WACC). </t>
  </si>
  <si>
    <t>Theta beginjaar reguleringsperiode</t>
  </si>
  <si>
    <t>jaren</t>
  </si>
  <si>
    <t>Resterende ingroeiperiode bij aanvang reguleringsperiode</t>
  </si>
  <si>
    <t xml:space="preserve">Verwachte operationele kosten HS binnen scope </t>
  </si>
  <si>
    <t>Uitkomst projectspecifieke doelmatigheidstoets</t>
  </si>
  <si>
    <t>Directe algemene operationele kosten EHS</t>
  </si>
  <si>
    <t>Directe algemene operationele kosten EHS (buiten scope)</t>
  </si>
  <si>
    <t>Directe algemene operationele kosten HS</t>
  </si>
  <si>
    <t>Directe algemene operationele kosten HS (buiten scope)</t>
  </si>
  <si>
    <t>Indirecte algemene operationele kosten TenneT</t>
  </si>
  <si>
    <t>GAW activa bijschatten vanaf 2021 EHS binnen scope</t>
  </si>
  <si>
    <t>GAW activa bijschatten vanaf 2021 EHS buiten scope</t>
  </si>
  <si>
    <t>Afschrijvingen activa bijschatten vanaf 2021 EHS buiten scope</t>
  </si>
  <si>
    <t>Afschrijvingen activa bijschatten vanaf 2021 EHS binnen scope</t>
  </si>
  <si>
    <t>Afschrijvingen activa bijschatten vanaf 2021 HS binnen scope</t>
  </si>
  <si>
    <t>GAW activa bijschatten vanaf 2021 HS binnen scope</t>
  </si>
  <si>
    <t>Afschrijvingen activa bijschatten vanaf 2021 HS buiten scope</t>
  </si>
  <si>
    <t>GAW activa bijschatten vanaf 2021 HS buiten scope</t>
  </si>
  <si>
    <t>1+ discontovoet van pp 2022 naar pp jaar</t>
  </si>
  <si>
    <t>1- FS</t>
  </si>
  <si>
    <t>Verwachte efficiënte kosten voor alle netvlakken</t>
  </si>
  <si>
    <t>Berekening kapitaalkosten doorrollen HS</t>
  </si>
  <si>
    <t>Marge</t>
  </si>
  <si>
    <t>Statische efficiëntiescore</t>
  </si>
  <si>
    <t>Statische efficiëntie</t>
  </si>
  <si>
    <t>Parameters ten behoeve van berekening vergoeding Cobra-kabel</t>
  </si>
  <si>
    <t>Uitkomst projectspecifieke doelmatigheidstoets Cobra-kabel</t>
  </si>
  <si>
    <t>Vergoeding operationele kosten na ingebruikname Cobra-kabel</t>
  </si>
  <si>
    <t>OPEX na ingebruikname voor Cobra-kabel onshore</t>
  </si>
  <si>
    <t>OPEX na ingebruikname voor Cobra-kabel offshore</t>
  </si>
  <si>
    <t>Waarde activa per IBN incl. afloopinvesteringen Cobra-kabel onshore (excl. subsidie)</t>
  </si>
  <si>
    <t>Waarde activa per IBN incl. afloopinvesteringen Cobra-kabel offshore (excl. subsidie)</t>
  </si>
  <si>
    <t>Cumulatieve vermogenskosten Cobra-kabel totaal</t>
  </si>
  <si>
    <t>Cumulatieve vermogenskosten Cobra-kabel offshore</t>
  </si>
  <si>
    <t>Afschrijvingen activa geactiveerd t/m 2020  EHS buiten scope excl. Cobra-kabel</t>
  </si>
  <si>
    <t>Vermogenskosten doorrollen EHS buiten scope excl. Cobra-kabel</t>
  </si>
  <si>
    <t>Kapitaalkosten doorrollen EHS buiten scope excl. Cobra-kabel</t>
  </si>
  <si>
    <t>GAW activa doorrollen t/m 2020 buiten scope EHS excl. Cobra-kabel</t>
  </si>
  <si>
    <t>Algemene operationele kosten Cobra-kabel onshore (buiten scope)</t>
  </si>
  <si>
    <t>Algemene operationele kosten Cobra-kabel offshore (buiten scope)</t>
  </si>
  <si>
    <t>Verwachte operationele kosten EHS buiten scope excl. Cobra-kabel</t>
  </si>
  <si>
    <t>Verwachte operationele kosten EHS buiten scope Cobra-kabel</t>
  </si>
  <si>
    <t>Verwachte kosten EHS buiten scope excl. Cobra-kabel</t>
  </si>
  <si>
    <t>Verwachte efficiënte kosten EHS Cobra-kabel</t>
  </si>
  <si>
    <t>Efficiënte kapitaalkosten doorrollen EHS buiten scope Cobra-kabel</t>
  </si>
  <si>
    <t>Verwachte efficiënte kosten EHS buiten scope Cobra-kabel</t>
  </si>
  <si>
    <t>Verwachte efficiënte kosten EHS excl. Cobra-kabel</t>
  </si>
  <si>
    <t>Tabel 2 - Reguleringsparameters</t>
  </si>
  <si>
    <t>Verwachte verandering OPEX a.g.v. uitbreiding/krimp van de netomvang: % van verandering aanschafwaarden</t>
  </si>
  <si>
    <t>Verwachte verandering OPEX a.g.v. uitbreiding/krimp van de netomvang</t>
  </si>
  <si>
    <t xml:space="preserve">Directe algemene operationele kosten HS </t>
  </si>
  <si>
    <t>Op dit tabblad voert de ACM berekeningen op de CPI, de frontier shift, de nominale WACC en de thèta uit, zodat deze toegepast kunnen worden in de berekening van de verwachte efficiënte kosten. In de tariefregulering is de WACC de schatting van de vermogenskostenvoet. Daarom gebruikt de ACM de WACC als disconteringsvoet voor de verschillen. De ACM gebruikt de nominale WACC omdat deze WACC ook een inflatievergoeding voor vermogensverschaffers bevat.</t>
  </si>
  <si>
    <t>Tabel 7 - Berekening verwachte kapitaalkosten bijschatten</t>
  </si>
  <si>
    <t>Toerekening directe algemene operationele kosten aan binnen of buiten scope</t>
  </si>
  <si>
    <t>Berekening verwachte operationele kosten EHS</t>
  </si>
  <si>
    <t>Reële aanschafwaarden</t>
  </si>
  <si>
    <t>Berekening verwachte operationele kosten HS</t>
  </si>
  <si>
    <t>Methodebesluit 2017-2021</t>
  </si>
  <si>
    <t>CBS</t>
  </si>
  <si>
    <t>CBS Statline Jaarmutatie consumentenprijsindex</t>
  </si>
  <si>
    <t>Op dit tabblad berekent de ACM de kapitaalkosten van activa geactiveerd tot en met 2020 (doorrollen). De kapitaalkosten bestaan uit de afschrijvingen en de vermogenskosten. De vermogenskosten worden berekend door de gestandardiseerde activawaarde (GAW) te vermenigvuldigen met de gewogen gemiddelde kosten van kapitaal (WACC). Bij het bepalen van de efficiënte kapitaalkosten van de Cobra-kabel past de ACM het percentage uit de projectspecifieke doelmatigheidstoets toe.</t>
  </si>
  <si>
    <t>Verwachte kapitaalkosten bijschatten</t>
  </si>
  <si>
    <t>Verwachte vermogenskosten</t>
  </si>
  <si>
    <t>Verwachte vermogenskosten bijschatten EHS binnen scope</t>
  </si>
  <si>
    <t>Verwachte vermogenskosten bijschatten EHS buiten scope</t>
  </si>
  <si>
    <t>Berekening verwachte kapitaalkosten bijschatten EHS</t>
  </si>
  <si>
    <t>Berekening verwachte kapitaalkosten bijschatten HS</t>
  </si>
  <si>
    <t>Verwachte vermogenskosten bijschatten HS binnen scope</t>
  </si>
  <si>
    <t>Verwachte vermogenskosten bijschatten HS buiten scope</t>
  </si>
  <si>
    <t>Gewijzigd Methodebesluit Transporttaken TenneT 2017-2021</t>
  </si>
  <si>
    <t>Verwachte operationele kosten wegens het in stand houden van het net EHS</t>
  </si>
  <si>
    <t>Verwachte verandering operationele kosten a.g.v. veranderende netomvang EHS</t>
  </si>
  <si>
    <t>Verwachte operationele kosten EHS</t>
  </si>
  <si>
    <t>Verwachte operationele kosten wegens het in stand houden van het net HS</t>
  </si>
  <si>
    <t>Verwachte verandering operationele kosten a.g.v. veranderende netomvang HS</t>
  </si>
  <si>
    <t>Verwachte operationele kosten HS</t>
  </si>
  <si>
    <t xml:space="preserve">Verwachte efficiënte kosten EHS </t>
  </si>
  <si>
    <t>Totale verwachte efficiënte kosten EHS</t>
  </si>
  <si>
    <t>Totale verwachte efficiënte kosten HS</t>
  </si>
  <si>
    <t>Toegestane inkomsten EHS</t>
  </si>
  <si>
    <t>Toegestane inkomsten HS</t>
  </si>
  <si>
    <t>Begininkomsten EHS</t>
  </si>
  <si>
    <t>Begininkomsten HS</t>
  </si>
  <si>
    <t>Berekening begininkomsten en toegestane inkomsten per netvlak</t>
  </si>
  <si>
    <t xml:space="preserve">Directe algemene operationele kosten excl. kosten voor Cobra-kabel </t>
  </si>
  <si>
    <t>Directe algemene operationele kosten</t>
  </si>
  <si>
    <t>Aanvulling reguleringsdata TenneT 2018-2019, tab 2A. Algemene OPEX 2018, cel N54; Aanvulling reguleringsdata TenneT 2018-2019, tab 2A. Algemene OPEX 2019, cel N54; Reguleringsdata TenneT 2020, tab 2A, cel N54</t>
  </si>
  <si>
    <t>Aanvulling reguleringsdata TenneT 2018-2019, tab 2A. Algemene OPEX 2018, cel L54; Aanvulling reguleringsdata TenneT 2018-2019, tab 2A. Algemene OPEX 2019, cel L54; Reguleringsdata TenneT 2020, tab 2A, cel L54</t>
  </si>
  <si>
    <t>Aanvulling reguleringsdata TenneT 2018-2019, tab 2A. Algemene OPEX 2018, cel L31; Aanvulling reguleringsdata TenneT 2018-2019, tab 2A. Algemene OPEX 2019, cel L31; Reguleringsdata TenneT 2020, tab 2A, cel L31</t>
  </si>
  <si>
    <t>Aanvulling reguleringsdata TenneT 2018-2019, tab 2A. Algemene OPEX 2018, cel N33; Aanvulling reguleringsdata TenneT 2018-2019, tab 2A. Algemene OPEX 2019, cel N33; Reguleringsdata TenneT 2020, tab 2A, cel N33</t>
  </si>
  <si>
    <t xml:space="preserve">Aanvulling reguleringsdata TenneT 2018-2019, tab 2A. Algemene OPEX 2018, som van cellen J23 en J36 t/m J42; Aanvulling reguleringsdata TenneT 2018-2019, tab 2A. Algemene OPEX 2019, som van cellen J23 en J36 t/m J42; Reguleringsdata TenneT 2020, tab 2A, som van cellen J23 en J36 t/m J42 </t>
  </si>
  <si>
    <t>Aanvulling reguleringsdata TenneT 2018-2019, tab 2A. Algemene OPEX 2018, som van cellen J45 t/m J48, J50 en J51; Aanvulling reguleringsdata TenneT 2018-2019, tab 2A. Algemene OPEX 2019, som van cellen J45 t/m J48, J50 en J51; Reguleringsdata TenneT 2020, tab 2A, som van cellen J45 t/m J48, J50 en J51</t>
  </si>
  <si>
    <t>Aanvulling reguleringsdata TenneT 2018-2019, tab 2A. Algemene OPEX 2018, cel J26; Aanvulling reguleringsdata TenneT 2018-2019, tab 2A. Algemene OPEX 2019, cel J26; Reguleringsdata TenneT 2020, tab 2A, cel J26</t>
  </si>
  <si>
    <t>Precario</t>
  </si>
  <si>
    <t>Kosten bedrijfsvoering NorNed-kabel</t>
  </si>
  <si>
    <t>Onderhouds- en exploitatiekosten transportnetten: Landowner compensation, right-of-way and easement fees</t>
  </si>
  <si>
    <t>Huisvestingskosten: Rent/lease main office building</t>
  </si>
  <si>
    <t>Grondslagendocument RD2020, p.30</t>
  </si>
  <si>
    <t>Grondslagendocument RD2020, p.29</t>
  </si>
  <si>
    <t>Directe algemene operationele kosten EHS excl. Cobra-kabel en kosten (opbrengsten) InterTSO Compensation</t>
  </si>
  <si>
    <t xml:space="preserve">Directe algemene operationele kosten EHS buiten scope excl. Cobra-kabel </t>
  </si>
  <si>
    <t>Directe algemene operationele kosten HS excl. inkoopkosten naastgelegen netten</t>
  </si>
  <si>
    <t>Directe algemene operationele kosten HS buiten scope</t>
  </si>
  <si>
    <t>Directe algemene operationele kosten HS binnen scope</t>
  </si>
  <si>
    <t xml:space="preserve">Directe algemene operationele kosten EHS binnen scope </t>
  </si>
  <si>
    <t>Indirecte algemene operationele kosten EHS buiten scope</t>
  </si>
  <si>
    <t>Indirecte algemene operationele kosten HS buiten scope</t>
  </si>
  <si>
    <t>Percentage indirecte algemene operationele kosten toegewezen aan EHS op basis van verdeelsleutel 2</t>
  </si>
  <si>
    <t>Percentage indirecte algemene operationele kosten toegewezen aan EHS op basis van verdeelsleutel 3</t>
  </si>
  <si>
    <t>Percentage indirecte algemene operationele kosten toegewezen aan EHS op basis van verdeelsleutel 4</t>
  </si>
  <si>
    <t>Percentage indirecte algemene operationele kosten toegewezen aan HS op basis van verdeelsleutel 2</t>
  </si>
  <si>
    <t>Percentage indirecte algemene operationele kosten toegewezen aan HS op basis van verdeelsleutel 3</t>
  </si>
  <si>
    <t>Percentage indirecte algemene operationele kosten toegewezen aan HS op basis van verdeelsleutel 4</t>
  </si>
  <si>
    <t>Verdeelsleutels indirecte algemene operationele kosten 2020</t>
  </si>
  <si>
    <t>Reguleringsdata TenneT 2020</t>
  </si>
  <si>
    <t>Aanvulling reguleringsdata TenneT 2018-2019</t>
  </si>
  <si>
    <t>Invulmodule reguleringsdata TenneT - Aanvulling 2018-2019</t>
  </si>
  <si>
    <t>Invulmodule reguleringsdata TenneT 2020</t>
  </si>
  <si>
    <t>Grondslagendocument RD2020</t>
  </si>
  <si>
    <t>Grondslagendocument bij CODATA-verzoek Reguleringsdata TenneT TSO B.V. 2020</t>
  </si>
  <si>
    <t>Indirecte algemene operationele kosten TenneT toebedeeld op basis van verdeelsleutel 2</t>
  </si>
  <si>
    <t>Indirecte algemene operationele kosten TenneT toebedeeld op basis van verdeelsleutel 3</t>
  </si>
  <si>
    <t>Indirecte algemene operationele kosten TenneT toebedeeld op basis van verdeelsleutel 4</t>
  </si>
  <si>
    <t xml:space="preserve">Op dit tabblad geeft de ACM een overzicht van de relevante reguleringsparameters voor de reguleringsperiode 2022-2026, te weten: WACC, CPI, de statische efficiëntiescore, frontier shift, verwachte verandering opex als gevolg van uitbreiding/krimp van de netomvang, enkele parameters ten behoeve van de berekening van de vergoeding Cobra-kabel en de verdeelsleutels voor de indirecte algemene operationele kosten. Aan de hand van deze reguleringsparameters berekent de ACM de verwachte efficiënte kosten van TenneT voor de jaren 2022 t/m 2026 en uiteindelijk de x-factor. </t>
  </si>
  <si>
    <t>Op dit tabblad berekent de ACM de verwachte operationele kosten van TenneT. De ACM schat de operationele kosten voor ieder jaar van de reguleringsperiode op basis van de gerealiseerde algemene operationele kosten exclusief Cobra-kabel en inkoopkosten energie &amp; vermogen in de jaren 2018 t/m 2020, een vast percentage voor de operationele kosten van het efficiënte investeringsbedrag (inclusief bouwrente) van de Cobra-kabel en een verandering als gevolg van de veranderende netomvang. Hierbij worden de gerealiseerde indirecte algemene operationele kosten in de jaren 2018 t/m 2020 op basis van de verdeelsleutels 2020 toebedeeld aan het EHS/HS net.</t>
  </si>
  <si>
    <t>Investeringswaarden Cobra-kabel</t>
  </si>
  <si>
    <t>Invulmodule RD OPEX buiten scope, tab 1A, cel L21; Invulmodule RD OPEX buiten scope, tab 1B, cel L21; Invulmodule RD OPEX buiten scope, tab 1C, cel L21</t>
  </si>
  <si>
    <t>Invulmodule RD OPEX buiten scope, tab 1A, cel N21; Invulmodule RD OPEX buiten scope, tab 1B, cel N21; Invulmodule RD OPEX buiten scope, tab 1C, cel N21</t>
  </si>
  <si>
    <t>Invulmodule RD OPEX buiten scope, tab 1A, cel L26; Invulmodule RD OPEX buiten scope, tab 1B, cel L26; Invulmodule RD OPEX buiten scope, tab 1C, cel L26</t>
  </si>
  <si>
    <t>Invulmodule RD OPEX buiten scope, tab 1A, cel L27; Invulmodule RD OPEX buiten scope, tab 1B, cel L27; Invulmodule RD OPEX buiten scope, tab 1C, cel L27</t>
  </si>
  <si>
    <t>Invulmodule RD OPEX buiten scope, tab 1A, cel L29; Invulmodule RD OPEX buiten scope, tab 1B, cel L29; Invulmodule RD OPEX buiten scope, tab 1C, cel L29</t>
  </si>
  <si>
    <t>Invulmodule RD OPEX buiten scope, tab 1A, cel N26; Invulmodule RD OPEX buiten scope, tab 1B, cel N26; Invulmodule RD OPEX buiten scope, tab 1C, cel N26</t>
  </si>
  <si>
    <t>Invulmodule RD OPEX buiten scope, tab 1A, cel N27; Invulmodule RD OPEX buiten scope, tab 1B, cel N27; Invulmodule RD OPEX buiten scope, tab 1C, cel N27</t>
  </si>
  <si>
    <t>Invulmodule RD OPEX buiten scope</t>
  </si>
  <si>
    <t>Om de begininkomsten te bepalen, gebruikt de ACM de invoegtoepassing 'Oplosser'. Een expliciete berekening voor de begininkomsten 2021 modelleren in het x-factormodel is namelijk onevenredig complex. Voor meer toelichting hierbij, zie het tabblad 'Bronnen en toepassingen'.
De ACM verdeelt de begininkomsten naar rato over de netvlakken. Dit doet zij op basis van het aandeel van de totale verwachte efficiënte kosten EHS en HS in de totale verwachte efficiënte kosten.</t>
  </si>
  <si>
    <t xml:space="preserve">Indirecte algemene operationele kosten TenneT </t>
  </si>
  <si>
    <t>Onderhouds- en exploitatiekosten transportnetten: Non-grid insurance voor I buiten scope</t>
  </si>
  <si>
    <t>Personnel expenses voor I buiten scope</t>
  </si>
  <si>
    <t>Overige bedrijfskosten: Taxes and levies</t>
  </si>
  <si>
    <t>Other expenses voor I buiten scope</t>
  </si>
  <si>
    <t>Invulmodule RD OPEX buiten scope, tab 1A, cel M21; Invulmodule RD OPEX buiten scope, tab 1B, cel M21; Invulmodule RD OPEX buiten scope, tab 1C, cel M21</t>
  </si>
  <si>
    <t>Invulmodule RD OPEX buiten scope, tab 1A, cel M23; Invulmodule RD OPEX buiten scope, tab 1B, cel M23; Invulmodule RD OPEX buiten scope, tab 1C, cel M23</t>
  </si>
  <si>
    <t>Invulmodule RD OPEX buiten scope, tab 1A, cel M41; Invulmodule RD OPEX buiten scope, tab 1B, cel M41; Invulmodule RD OPEX buiten scope, tab 1C, cel M41</t>
  </si>
  <si>
    <t>Invulmodule RD OPEX buiten scope, tab 1A, cel M45; Invulmodule RD OPEX buiten scope, tab 1B, cel M45; Invulmodule RD OPEX buiten scope, tab 1C, cel M45</t>
  </si>
  <si>
    <t>Invulmodule RD OPEX buiten scope, tab 1A, cel M52; Invulmodule RD OPEX buiten scope, tab 1B, cel M52; Invulmodule RD OPEX buiten scope, tab 1C, cel M52</t>
  </si>
  <si>
    <t>Invulmodule RD OPEX buiten scope, tab 1A, cel M54; Invulmodule RD OPEX buiten scope, tab 1B, cel M54; Invulmodule RD OPEX buiten scope, tab 1C, cel M54</t>
  </si>
  <si>
    <t>Invulmodule RD OPEX buiten scope, tab 1A, cel O21; Invulmodule RD OPEX buiten scope, tab 1B, cel O21; Invulmodule RD OPEX buiten scope, tab 1C, cel O21</t>
  </si>
  <si>
    <t>Invulmodule RD OPEX buiten scope, tab 1A, cel O23; Invulmodule RD OPEX buiten scope, tab 1B, cel O23; Invulmodule RD OPEX buiten scope, tab 1C, cel O23</t>
  </si>
  <si>
    <t>Invulmodule RD OPEX buiten scope, tab 1A, cel O41; Invulmodule RD OPEX buiten scope, tab 1B, cel O41; Invulmodule RD OPEX buiten scope, tab 1C, cel O41</t>
  </si>
  <si>
    <t>Invulmodule RD OPEX buiten scope, tab 1A, cel O45; Invulmodule RD OPEX buiten scope, tab 1B, cel O45; Invulmodule RD OPEX buiten scope, tab 1C, cel O45</t>
  </si>
  <si>
    <t>Invulmodule RD OPEX buiten scope, tab 1A, cel O52; Invulmodule RD OPEX buiten scope, tab 1B, cel O52; Invulmodule RD OPEX buiten scope, tab 1C, cel O52</t>
  </si>
  <si>
    <t>Invulmodule RD OPEX buiten scope, tab 1A, cel O54; Invulmodule RD OPEX buiten scope, tab 1B, cel O54; Invulmodule RD OPEX buiten scope, tab 1C, cel O54</t>
  </si>
  <si>
    <t>Onderzoekskosten</t>
  </si>
  <si>
    <t>ACM toezicht</t>
  </si>
  <si>
    <t>Invulmodule RD OPEX buiten scope, tab 1A, cel M48; Invulmodule RD OPEX buiten scope, tab 1B, cel M48; Invulmodule RD OPEX buiten scope, tab 1C, cel M48</t>
  </si>
  <si>
    <t>Invulmodule RD OPEX buiten scope, tab 1A, cel M50; Invulmodule RD OPEX buiten scope, tab 1B, cel M50; Invulmodule RD OPEX buiten scope, tab 1C, cel M50</t>
  </si>
  <si>
    <t>Invulmodule RD OPEX buiten scope, tab 1A, cel O50; Invulmodule RD OPEX buiten scope, tab 1B, cel O50; Invulmodule RD OPEX buiten scope, tab 1C, cel O50</t>
  </si>
  <si>
    <t>Indirecte algemene operationele kosten toegewezen aan HS o.b.v. originele verdeelsleutel buiten scope</t>
  </si>
  <si>
    <t>Indirecte algemene operationele kosten toegewezen aan EHS o.b.v. originele verdeelsleutel buiten scope</t>
  </si>
  <si>
    <t>Indirecte algemene operationele kosten EHS binnen scope</t>
  </si>
  <si>
    <t>Reële aanschafwaarde bijgeschatte investeringen 2021 EHS binnen scope</t>
  </si>
  <si>
    <t>Reële aanschafwaarde bijgeschatte investeringen 2022 EHS binnen scope</t>
  </si>
  <si>
    <t>Reële aanschafwaarde bijgeschatte investeringen 2023 EHS binnen scope</t>
  </si>
  <si>
    <t>Reële aanschafwaarde bijgeschatte investeringen 2024 EHS binnen scope</t>
  </si>
  <si>
    <t>Reële aanschafwaarde bijgeschatte investeringen 2025 EHS binnen scope</t>
  </si>
  <si>
    <t>Reële aanschafwaarde bijgeschatte investeringen 2026 EHS binnen scope</t>
  </si>
  <si>
    <t xml:space="preserve">Reële aanschafwaarde bijgeschatte investeringen 2021 EHS buiten scope </t>
  </si>
  <si>
    <t xml:space="preserve">Reële aanschafwaarde bijgeschatte investeringen 2022 EHS buiten scope </t>
  </si>
  <si>
    <t xml:space="preserve">Reële aanschafwaarde bijgeschatte investeringen 2023 EHS buiten scope </t>
  </si>
  <si>
    <t xml:space="preserve">Reële aanschafwaarde bijgeschatte investeringen 2024 EHS buiten scope </t>
  </si>
  <si>
    <t xml:space="preserve">Reële aanschafwaarde bijgeschatte investeringen 2025 EHS buiten scope </t>
  </si>
  <si>
    <t xml:space="preserve">Reële aanschafwaarde bijgeschatte investeringen 2026 EHS buiten scope </t>
  </si>
  <si>
    <t>Reële aanschafwaarde bijgeschatte investeringen 2021 HS binnen scope</t>
  </si>
  <si>
    <t>Reële aanschafwaarde bijgeschatte investeringen 2022 HS binnen scope</t>
  </si>
  <si>
    <t>Reële aanschafwaarde bijgeschatte investeringen 2023 HS binnen scope</t>
  </si>
  <si>
    <t>Reële aanschafwaarde bijgeschatte investeringen 2024 HS binnen scope</t>
  </si>
  <si>
    <t>Reële aanschafwaarde bijgeschatte investeringen 2025 HS binnen scope</t>
  </si>
  <si>
    <t>Reële aanschafwaarde bijgeschatte investeringen 2026 HS binnen scope</t>
  </si>
  <si>
    <t xml:space="preserve">Reële aanschafwaarde bijgeschatte investeringen 2021 HS buiten scope </t>
  </si>
  <si>
    <t xml:space="preserve">Reële aanschafwaarde bijgeschatte investeringen 2022 HS buiten scope </t>
  </si>
  <si>
    <t xml:space="preserve">Reële aanschafwaarde bijgeschatte investeringen 2023 HS buiten scope </t>
  </si>
  <si>
    <t xml:space="preserve">Reële aanschafwaarde bijgeschatte investeringen 2024 HS buiten scope </t>
  </si>
  <si>
    <t xml:space="preserve">Reële aanschafwaarde bijgeschatte investeringen 2025 HS buiten scope </t>
  </si>
  <si>
    <t xml:space="preserve">Reële aanschafwaarde bijgeschatte investeringen 2026 HS buiten scope </t>
  </si>
  <si>
    <t>Reële aanschafwaarde nog niet volledig afgeschreven activa in 2020 EHS binnen scope</t>
  </si>
  <si>
    <t>Reële aanschafwaarde nog niet volledig afgeschreven activa in 2020 EHS buiten scope excl. Cobra-kabel</t>
  </si>
  <si>
    <t>Reële aanschafwaarde nog niet volledig afgeschreven activa in 2020 HS binnen scope</t>
  </si>
  <si>
    <t xml:space="preserve">Reële aanschafwaarde nog niet volledig afgeschreven activa in 2020 HS buiten scope </t>
  </si>
  <si>
    <t>Invulmodule RD OPEX buiten scope, tab 1A, cel O48; Invulmodule RD OPEX buiten scope, tab 1B, cel O48; Invulmodule RD OPEX buiten scope, tab 1C, cel O48</t>
  </si>
  <si>
    <t>Invulmodule RD OPEX buiten scope - variant (REG2022)</t>
  </si>
  <si>
    <t>Indirecte algemene operationele kosten EHS o.b.v. originele verdeelsleutel buiten scope</t>
  </si>
  <si>
    <t>Indirecte algemene operationele kosten HS o.b.v. originele verdeelsleutel buiten scope</t>
  </si>
  <si>
    <t>Indirecte algemene operationele kosten HS binnen scope</t>
  </si>
  <si>
    <t>Verandering operationele kosten door bijgeschatte investeringen in 2021 EHS binnen scope</t>
  </si>
  <si>
    <t>Verandering operationele kosten door bijgeschatte investeringen in 2022 EHS binnen scope</t>
  </si>
  <si>
    <t>Verandering operationele kosten door bijgeschatte investeringen in 2023 EHS binnen scope</t>
  </si>
  <si>
    <t>Verandering operationele kosten door bijgeschatte investeringen in 2024 EHS binnen scope</t>
  </si>
  <si>
    <t>Verandering operationele kosten door bijgeschatte investeringen in 2025 EHS binnen scope</t>
  </si>
  <si>
    <t>Verandering operationele kosten door bijgeschatte investeringen in 2026 EHS binnen scope</t>
  </si>
  <si>
    <t>Verandering operationele kosten door bijgeschatte investeringen in 2021 EHS buiten scope</t>
  </si>
  <si>
    <t>Verandering operationele kosten door bijgeschatte investeringen in 2022 EHS buiten scope</t>
  </si>
  <si>
    <t>Verandering operationele kosten door bijgeschatte investeringen in 2023 EHS buiten scope</t>
  </si>
  <si>
    <t>Verandering operationele kosten door bijgeschatte investeringen in 2024 EHS buiten scope</t>
  </si>
  <si>
    <t>Verandering operationele kosten door bijgeschatte investeringen in 2025 EHS buiten scope</t>
  </si>
  <si>
    <t>Verandering operationele kosten door bijgeschatte investeringen in 2026 EHS buiten scope</t>
  </si>
  <si>
    <t>Verandering door verandering in aanschafwaarden ten opzichte van gemiddelde 2018-2020 binnen scope</t>
  </si>
  <si>
    <t>Verandering door verandering in aanschafwaarden ten opzichte van gemiddelde 2018-2020 buiten scope</t>
  </si>
  <si>
    <t>1+CPI van 2021 naar jaar</t>
  </si>
  <si>
    <t>1+CPI van 2022 naar jaar</t>
  </si>
  <si>
    <t>1+CPI van 2023 naar jaar</t>
  </si>
  <si>
    <t>1+CPI van 2024 naar jaar</t>
  </si>
  <si>
    <t>1+CPI van 2025 naar jaar</t>
  </si>
  <si>
    <t>1+CPI van 2026 naar jaar</t>
  </si>
  <si>
    <t>1-FS van 2021 naar jaar</t>
  </si>
  <si>
    <t>1-FS van 2022 naar jaar</t>
  </si>
  <si>
    <t>1-FS van 2023 naar jaar</t>
  </si>
  <si>
    <t>1-FS van 2024 naar jaar</t>
  </si>
  <si>
    <t>1-FS van 2025 naar jaar</t>
  </si>
  <si>
    <t>1-FS van 2026 naar jaar</t>
  </si>
  <si>
    <t>Verwachte verandering OPEX a.g.v. uitbreiding/krimp van de netomvang: % van verandering aanschafwaarde</t>
  </si>
  <si>
    <t>Verandering operationele kosten door bijgeschatte investeringen in 2021 HS binnen scope</t>
  </si>
  <si>
    <t>Verandering operationele kosten door bijgeschatte investeringen in 2022 HS binnen scope</t>
  </si>
  <si>
    <t>Verandering operationele kosten door bijgeschatte investeringen in 2023 HS binnen scope</t>
  </si>
  <si>
    <t>Verandering operationele kosten door bijgeschatte investeringen in 2024 HS binnen scope</t>
  </si>
  <si>
    <t>Verandering operationele kosten door bijgeschatte investeringen in 2025 HS binnen scope</t>
  </si>
  <si>
    <t>Verandering operationele kosten door bijgeschatte investeringen in 2026 HS binnen scope</t>
  </si>
  <si>
    <t>Verandering operationele kosten door bijgeschatte investeringen in 2021 HS buiten scope</t>
  </si>
  <si>
    <t>Verandering operationele kosten door bijgeschatte investeringen in 2022 HS buiten scope</t>
  </si>
  <si>
    <t>Verandering operationele kosten door bijgeschatte investeringen in 2023 HS buiten scope</t>
  </si>
  <si>
    <t>Verandering operationele kosten door bijgeschatte investeringen in 2024 HS buiten scope</t>
  </si>
  <si>
    <t>Verandering operationele kosten door bijgeschatte investeringen in 2025 HS buiten scope</t>
  </si>
  <si>
    <t>Verandering operationele kosten door bijgeschatte investeringen in 2026 HS buiten scope</t>
  </si>
  <si>
    <t>Begininkomsten totaal</t>
  </si>
  <si>
    <t>waarvan: begininkomsten EHS</t>
  </si>
  <si>
    <t>waarvan: begininkomsten HS</t>
  </si>
  <si>
    <t>Reëel-plus WACC bestaand vermogen</t>
  </si>
  <si>
    <t>Reëel-plus WACC nieuw vermogen</t>
  </si>
  <si>
    <t>De indirecte algemene operationele kosten buiten scope worden op basis van de originele verdeelsleutels toebedeeld aan het EHS/HS net, omdat de ACM alleen inzicht heeft in de gerapporteerde kosten op de buiten scope kostensoorten voor het EHS/HS net en niet voor de andere netvlakken. Bij de berekening van de indirecte algemene operationele kosten binnen scope worden de totale indirecte algemene operationele kosten in de jaren 2018 t/m 2020 op basis van de verdeelsleutels 2020 toebedeeld aan het EHS/HS net en worden deze verminderd met de berekende indirecte algemene operationele kosten buiten scope op basis van de originele verdeelsleutels.</t>
  </si>
  <si>
    <t>Afschrijvingen activa geactiveerd t/m 2020 EHS buiten scope Cobra-kabel excl. ARO</t>
  </si>
  <si>
    <t>GAW activa geactiveerd t/m 2020  EHS buiten scope Cobra-kabel excl. ARO</t>
  </si>
  <si>
    <t>Afschrijvingen activa geactiveerd t/m 2020 EHS buiten scope Cobra-kabel ARO</t>
  </si>
  <si>
    <t>GAW activa geactiveerd t/m 2020  EHS buiten scope Cobra-kabel ARO</t>
  </si>
  <si>
    <t>Vermogenskosten doorrollen EHS buiten scope Cobra-kabel excl. ARO</t>
  </si>
  <si>
    <t>Vermogenskosten doorrollen EHS buiten scope Cobra-kabel ARO</t>
  </si>
  <si>
    <t>GAW activa doorrollen t/m 2020 buiten scope EHS Cobra-kabel excl. ARO</t>
  </si>
  <si>
    <t>GAW activa doorrollen t/m 2020 buiten scope EHS Cobra-kabel ARO</t>
  </si>
  <si>
    <t xml:space="preserve">Op dit tabblad geeft de ACM een overzicht van de operationele kosten van TenneT voor de jaren 2018 t/m 2020. Deze zijn de basis voor de verwachte (efficiënte) operationele kosten voor de reguleringsperiode 2022-2026. De operationele kosten kunnen worden opgesplitst in algemene operationele kosten en inkoopkosten energie &amp; vermogen. Binnen de algemene operationele kosten maakt de ACM nog een verder onderscheid tussen directe en indirecte algemene operationele kosten. Daarnaast maakt de ACM een onderscheid tussen operationele kosten binnen- en buiten scope van de benchmarkstudie. </t>
  </si>
  <si>
    <t xml:space="preserve">TenneT gebruikt verschillende verdeelsleutels om de indirecte algemene kosten aan de verschillende segmenten (EHS, HS, systeem, NOZ fase I en NOZ fase II) toe te bedelen. De kosten die met verdeelsleutel 2, ofwel de algemene sleutel uren toebedeeld worden betreffen kosten voor systemen en primaire bedrijfsprocessen en personeelskosten. De kosten die met verdeelsleutel 3, ofwel de algemene sleutel circuitlengte en stations (inclusief toerekening aan systeemtaak en NOZ) toebedeeld worden betreffen kosten voor algemeen beheer. De kosten die met verdeelsleutel 4, ofwel de algemene sleutel circuitlengte en stations (exclusief toerekening aan systeemtaak en NoZ) toebedeeld worden betreffen onderhouds- en exploitatiekosten transportnetten.
De ACM heeft voor enkele bestaande kostensoorten in de reguleringsdata die deels binnen en deels buiten scope van de benchmark vallen, het buiten-scope gedeelte uitgevraagd middels een nieuwe kostensoort. Alle kostensoorten buiten scope, inclusief de nieuw uitgevraagde kostensoorten zijn op dit tabblad opgenomen. De kostensoorten binnen scope worden niet op dit tabblad weergegeven, omdat de ACM hiervoor geen nieuwe kostensoorten uitgevraagd heeft. </t>
  </si>
  <si>
    <t>N.v.t.</t>
  </si>
  <si>
    <t>Door afronding op 1 decimaal tellen de verschillende toewijzingen van indirecte operationele kosten o.b.v. verdeelsleutel 2 samen op tot 100,1%. De ACM vermindert de toewijzing naar het netvlak met de hoogste waarde, zijnde EHS, daarom met 0,1 %-punt zodat de verschillende toewijzingen o.b.v. verdeelsleutel 2 samen optellen tot exact 100%.</t>
  </si>
  <si>
    <t>Deze activawaarde komt niet overeen met de opgave in de RD, welke de activawaarde inclusief subsidie bevat. De waarde exclusief subsidie is relevant voor het OPEX-budget.</t>
  </si>
  <si>
    <t>25 t/m 29</t>
  </si>
  <si>
    <t xml:space="preserve">Dit bestand is bedoeld ter verduidelijking van de berekeningen door ACM. Aan dit bestand kunnen geen rechten worden ontleend. </t>
  </si>
  <si>
    <t>ACM/23/186810</t>
  </si>
  <si>
    <t>Gewijzigd X-factorbesluit en Rekenvoluminabesluit Transporttaken TenneT 2022-2026</t>
  </si>
  <si>
    <t>ACM/UIT/608683</t>
  </si>
  <si>
    <t>Gewijzigd methodebesluit 2022-2026, paragraaf 7.4.1</t>
  </si>
  <si>
    <t>Gewijzigd methodebesluit 2022-2026, paragraaf 7.4.3</t>
  </si>
  <si>
    <r>
      <t xml:space="preserve">2018 t/m 2021: Methodebesluit 2017-2021, paragraaf 8.2.4; 2022 t/m 2026: </t>
    </r>
    <r>
      <rPr>
        <sz val="10"/>
        <color rgb="FFFF0000"/>
        <rFont val="Arial"/>
        <family val="2"/>
      </rPr>
      <t>Gewijzigd methodebesluit 2022-2026</t>
    </r>
    <r>
      <rPr>
        <sz val="10"/>
        <rFont val="Arial"/>
        <family val="2"/>
      </rPr>
      <t>, paragraaf 7.4.4</t>
    </r>
  </si>
  <si>
    <t>Niet meer van toepassing vanwege uitspraak CBb</t>
  </si>
  <si>
    <t>Gewijzigd vanwege uitspraak CBb</t>
  </si>
  <si>
    <t>CBb uitspraak</t>
  </si>
  <si>
    <t>Uitspraak van het College van Beroep voor het bedrijfsleven 4 juli 2023, ECLI:NL:CBB:2023:319</t>
  </si>
  <si>
    <t>De roze gemarkeerde cellen bevatten gewijzigde input ten opzichte van de X-factorberekening Transporttaken TenneT 2022-2026 behorende bij het methodebesluit van 16 september 2021 (zie ook tab 'Toelichting')</t>
  </si>
  <si>
    <t>Gewijzigd methodebesluit 2022-2026</t>
  </si>
  <si>
    <t>Gewijzigd methodebesluit Transporttaken TenneT 2022-2026</t>
  </si>
  <si>
    <t>2018 t/m 2021: CBS; 2022 t/m 2026: Gewijzigd methodebesluit 2022-2026, paragraaf 7.4.2</t>
  </si>
  <si>
    <t>Gewijzigd methodebesluit 2022-2026, paragraaf 7.3.3</t>
  </si>
  <si>
    <t>ACM/UIT/600678</t>
  </si>
  <si>
    <t>Gewijzigde GAW-berekening TenneT</t>
  </si>
  <si>
    <t>Tabel 3 - Input uit het Gewijzigde GAW model</t>
  </si>
  <si>
    <t>Gewijzigde GAW-berekening TenneT, tabel 2, cellen  L15:P15</t>
  </si>
  <si>
    <t>Gewijzigde GAW-berekening TenneT, tabel 2, cellen  L16:P16</t>
  </si>
  <si>
    <t>Gewijzigde GAW-berekening TenneT, tabel 2, cellen  L17:P17</t>
  </si>
  <si>
    <t>Gewijzigde GAW-berekening TenneT, tabel 2, cellen  L18:P18</t>
  </si>
  <si>
    <t>Gewijzigde GAW-berekening TenneT, tabel 2, cellen  L19:P19</t>
  </si>
  <si>
    <t>Gewijzigde GAW-berekening TenneT, tabel 2, cellen  L20:P20</t>
  </si>
  <si>
    <t>Gewijzigde GAW-berekening TenneT, tabel 2, cellen  L21:P21</t>
  </si>
  <si>
    <t>Gewijzigde GAW-berekening TenneT, tabel 2, cellen  L22:P22</t>
  </si>
  <si>
    <t>Gewijzigde GAW-berekening TenneT, tabel 2, cellen  L26:P26</t>
  </si>
  <si>
    <t>Gewijzigde GAW-berekening TenneT, tabel 2, cellen  L27:P27</t>
  </si>
  <si>
    <t>Gewijzigde GAW-berekening TenneT, tabel 2, cellen  L28:P28</t>
  </si>
  <si>
    <t>Gewijzigde GAW-berekening TenneT, tabel 2, cellen  L29:P29</t>
  </si>
  <si>
    <t>Gewijzigde GAW-berekening TenneT, tabel 2, cellen  L33:P33</t>
  </si>
  <si>
    <t>Gewijzigde GAW-berekening TenneT, tabel 2, cellen  L34:P34</t>
  </si>
  <si>
    <t>Gewijzigde GAW-berekening TenneT, tabel 2, cellen  L35:P35</t>
  </si>
  <si>
    <t>Gewijzigde GAW-berekening TenneT, tabel 2, cellen  L36:P36</t>
  </si>
  <si>
    <t>Gewijzigde GAW-berekening TenneT, tabel 2, cel J40</t>
  </si>
  <si>
    <t>Gewijzigde GAW-berekening TenneT, tabel 2, cellen  L44:P44</t>
  </si>
  <si>
    <t>Gewijzigde GAW-berekening TenneT, tabel 2, cellen  L45:P45</t>
  </si>
  <si>
    <t>Gewijzigde GAW-berekening TenneT, tabel 2, cellen  L46:P46</t>
  </si>
  <si>
    <t>Gewijzigde GAW-berekening TenneT, tabel 2, cellen  L47:P47</t>
  </si>
  <si>
    <t>Gewijzigde GAW-berekening TenneT, tabel 2, cel J51</t>
  </si>
  <si>
    <t>Gewijzigde GAW-berekening TenneT, tabel 2, cellen  H55:P55</t>
  </si>
  <si>
    <t>Gewijzigde GAW-berekening TenneT, tabel 2, cellen  H56:P56</t>
  </si>
  <si>
    <t>Gewijzigde GAW-berekening TenneT, tabel 2, cellen  H57:P57</t>
  </si>
  <si>
    <t>Gewijzigde GAW-berekening TenneT, tabel 2, cellen  H58:P58</t>
  </si>
  <si>
    <t>Gewijzigde GAW-berekening TenneT, tabel 2, cellen  H59:P59</t>
  </si>
  <si>
    <t>Gewijzigde GAW-berekening TenneT, tabel 2, cellen  H60:P60</t>
  </si>
  <si>
    <t>Gewijzigde GAW-berekening TenneT, tabel 2, cellen  H61:P61</t>
  </si>
  <si>
    <t>Gewijzigde GAW-berekening TenneT, tabel 2, cellen  H63:P63</t>
  </si>
  <si>
    <t>Gewijzigde GAW-berekening TenneT, tabel 2, cellen  H64:P64</t>
  </si>
  <si>
    <t>Gewijzigde GAW-berekening TenneT, tabel 2, cellen  H65:P65</t>
  </si>
  <si>
    <t>Gewijzigde GAW-berekening TenneT, tabel 2, cellen  H66:P66</t>
  </si>
  <si>
    <t>Gewijzigde GAW-berekening TenneT, tabel 2, cellen  H67:P67</t>
  </si>
  <si>
    <t>Gewijzigde GAW-berekening TenneT, tabel 2, cellen  H68:P68</t>
  </si>
  <si>
    <t>Gewijzigde GAW-berekening TenneT, tabel 2, cellen  H69:P69</t>
  </si>
  <si>
    <t>Gewijzigde GAW-berekening TenneT, tabel 2, cellen  H71:P71</t>
  </si>
  <si>
    <t>Gewijzigde GAW-berekening TenneT, tabel 2, cellen  H72:P72</t>
  </si>
  <si>
    <t>Gewijzigde GAW-berekening TenneT, tabel 2, cellen  H73:P73</t>
  </si>
  <si>
    <t>Gewijzigde GAW-berekening TenneT, tabel 2, cellen  H74:P74</t>
  </si>
  <si>
    <t>Gewijzigde GAW-berekening TenneT, tabel 2, cellen  H75:P75</t>
  </si>
  <si>
    <t>Gewijzigde GAW-berekening TenneT, tabel 2, cellen  H76:P76</t>
  </si>
  <si>
    <t>Gewijzigde GAW-berekening TenneT, tabel 2, cellen  H77:P77</t>
  </si>
  <si>
    <t>Gewijzigde GAW-berekening TenneT, tabel 2, cellen  H79:P79</t>
  </si>
  <si>
    <t>Gewijzigde GAW-berekening TenneT, tabel 2, cellen  H80:P80</t>
  </si>
  <si>
    <t>Gewijzigde GAW-berekening TenneT, tabel 2, cellen  H81:P81</t>
  </si>
  <si>
    <t>Gewijzigde GAW-berekening TenneT, tabel 2, cellen  H82:P82</t>
  </si>
  <si>
    <t>Gewijzigde GAW-berekening TenneT, tabel 2, cellen  H83:P83</t>
  </si>
  <si>
    <t>Gewijzigde GAW-berekening TenneT, tabel 2, cellen  H84:P84</t>
  </si>
  <si>
    <t>Gewijzigde GAW-berekening TenneT, tabel 2, cellen  H85:P85</t>
  </si>
  <si>
    <t>De roze gemarkeerde cellen bevatten gewijzigde input ten opzichte van de X-factorberekening Transporttaken TenneT 2022-2026 behorende bij het methodebesluit van 16 september 2021 (zie ook tab 'Toelichting').</t>
  </si>
  <si>
    <t xml:space="preserve">Dit bestand bevat de berekening van de begininkomsten en x-factor voor TenneT voor de periode 2022-2026. De verhouding tussen de begininkomsten 2021 en de eindinkomsten 2026 bepaalt de x-factor. De eindinkomsten zijn gelijk aan de verwachte efficiënte kosten in het jaar 2026. De begininkomsten worden vastgesteld op een bedrag dat zodanig is dat de netto contante waarde van de jaarlijkse toegestane inkomsten die volgen uit de begininkomsten, de x-factor en de verwachte inflatie gelijk is aan de netto contante waarde van de jaarlijkse verwachte efficiënte kosten.
In dit bestand zijn naar aanleiding van een CBb uitspraak op 4 juli 2023 (ECLI:NL:CBB:2023:319) wijzigingen opgenomen ten opzichte van de X-factorberekening Transporttaken TenneT 2022-2026 behorende bij het methodebesluit van 16 september 2021. De wijzigingen naar aanleiding van deze uitspraak zien op de hoogte van de WACC (tabblad 2, cellen L15:P17) en de hoogte van de statische efficiëntieparameter (tabblad 2, cellen F25:F28). Daarnaast heeft de ACM een fout in een inputwaarde uit de reguleringsdata in het GAW-model hersteld. In dit bestand baseert de ACM zich daardoor op gewijzigde inputdata uit het GAW-model (tabblad 3, cellen L28:P29 en J79:P79). Deze cellen zijn roze gemarkeerd.  </t>
  </si>
  <si>
    <t>Gewijzigde GAW-berekening TenneT voor de reguleringsperiode 2022-2026</t>
  </si>
  <si>
    <t>Gewijzigde X-factorberekening Transporttaken TenneT 2022-2026</t>
  </si>
  <si>
    <r>
      <rPr>
        <i/>
        <sz val="10"/>
        <rFont val="Arial"/>
        <family val="2"/>
      </rPr>
      <t>Opmerking TenneT:</t>
    </r>
    <r>
      <rPr>
        <sz val="10"/>
        <rFont val="Arial"/>
        <family val="2"/>
      </rPr>
      <t xml:space="preserve"> Bedrijfsvertrouwelijk</t>
    </r>
  </si>
  <si>
    <t>='4. Operationele kosten'!H26</t>
  </si>
  <si>
    <t>='4. Operationele kosten'!H27</t>
  </si>
  <si>
    <t>='4. Operationele kosten'!H28</t>
  </si>
  <si>
    <t>='4. Operationele kosten'!I26</t>
  </si>
  <si>
    <t>='4. Operationele kosten'!I27</t>
  </si>
  <si>
    <t>='4. Operationele kosten'!I28</t>
  </si>
  <si>
    <t>='4. Operationele kosten'!J26</t>
  </si>
  <si>
    <t>='4. Operationele kosten'!J27</t>
  </si>
  <si>
    <t>='4. Operationele kosten'!J28</t>
  </si>
  <si>
    <t>='4. Operationele kosten'!H42</t>
  </si>
  <si>
    <t>='4. Operationele kosten'!H43</t>
  </si>
  <si>
    <t>='4. Operationele kosten'!H44</t>
  </si>
  <si>
    <t>='4. Operationele kosten'!I42</t>
  </si>
  <si>
    <t>='4. Operationele kosten'!I43</t>
  </si>
  <si>
    <t>='4. Operationele kosten'!I44</t>
  </si>
  <si>
    <t>='4. Operationele kosten'!J42</t>
  </si>
  <si>
    <t>='4. Operationele kosten'!J43</t>
  </si>
  <si>
    <t>='4. Operationele kosten'!J44</t>
  </si>
  <si>
    <t>=GEMIDDELDE($H$63*L$16*L$27;$I$63*L$17*L$28;$J$63*L$18*L$29)</t>
  </si>
  <si>
    <t>=GEMIDDELDE($H$64*L$16*L$27;$I$64*L$17*L$28;$J$64*L$18*L$29)</t>
  </si>
  <si>
    <t>=GEMIDDELDE($H$65*L$16*L$27;$I$65*L$17*L$28;$J$65*L$18*L$29)</t>
  </si>
  <si>
    <t>=GEMIDDELDE($H$63*M$16*M$27;$I$63*M$17*M$28;$J$63*M$18*M$29)</t>
  </si>
  <si>
    <t>=GEMIDDELDE($H$64*M$16*M$27;$I$64*M$17*M$28;$J$64*M$18*M$29)</t>
  </si>
  <si>
    <t>=GEMIDDELDE($H$65*M$16*M$27;$I$65*M$17*M$28;$J$65*M$18*M$29)</t>
  </si>
  <si>
    <t>=GEMIDDELDE($H$63*N$16*N$27;$I$63*N$17*N$28;$J$63*N$18*N$29)</t>
  </si>
  <si>
    <t>=GEMIDDELDE($H$64*N$16*N$27;$I$64*N$17*N$28;$J$64*N$18*N$29)</t>
  </si>
  <si>
    <t>=GEMIDDELDE($H$65*N$16*N$27;$I$65*N$17*N$28;$J$65*N$18*N$29)</t>
  </si>
  <si>
    <t>=GEMIDDELDE($H$63*O$16*O$27;$I$63*O$17*O$28;$J$63*O$18*O$29)</t>
  </si>
  <si>
    <t>=GEMIDDELDE($H$64*O$16*O$27;$I$64*O$17*O$28;$J$64*O$18*O$29)</t>
  </si>
  <si>
    <t>=GEMIDDELDE($H$65*O$16*O$27;$I$65*O$17*O$28;$J$65*O$18*O$29)</t>
  </si>
  <si>
    <t>=GEMIDDELDE($H$63*P$16*P$27;$I$63*P$17*P$28;$J$63*P$18*P$29)</t>
  </si>
  <si>
    <t>=GEMIDDELDE($H$64*P$16*P$27;$I$64*P$17*P$28;$J$64*P$18*P$29)</t>
  </si>
  <si>
    <t>=GEMIDDELDE($H$65*P$16*P$27;$I$65*P$17*P$28;$J$65*P$18*P$29)</t>
  </si>
  <si>
    <t>=GEMIDDELDE($H$77*L$16*L$27;$I$77*L$17*L$28; $J$77*L$18*L$29)</t>
  </si>
  <si>
    <t>=GEMIDDELDE($H$78*L$16*L$27;$I$78*L$17*L$28; $J$78*L$18*L$29)</t>
  </si>
  <si>
    <t>=GEMIDDELDE($H$79*L$16*L$27;$I$79*L$17*L$28; $J$79*L$18*L$29)</t>
  </si>
  <si>
    <t>=GEMIDDELDE($H$77*M$16*M$27;$I$77*M$17*M$28; $J$77*M$18*M$29)</t>
  </si>
  <si>
    <t>=GEMIDDELDE($H$78*M$16*M$27;$I$78*M$17*M$28; $J$78*M$18*M$29)</t>
  </si>
  <si>
    <t>=GEMIDDELDE($H$79*M$16*M$27;$I$79*M$17*M$28; $J$79*M$18*M$29)</t>
  </si>
  <si>
    <t>=GEMIDDELDE($H$77*N$16*N$27;$I$77*N$17*N$28; $J$77*N$18*N$29)</t>
  </si>
  <si>
    <t>=GEMIDDELDE($H$78*N$16*N$27;$I$78*N$17*N$28; $J$78*N$18*N$29)</t>
  </si>
  <si>
    <t>=GEMIDDELDE($H$79*N$16*N$27;$I$79*N$17*N$28; $J$79*N$18*N$29)</t>
  </si>
  <si>
    <t>=GEMIDDELDE($H$77*O$16*O$27;$I$77*O$17*O$28; $J$77*O$18*O$29)</t>
  </si>
  <si>
    <t>=GEMIDDELDE($H$78*O$16*O$27;$I$78*O$17*O$28; $J$78*O$18*O$29)</t>
  </si>
  <si>
    <t>=GEMIDDELDE($H$79*O$16*O$27;$I$79*O$17*O$28; $J$79*O$18*O$29)</t>
  </si>
  <si>
    <t>=GEMIDDELDE($H$77*P$16*P$27;$I$77*P$17*P$28; $J$77*P$18*P$29)</t>
  </si>
  <si>
    <t>=GEMIDDELDE($H$78*P$16*P$27;$I$78*P$17*P$28; $J$78*P$18*P$29)</t>
  </si>
  <si>
    <t>=GEMIDDELDE($H$79*P$16*P$27;$I$79*P$17*P$28; $J$79*P$18*P$29)</t>
  </si>
  <si>
    <t>Nee</t>
  </si>
  <si>
    <t>GAW ultimo 2020 HS</t>
  </si>
  <si>
    <t>Afschrijvingen en GAW HS (bijschatten)</t>
  </si>
  <si>
    <t>GAW ultimo 2020 EHS</t>
  </si>
  <si>
    <t>Afschrijvingen en GAW EHS (bijschatten)</t>
  </si>
  <si>
    <t>Afschrijvingen en GAW EHS (doorrollen)</t>
  </si>
  <si>
    <t>GAW activa geactiveerd t/m 2020  EHS buiten scope excl. Cobra-kabel</t>
  </si>
  <si>
    <t>Afschrijvingen en GAW HS (doorrollen)</t>
  </si>
  <si>
    <t>Op dit tabblad geeft de ACM de GAW-waarden ultimo 2020 weer. Daarnaast toont dit tabblad de GAW en afschrijvingen voor de periode 2022-2026 zoals berekend in het GAW-model op basis van "doorrollen en bijschatten". Voor de bijgeschatte investeringen zijn in dit tabblad de waarden opgenomen voor de jaren 2022 t/m 2026. Deze gegevens zijn afkomstig uit het GAW-model en worden gebruikt voor de berekening van de verwachte kapitaalkosten. Tevens zijn op dit tabblad de reële aanschafwaarden opgenomen. Deze gegevens zijn afkomstig uit het GAW-model en worden gebruikt voor de berekening van de verwachte operationele kosten.</t>
  </si>
  <si>
    <t>GAW activa geactiveerd t/m 2020  HS binnen scope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</si>
</sst>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2" formatCode="_ &quot;€&quot;\ * #,##0_ ;_ &quot;€&quot;\ * \-#,##0_ ;_ &quot;€&quot;\ * &quot;-&quot;_ ;_ @_ "/>
    <numFmt numFmtId="41" formatCode="_ * #,##0_ ;_ * \-#,##0_ ;_ * &quot;-&quot;_ ;_ @_ "/>
    <numFmt numFmtId="44" formatCode="_ &quot;€&quot;\ * #,##0.00_ ;_ &quot;€&quot;\ * \-#,##0.00_ ;_ &quot;€&quot;\ * &quot;-&quot;??_ ;_ @_ "/>
    <numFmt numFmtId="43" formatCode="_ * #,##0.00_ ;_ * \-#,##0.00_ ;_ * &quot;-&quot;??_ ;_ @_ "/>
    <numFmt numFmtId="164" formatCode="_ * #,##0.000_ ;_ * \-#,##0.000_ ;_ * &quot;-&quot;_ ;_ @_ "/>
    <numFmt numFmtId="165" formatCode="_(* #,##0_);_(* \(#,##0\);_(* &quot;-&quot;_);_(@_)"/>
    <numFmt numFmtId="166" formatCode="_(* #,##0.00_);_(* \(#,##0.00\);_(* &quot;-&quot;??_);_(@_)"/>
    <numFmt numFmtId="167" formatCode="0.0%"/>
    <numFmt numFmtId="168" formatCode="_(* #,##0_);_(* \(#,##0\);_(* &quot;-&quot;??_);_(@_)"/>
    <numFmt numFmtId="169" formatCode="_ * #,##0_ ;_ * \-#,##0_ ;_ * &quot;-&quot;??_ ;_ @_ "/>
    <numFmt numFmtId="170" formatCode="_ * #,##0.00000_ ;_ * \-#,##0.00000_ ;_ * &quot;-&quot;_ ;_ @_ "/>
    <numFmt numFmtId="171" formatCode="_ * #,##0.000_ ;_ * \-#,##0.000_ ;_ * &quot;-&quot;???_ ;_ @_ "/>
  </numFmts>
  <fonts count="37">
    <font>
      <sz val="10"/>
      <color theme="1"/>
      <name val="Arial"/>
      <family val="2"/>
    </font>
    <font>
      <sz val="11"/>
      <color theme="1"/>
      <name val="Calibri"/>
      <family val="2"/>
      <scheme val="minor"/>
    </font>
    <font>
      <sz val="11"/>
      <color theme="1"/>
      <name val="Calibri"/>
      <family val="2"/>
      <scheme val="minor"/>
    </font>
    <font>
      <sz val="10"/>
      <color theme="1"/>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0"/>
      <name val="Arial"/>
      <family val="2"/>
    </font>
    <font>
      <b/>
      <sz val="10"/>
      <name val="Arial"/>
      <family val="2"/>
    </font>
    <font>
      <sz val="10"/>
      <name val="Arial"/>
      <family val="2"/>
    </font>
    <font>
      <b/>
      <sz val="14"/>
      <color theme="0"/>
      <name val="Arial"/>
      <family val="2"/>
    </font>
    <font>
      <i/>
      <sz val="10"/>
      <name val="Arial"/>
      <family val="2"/>
    </font>
    <font>
      <b/>
      <sz val="10"/>
      <color rgb="FFFF0000"/>
      <name val="Arial"/>
      <family val="2"/>
    </font>
    <font>
      <sz val="8"/>
      <color indexed="81"/>
      <name val="Tahoma"/>
      <family val="2"/>
    </font>
    <font>
      <sz val="10"/>
      <color indexed="55"/>
      <name val="Arial"/>
      <family val="2"/>
    </font>
    <font>
      <b/>
      <sz val="10"/>
      <color theme="0"/>
      <name val="Arial"/>
      <family val="2"/>
    </font>
    <font>
      <sz val="10"/>
      <color rgb="FFFF0000"/>
      <name val="Arial"/>
      <family val="2"/>
    </font>
    <font>
      <sz val="11"/>
      <color theme="1"/>
      <name val="Calibri"/>
      <family val="2"/>
      <scheme val="minor"/>
    </font>
    <font>
      <sz val="10"/>
      <color rgb="FF3F3F76"/>
      <name val="Arial"/>
      <family val="2"/>
    </font>
    <font>
      <b/>
      <sz val="10"/>
      <color rgb="FF3F3F3F"/>
      <name val="Arial"/>
      <family val="2"/>
    </font>
    <font>
      <b/>
      <sz val="10"/>
      <color rgb="FFFA7D00"/>
      <name val="Arial"/>
      <family val="2"/>
    </font>
    <font>
      <sz val="10"/>
      <color rgb="FFFA7D00"/>
      <name val="Arial"/>
      <family val="2"/>
    </font>
    <font>
      <u/>
      <sz val="11"/>
      <color theme="10"/>
      <name val="Calibri"/>
      <family val="2"/>
      <scheme val="minor"/>
    </font>
    <font>
      <u/>
      <sz val="10"/>
      <color theme="10"/>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i/>
      <sz val="10"/>
      <color rgb="FF7F7F7F"/>
      <name val="Arial"/>
      <family val="2"/>
    </font>
    <font>
      <b/>
      <sz val="10"/>
      <color theme="1"/>
      <name val="Arial"/>
      <family val="2"/>
    </font>
    <font>
      <sz val="10"/>
      <color theme="0"/>
      <name val="Arial"/>
      <family val="2"/>
    </font>
    <font>
      <u/>
      <sz val="11"/>
      <color theme="11"/>
      <name val="Calibri"/>
      <family val="2"/>
      <scheme val="minor"/>
    </font>
    <font>
      <b/>
      <sz val="10"/>
      <color indexed="8"/>
      <name val="Arial"/>
      <family val="2"/>
    </font>
    <font>
      <sz val="10"/>
      <name val="DTLArgoT"/>
    </font>
    <font>
      <sz val="10"/>
      <color rgb="FFFF0000"/>
      <name val="DTLArgoT"/>
    </font>
    <font>
      <i/>
      <sz val="10"/>
      <color theme="1"/>
      <name val="Arial"/>
      <family val="2"/>
    </font>
    <font>
      <sz val="8"/>
      <name val="Arial"/>
      <family val="2"/>
    </font>
  </fonts>
  <fills count="5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5F1F7A"/>
        <bgColor indexed="64"/>
      </patternFill>
    </fill>
    <fill>
      <patternFill patternType="solid">
        <fgColor rgb="FF7030A0"/>
        <bgColor indexed="64"/>
      </patternFill>
    </fill>
    <fill>
      <patternFill patternType="solid">
        <fgColor theme="0" tint="-0.14999847407452621"/>
        <bgColor indexed="64"/>
      </patternFill>
    </fill>
    <fill>
      <patternFill patternType="solid">
        <fgColor rgb="FFFF00FF"/>
        <bgColor indexed="64"/>
      </patternFill>
    </fill>
    <fill>
      <patternFill patternType="solid">
        <fgColor indexed="41"/>
        <bgColor indexed="64"/>
      </patternFill>
    </fill>
    <fill>
      <patternFill patternType="solid">
        <fgColor rgb="FFFFCCFF"/>
        <bgColor indexed="64"/>
      </patternFill>
    </fill>
    <fill>
      <patternFill patternType="solid">
        <fgColor indexed="14"/>
        <bgColor indexed="64"/>
      </patternFill>
    </fill>
    <fill>
      <patternFill patternType="solid">
        <fgColor rgb="FFFFFFCC"/>
        <bgColor indexed="64"/>
      </patternFill>
    </fill>
    <fill>
      <patternFill patternType="solid">
        <fgColor rgb="FFCCFFFF"/>
        <bgColor indexed="64"/>
      </patternFill>
    </fill>
    <fill>
      <patternFill patternType="solid">
        <fgColor rgb="FFFFCC99"/>
        <bgColor indexed="64"/>
      </patternFill>
    </fill>
    <fill>
      <patternFill patternType="solid">
        <fgColor theme="0" tint="-4.9989318521683403E-2"/>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CC8D9"/>
        <bgColor indexed="64"/>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6795556505021"/>
        <bgColor indexed="64"/>
      </patternFill>
    </fill>
    <fill>
      <patternFill patternType="solid">
        <fgColor rgb="FF99FF99"/>
        <bgColor indexed="64"/>
      </patternFill>
    </fill>
    <fill>
      <patternFill patternType="solid">
        <fgColor rgb="FFE1FFE1"/>
        <bgColor indexed="64"/>
      </patternFill>
    </fill>
    <fill>
      <patternFill patternType="solid">
        <fgColor theme="0"/>
        <bgColor indexed="64"/>
      </patternFill>
    </fill>
    <fill>
      <patternFill patternType="solid">
        <fgColor theme="1"/>
        <bgColor indexed="64"/>
      </patternFill>
    </fill>
  </fills>
  <borders count="22">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top style="thin">
        <color auto="1"/>
      </top>
      <bottom style="thin">
        <color auto="1"/>
      </bottom>
      <diagonal/>
    </border>
    <border>
      <left/>
      <right/>
      <top/>
      <bottom style="thin">
        <color indexed="64"/>
      </bottom>
      <diagonal/>
    </border>
    <border>
      <left style="dashDot">
        <color indexed="64"/>
      </left>
      <right/>
      <top style="dashDot">
        <color indexed="64"/>
      </top>
      <bottom/>
      <diagonal/>
    </border>
    <border>
      <left/>
      <right/>
      <top style="dashDot">
        <color indexed="64"/>
      </top>
      <bottom/>
      <diagonal/>
    </border>
    <border>
      <left/>
      <right style="dashDot">
        <color indexed="64"/>
      </right>
      <top style="dashDot">
        <color indexed="64"/>
      </top>
      <bottom/>
      <diagonal/>
    </border>
    <border>
      <left style="dashDot">
        <color indexed="64"/>
      </left>
      <right/>
      <top/>
      <bottom/>
      <diagonal/>
    </border>
    <border>
      <left/>
      <right style="dashDot">
        <color indexed="64"/>
      </right>
      <top/>
      <bottom/>
      <diagonal/>
    </border>
    <border>
      <left style="dashDot">
        <color indexed="64"/>
      </left>
      <right/>
      <top/>
      <bottom style="dashDot">
        <color indexed="64"/>
      </bottom>
      <diagonal/>
    </border>
    <border>
      <left/>
      <right/>
      <top/>
      <bottom style="dashDot">
        <color indexed="64"/>
      </bottom>
      <diagonal/>
    </border>
    <border>
      <left/>
      <right style="dashDot">
        <color indexed="64"/>
      </right>
      <top/>
      <bottom style="dashDot">
        <color indexed="64"/>
      </bottom>
      <diagonal/>
    </border>
  </borders>
  <cellStyleXfs count="83">
    <xf numFmtId="0" fontId="0" fillId="0" borderId="0">
      <alignment vertical="top"/>
    </xf>
    <xf numFmtId="0" fontId="4" fillId="2" borderId="0" applyNumberFormat="0" applyBorder="0" applyAlignment="0" applyProtection="0"/>
    <xf numFmtId="0" fontId="5" fillId="3" borderId="0" applyNumberFormat="0" applyBorder="0" applyAlignment="0" applyProtection="0"/>
    <xf numFmtId="0" fontId="6" fillId="4" borderId="0" applyNumberFormat="0" applyBorder="0" applyAlignment="0" applyProtection="0"/>
    <xf numFmtId="0" fontId="7" fillId="0" borderId="0">
      <alignment vertical="top"/>
    </xf>
    <xf numFmtId="49" fontId="10" fillId="5" borderId="1">
      <alignment vertical="top"/>
    </xf>
    <xf numFmtId="49" fontId="8" fillId="20" borderId="1">
      <alignment vertical="top"/>
    </xf>
    <xf numFmtId="49" fontId="8" fillId="0" borderId="0">
      <alignment vertical="top"/>
    </xf>
    <xf numFmtId="41" fontId="7" fillId="13" borderId="0">
      <alignment vertical="top"/>
    </xf>
    <xf numFmtId="41" fontId="7" fillId="12" borderId="0">
      <alignment vertical="top"/>
    </xf>
    <xf numFmtId="41" fontId="7" fillId="47" borderId="0">
      <alignment vertical="top"/>
    </xf>
    <xf numFmtId="41" fontId="7" fillId="14" borderId="0">
      <alignment vertical="top"/>
    </xf>
    <xf numFmtId="49" fontId="12" fillId="0" borderId="0">
      <alignment vertical="top"/>
    </xf>
    <xf numFmtId="49" fontId="11" fillId="0" borderId="0">
      <alignment vertical="top"/>
    </xf>
    <xf numFmtId="0" fontId="18" fillId="16" borderId="3" applyNumberFormat="0" applyAlignment="0" applyProtection="0"/>
    <xf numFmtId="0" fontId="19" fillId="17" borderId="4" applyNumberFormat="0" applyAlignment="0" applyProtection="0"/>
    <xf numFmtId="0" fontId="20" fillId="17" borderId="3" applyNumberFormat="0" applyAlignment="0" applyProtection="0"/>
    <xf numFmtId="0" fontId="21" fillId="0" borderId="5" applyNumberFormat="0" applyFill="0" applyAlignment="0" applyProtection="0"/>
    <xf numFmtId="0" fontId="15" fillId="18" borderId="6" applyNumberFormat="0" applyAlignment="0" applyProtection="0"/>
    <xf numFmtId="0" fontId="17" fillId="19" borderId="7" applyNumberFormat="0" applyFont="0" applyAlignment="0" applyProtection="0"/>
    <xf numFmtId="0" fontId="22" fillId="0" borderId="0" applyNumberFormat="0" applyFill="0" applyBorder="0" applyAlignment="0" applyProtection="0"/>
    <xf numFmtId="43" fontId="17" fillId="0" borderId="0" applyFont="0" applyFill="0" applyBorder="0" applyAlignment="0" applyProtection="0"/>
    <xf numFmtId="41" fontId="17" fillId="0" borderId="0" applyFont="0" applyFill="0" applyBorder="0" applyAlignment="0" applyProtection="0"/>
    <xf numFmtId="44" fontId="17" fillId="0" borderId="0" applyFont="0" applyFill="0" applyBorder="0" applyAlignment="0" applyProtection="0"/>
    <xf numFmtId="42" fontId="17" fillId="0" borderId="0" applyFont="0" applyFill="0" applyBorder="0" applyAlignment="0" applyProtection="0"/>
    <xf numFmtId="9" fontId="17" fillId="0" borderId="0" applyFont="0" applyFill="0" applyBorder="0" applyAlignment="0" applyProtection="0"/>
    <xf numFmtId="0" fontId="24" fillId="0" borderId="0" applyNumberFormat="0" applyFill="0" applyBorder="0" applyAlignment="0" applyProtection="0"/>
    <xf numFmtId="0" fontId="25" fillId="0" borderId="8" applyNumberFormat="0" applyFill="0" applyAlignment="0" applyProtection="0"/>
    <xf numFmtId="0" fontId="26" fillId="0" borderId="9" applyNumberFormat="0" applyFill="0" applyAlignment="0" applyProtection="0"/>
    <xf numFmtId="0" fontId="27" fillId="0" borderId="10" applyNumberFormat="0" applyFill="0" applyAlignment="0" applyProtection="0"/>
    <xf numFmtId="0" fontId="27" fillId="0" borderId="0" applyNumberFormat="0" applyFill="0" applyBorder="0" applyAlignment="0" applyProtection="0"/>
    <xf numFmtId="0" fontId="16" fillId="0" borderId="0" applyNumberFormat="0" applyFill="0" applyBorder="0" applyAlignment="0" applyProtection="0"/>
    <xf numFmtId="0" fontId="28" fillId="0" borderId="0" applyNumberFormat="0" applyFill="0" applyBorder="0" applyAlignment="0" applyProtection="0"/>
    <xf numFmtId="0" fontId="29" fillId="0" borderId="11" applyNumberFormat="0" applyFill="0" applyAlignment="0" applyProtection="0"/>
    <xf numFmtId="0" fontId="30"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0" fillId="24" borderId="0" applyNumberFormat="0" applyBorder="0" applyAlignment="0" applyProtection="0"/>
    <xf numFmtId="0" fontId="30"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0" fillId="28" borderId="0" applyNumberFormat="0" applyBorder="0" applyAlignment="0" applyProtection="0"/>
    <xf numFmtId="0" fontId="30"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0" fillId="32" borderId="0" applyNumberFormat="0" applyBorder="0" applyAlignment="0" applyProtection="0"/>
    <xf numFmtId="0" fontId="30"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0" fillId="36" borderId="0" applyNumberFormat="0" applyBorder="0" applyAlignment="0" applyProtection="0"/>
    <xf numFmtId="0" fontId="30"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0" fillId="40" borderId="0" applyNumberFormat="0" applyBorder="0" applyAlignment="0" applyProtection="0"/>
    <xf numFmtId="0" fontId="30" fillId="41"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0" fillId="44" borderId="0" applyNumberFormat="0" applyBorder="0" applyAlignment="0" applyProtection="0"/>
    <xf numFmtId="0" fontId="31" fillId="0" borderId="0" applyNumberFormat="0" applyFill="0" applyBorder="0" applyAlignment="0" applyProtection="0"/>
    <xf numFmtId="49" fontId="23" fillId="0" borderId="0" applyFill="0" applyBorder="0" applyAlignment="0" applyProtection="0"/>
    <xf numFmtId="43" fontId="7" fillId="45" borderId="0" applyNumberFormat="0">
      <alignment vertical="top"/>
    </xf>
    <xf numFmtId="43" fontId="7" fillId="12" borderId="0" applyFont="0" applyFill="0" applyBorder="0" applyAlignment="0" applyProtection="0">
      <alignment vertical="top"/>
    </xf>
    <xf numFmtId="10" fontId="7" fillId="0" borderId="0" applyFont="0" applyFill="0" applyBorder="0" applyAlignment="0" applyProtection="0">
      <alignment vertical="top"/>
    </xf>
    <xf numFmtId="0" fontId="5" fillId="3" borderId="0" applyNumberFormat="0" applyBorder="0" applyAlignment="0" applyProtection="0"/>
    <xf numFmtId="165" fontId="7" fillId="10" borderId="0">
      <alignment vertical="top"/>
    </xf>
    <xf numFmtId="165" fontId="7" fillId="8" borderId="0">
      <alignment vertical="top"/>
    </xf>
    <xf numFmtId="0" fontId="18" fillId="16" borderId="3" applyNumberFormat="0" applyAlignment="0" applyProtection="0"/>
    <xf numFmtId="0" fontId="19" fillId="17" borderId="4" applyNumberFormat="0" applyAlignment="0" applyProtection="0"/>
    <xf numFmtId="0" fontId="15" fillId="18" borderId="6" applyNumberFormat="0" applyAlignment="0" applyProtection="0"/>
    <xf numFmtId="0" fontId="2" fillId="19" borderId="7" applyNumberFormat="0" applyFont="0" applyAlignment="0" applyProtection="0"/>
    <xf numFmtId="0" fontId="25" fillId="0" borderId="8" applyNumberFormat="0" applyFill="0" applyAlignment="0" applyProtection="0"/>
    <xf numFmtId="0" fontId="26" fillId="0" borderId="9" applyNumberFormat="0" applyFill="0" applyAlignment="0" applyProtection="0"/>
    <xf numFmtId="0" fontId="27" fillId="0" borderId="10" applyNumberFormat="0" applyFill="0" applyAlignment="0" applyProtection="0"/>
    <xf numFmtId="0" fontId="27" fillId="0" borderId="0" applyNumberFormat="0" applyFill="0" applyBorder="0" applyAlignment="0" applyProtection="0"/>
    <xf numFmtId="0" fontId="28" fillId="0" borderId="0" applyNumberFormat="0" applyFill="0" applyBorder="0" applyAlignment="0" applyProtection="0"/>
    <xf numFmtId="166" fontId="7" fillId="12" borderId="0" applyFont="0" applyFill="0" applyBorder="0" applyAlignment="0" applyProtection="0">
      <alignment vertical="top"/>
    </xf>
    <xf numFmtId="165" fontId="7" fillId="46" borderId="0">
      <alignment vertical="top"/>
    </xf>
    <xf numFmtId="0" fontId="2" fillId="0" borderId="0"/>
    <xf numFmtId="0" fontId="33" fillId="0" borderId="0"/>
    <xf numFmtId="0" fontId="2" fillId="0" borderId="0"/>
    <xf numFmtId="166" fontId="7" fillId="12" borderId="0" applyFont="0" applyFill="0" applyBorder="0" applyAlignment="0" applyProtection="0">
      <alignment vertical="top"/>
    </xf>
    <xf numFmtId="0" fontId="1" fillId="0" borderId="0"/>
    <xf numFmtId="43" fontId="7" fillId="10" borderId="0">
      <alignment vertical="top"/>
    </xf>
  </cellStyleXfs>
  <cellXfs count="144">
    <xf numFmtId="0" fontId="0" fillId="0" borderId="0" xfId="0">
      <alignment vertical="top"/>
    </xf>
    <xf numFmtId="49" fontId="8" fillId="20" borderId="12" xfId="6" applyBorder="1">
      <alignment vertical="top"/>
    </xf>
    <xf numFmtId="49" fontId="10" fillId="5" borderId="12" xfId="5" applyBorder="1">
      <alignment vertical="top"/>
    </xf>
    <xf numFmtId="10" fontId="7" fillId="13" borderId="0" xfId="8" applyNumberFormat="1">
      <alignment vertical="top"/>
    </xf>
    <xf numFmtId="10" fontId="7" fillId="12" borderId="0" xfId="9" applyNumberFormat="1">
      <alignment vertical="top"/>
    </xf>
    <xf numFmtId="167" fontId="7" fillId="47" borderId="0" xfId="10" applyNumberFormat="1">
      <alignment vertical="top"/>
    </xf>
    <xf numFmtId="43" fontId="7" fillId="14" borderId="0" xfId="11" applyNumberFormat="1">
      <alignment vertical="top"/>
    </xf>
    <xf numFmtId="0" fontId="8" fillId="0" borderId="0" xfId="4" applyFont="1">
      <alignment vertical="top"/>
    </xf>
    <xf numFmtId="0" fontId="7" fillId="0" borderId="0" xfId="4">
      <alignment vertical="top"/>
    </xf>
    <xf numFmtId="0" fontId="9" fillId="0" borderId="0" xfId="4" applyFont="1">
      <alignment vertical="top"/>
    </xf>
    <xf numFmtId="0" fontId="11" fillId="0" borderId="0" xfId="4" applyFont="1">
      <alignment vertical="top"/>
    </xf>
    <xf numFmtId="0" fontId="12" fillId="0" borderId="0" xfId="4" applyFont="1">
      <alignment vertical="top"/>
    </xf>
    <xf numFmtId="0" fontId="7" fillId="0" borderId="2" xfId="4" applyBorder="1">
      <alignment vertical="top"/>
    </xf>
    <xf numFmtId="49" fontId="10" fillId="5" borderId="1" xfId="5">
      <alignment vertical="top"/>
    </xf>
    <xf numFmtId="49" fontId="8" fillId="20" borderId="1" xfId="6">
      <alignment vertical="top"/>
    </xf>
    <xf numFmtId="0" fontId="9" fillId="0" borderId="2" xfId="4" applyFont="1" applyBorder="1" applyAlignment="1">
      <alignment horizontal="left" vertical="top" wrapText="1"/>
    </xf>
    <xf numFmtId="0" fontId="7" fillId="0" borderId="2" xfId="4" applyBorder="1" applyAlignment="1">
      <alignment horizontal="left" vertical="top" wrapText="1"/>
    </xf>
    <xf numFmtId="2" fontId="7" fillId="11" borderId="0" xfId="4" applyNumberFormat="1" applyFill="1">
      <alignment vertical="top"/>
    </xf>
    <xf numFmtId="1" fontId="7" fillId="0" borderId="0" xfId="4" applyNumberFormat="1">
      <alignment vertical="top"/>
    </xf>
    <xf numFmtId="1" fontId="11" fillId="0" borderId="0" xfId="4" applyNumberFormat="1" applyFont="1">
      <alignment vertical="top"/>
    </xf>
    <xf numFmtId="0" fontId="14" fillId="0" borderId="0" xfId="4" applyFont="1">
      <alignment vertical="top"/>
    </xf>
    <xf numFmtId="0" fontId="15" fillId="6" borderId="1" xfId="4" applyFont="1" applyFill="1" applyBorder="1">
      <alignment vertical="top"/>
    </xf>
    <xf numFmtId="49" fontId="9" fillId="20" borderId="2" xfId="6" applyFont="1" applyBorder="1">
      <alignment vertical="top"/>
    </xf>
    <xf numFmtId="0" fontId="10" fillId="5" borderId="1" xfId="5" applyNumberFormat="1">
      <alignment vertical="top"/>
    </xf>
    <xf numFmtId="0" fontId="16" fillId="0" borderId="0" xfId="4" applyFont="1">
      <alignment vertical="top"/>
    </xf>
    <xf numFmtId="0" fontId="7" fillId="0" borderId="0" xfId="4" applyAlignment="1">
      <alignment horizontal="center" vertical="top"/>
    </xf>
    <xf numFmtId="0" fontId="7" fillId="15" borderId="0" xfId="4" applyFill="1">
      <alignment vertical="top"/>
    </xf>
    <xf numFmtId="49" fontId="7" fillId="20" borderId="2" xfId="6" applyFont="1" applyBorder="1">
      <alignment vertical="top"/>
    </xf>
    <xf numFmtId="0" fontId="9" fillId="0" borderId="0" xfId="4" applyFont="1" applyAlignment="1">
      <alignment horizontal="left" vertical="top" wrapText="1"/>
    </xf>
    <xf numFmtId="49" fontId="8" fillId="0" borderId="0" xfId="7">
      <alignment vertical="top"/>
    </xf>
    <xf numFmtId="49" fontId="11" fillId="0" borderId="0" xfId="13">
      <alignment vertical="top"/>
    </xf>
    <xf numFmtId="41" fontId="7" fillId="13" borderId="0" xfId="8">
      <alignment vertical="top"/>
    </xf>
    <xf numFmtId="41" fontId="7" fillId="47" borderId="0" xfId="10">
      <alignment vertical="top"/>
    </xf>
    <xf numFmtId="10" fontId="7" fillId="0" borderId="0" xfId="62">
      <alignment vertical="top"/>
    </xf>
    <xf numFmtId="41" fontId="7" fillId="14" borderId="0" xfId="11">
      <alignment vertical="top"/>
    </xf>
    <xf numFmtId="41" fontId="7" fillId="12" borderId="0" xfId="9">
      <alignment vertical="top"/>
    </xf>
    <xf numFmtId="0" fontId="7" fillId="20" borderId="0" xfId="4" applyFill="1">
      <alignment vertical="top"/>
    </xf>
    <xf numFmtId="41" fontId="7" fillId="0" borderId="0" xfId="10" applyFill="1">
      <alignment vertical="top"/>
    </xf>
    <xf numFmtId="10" fontId="7" fillId="0" borderId="0" xfId="62" applyFill="1">
      <alignment vertical="top"/>
    </xf>
    <xf numFmtId="0" fontId="8" fillId="0" borderId="0" xfId="4" applyFont="1" applyAlignment="1">
      <alignment horizontal="right" vertical="top"/>
    </xf>
    <xf numFmtId="164" fontId="7" fillId="12" borderId="0" xfId="9" applyNumberFormat="1">
      <alignment vertical="top"/>
    </xf>
    <xf numFmtId="41" fontId="7" fillId="45" borderId="0" xfId="60" applyNumberFormat="1">
      <alignment vertical="top"/>
    </xf>
    <xf numFmtId="0" fontId="7" fillId="0" borderId="0" xfId="4" applyAlignment="1">
      <alignment vertical="top" wrapText="1"/>
    </xf>
    <xf numFmtId="10" fontId="7" fillId="14" borderId="0" xfId="11" applyNumberFormat="1">
      <alignment vertical="top"/>
    </xf>
    <xf numFmtId="0" fontId="7" fillId="0" borderId="0" xfId="4" applyAlignment="1">
      <alignment horizontal="left" vertical="top" wrapText="1"/>
    </xf>
    <xf numFmtId="0" fontId="7" fillId="7" borderId="0" xfId="4" applyFill="1">
      <alignment vertical="top"/>
    </xf>
    <xf numFmtId="49" fontId="7" fillId="0" borderId="0" xfId="7" applyFont="1">
      <alignment vertical="top"/>
    </xf>
    <xf numFmtId="168" fontId="7" fillId="0" borderId="0" xfId="4" applyNumberFormat="1">
      <alignment vertical="top"/>
    </xf>
    <xf numFmtId="0" fontId="7" fillId="48" borderId="0" xfId="4" applyFill="1">
      <alignment vertical="top"/>
    </xf>
    <xf numFmtId="43" fontId="7" fillId="48" borderId="0" xfId="4" applyNumberFormat="1" applyFill="1">
      <alignment vertical="top"/>
    </xf>
    <xf numFmtId="168" fontId="7" fillId="48" borderId="0" xfId="75" applyNumberFormat="1" applyFill="1">
      <alignment vertical="top"/>
    </xf>
    <xf numFmtId="0" fontId="7" fillId="0" borderId="0" xfId="4" applyAlignment="1">
      <alignment horizontal="left" vertical="top"/>
    </xf>
    <xf numFmtId="0" fontId="33" fillId="0" borderId="0" xfId="78"/>
    <xf numFmtId="3" fontId="7" fillId="0" borderId="0" xfId="4" applyNumberFormat="1">
      <alignment vertical="top"/>
    </xf>
    <xf numFmtId="168" fontId="7" fillId="14" borderId="0" xfId="75" applyNumberFormat="1" applyFill="1">
      <alignment vertical="top"/>
    </xf>
    <xf numFmtId="167" fontId="7" fillId="0" borderId="0" xfId="4" applyNumberFormat="1">
      <alignment vertical="top"/>
    </xf>
    <xf numFmtId="168" fontId="7" fillId="48" borderId="0" xfId="4" applyNumberFormat="1" applyFill="1">
      <alignment vertical="top"/>
    </xf>
    <xf numFmtId="0" fontId="33" fillId="0" borderId="0" xfId="78" applyAlignment="1">
      <alignment horizontal="center"/>
    </xf>
    <xf numFmtId="0" fontId="33" fillId="48" borderId="0" xfId="78" applyFill="1"/>
    <xf numFmtId="0" fontId="33" fillId="48" borderId="0" xfId="78" applyFill="1" applyAlignment="1">
      <alignment horizontal="center"/>
    </xf>
    <xf numFmtId="168" fontId="33" fillId="48" borderId="0" xfId="75" applyNumberFormat="1" applyFont="1" applyFill="1" applyAlignment="1"/>
    <xf numFmtId="0" fontId="7" fillId="48" borderId="0" xfId="4" applyFill="1" applyAlignment="1">
      <alignment horizontal="center" vertical="top"/>
    </xf>
    <xf numFmtId="0" fontId="11" fillId="0" borderId="0" xfId="4" applyFont="1" applyAlignment="1">
      <alignment horizontal="left" vertical="top" wrapText="1"/>
    </xf>
    <xf numFmtId="168" fontId="7" fillId="14" borderId="0" xfId="4" applyNumberFormat="1" applyFill="1">
      <alignment vertical="top"/>
    </xf>
    <xf numFmtId="10" fontId="7" fillId="48" borderId="0" xfId="62" applyFill="1">
      <alignment vertical="top"/>
    </xf>
    <xf numFmtId="0" fontId="7" fillId="48" borderId="0" xfId="4" applyFill="1" applyAlignment="1">
      <alignment horizontal="left" vertical="top"/>
    </xf>
    <xf numFmtId="0" fontId="8" fillId="48" borderId="0" xfId="4" applyFont="1" applyFill="1" applyAlignment="1">
      <alignment horizontal="left" vertical="top"/>
    </xf>
    <xf numFmtId="3" fontId="7" fillId="48" borderId="0" xfId="4" applyNumberFormat="1" applyFill="1">
      <alignment vertical="top"/>
    </xf>
    <xf numFmtId="168" fontId="7" fillId="10" borderId="0" xfId="80" applyNumberFormat="1" applyFill="1">
      <alignment vertical="top"/>
    </xf>
    <xf numFmtId="49" fontId="7" fillId="48" borderId="0" xfId="7" applyFont="1" applyFill="1">
      <alignment vertical="top"/>
    </xf>
    <xf numFmtId="0" fontId="0" fillId="0" borderId="0" xfId="81" applyFont="1"/>
    <xf numFmtId="0" fontId="16" fillId="0" borderId="0" xfId="4" applyFont="1" applyAlignment="1">
      <alignment vertical="top" wrapText="1"/>
    </xf>
    <xf numFmtId="0" fontId="16" fillId="0" borderId="13" xfId="4" applyFont="1" applyBorder="1" applyAlignment="1">
      <alignment horizontal="center" vertical="top" wrapText="1"/>
    </xf>
    <xf numFmtId="0" fontId="16" fillId="0" borderId="13" xfId="4" applyFont="1" applyBorder="1" applyAlignment="1">
      <alignment vertical="top" wrapText="1"/>
    </xf>
    <xf numFmtId="0" fontId="16" fillId="0" borderId="0" xfId="4" applyFont="1" applyAlignment="1">
      <alignment horizontal="center" vertical="top" wrapText="1"/>
    </xf>
    <xf numFmtId="0" fontId="0" fillId="48" borderId="0" xfId="0" applyFill="1">
      <alignment vertical="top"/>
    </xf>
    <xf numFmtId="0" fontId="29" fillId="48" borderId="0" xfId="0" applyFont="1" applyFill="1" applyAlignment="1"/>
    <xf numFmtId="0" fontId="0" fillId="0" borderId="0" xfId="0" applyAlignment="1"/>
    <xf numFmtId="0" fontId="32" fillId="0" borderId="0" xfId="0" applyFont="1" applyAlignment="1"/>
    <xf numFmtId="0" fontId="7" fillId="0" borderId="14" xfId="4" applyBorder="1">
      <alignment vertical="top"/>
    </xf>
    <xf numFmtId="0" fontId="7" fillId="0" borderId="15" xfId="4" applyBorder="1">
      <alignment vertical="top"/>
    </xf>
    <xf numFmtId="0" fontId="7" fillId="0" borderId="16" xfId="4" applyBorder="1">
      <alignment vertical="top"/>
    </xf>
    <xf numFmtId="0" fontId="7" fillId="0" borderId="17" xfId="4" applyBorder="1">
      <alignment vertical="top"/>
    </xf>
    <xf numFmtId="0" fontId="7" fillId="47" borderId="0" xfId="4" applyFill="1" applyAlignment="1">
      <alignment horizontal="center" vertical="top"/>
    </xf>
    <xf numFmtId="0" fontId="7" fillId="0" borderId="18" xfId="4" applyBorder="1">
      <alignment vertical="top"/>
    </xf>
    <xf numFmtId="0" fontId="7" fillId="12" borderId="0" xfId="4" applyFill="1" applyAlignment="1">
      <alignment horizontal="center" vertical="top"/>
    </xf>
    <xf numFmtId="0" fontId="7" fillId="13" borderId="0" xfId="4" applyFill="1" applyAlignment="1">
      <alignment horizontal="center" vertical="top"/>
    </xf>
    <xf numFmtId="0" fontId="7" fillId="0" borderId="19" xfId="4" applyBorder="1">
      <alignment vertical="top"/>
    </xf>
    <xf numFmtId="0" fontId="7" fillId="0" borderId="20" xfId="4" applyBorder="1">
      <alignment vertical="top"/>
    </xf>
    <xf numFmtId="0" fontId="7" fillId="0" borderId="21" xfId="4" applyBorder="1">
      <alignment vertical="top"/>
    </xf>
    <xf numFmtId="0" fontId="32" fillId="0" borderId="0" xfId="0" applyFont="1" applyAlignment="1">
      <alignment horizontal="center" vertical="top"/>
    </xf>
    <xf numFmtId="0" fontId="11" fillId="12" borderId="0" xfId="4" applyFont="1" applyFill="1" applyAlignment="1">
      <alignment horizontal="center" vertical="top"/>
    </xf>
    <xf numFmtId="165" fontId="7" fillId="10" borderId="0" xfId="64">
      <alignment vertical="top"/>
    </xf>
    <xf numFmtId="165" fontId="7" fillId="8" borderId="0" xfId="65">
      <alignment vertical="top"/>
    </xf>
    <xf numFmtId="165" fontId="7" fillId="46" borderId="0" xfId="76">
      <alignment vertical="top"/>
    </xf>
    <xf numFmtId="0" fontId="0" fillId="0" borderId="2" xfId="0" applyBorder="1">
      <alignment vertical="top"/>
    </xf>
    <xf numFmtId="166" fontId="14" fillId="0" borderId="0" xfId="75" applyFont="1" applyFill="1">
      <alignment vertical="top"/>
    </xf>
    <xf numFmtId="0" fontId="7" fillId="9" borderId="0" xfId="4" applyFill="1">
      <alignment vertical="top"/>
    </xf>
    <xf numFmtId="0" fontId="7" fillId="12" borderId="0" xfId="4" applyFill="1">
      <alignment vertical="top"/>
    </xf>
    <xf numFmtId="167" fontId="7" fillId="12" borderId="0" xfId="9" applyNumberFormat="1">
      <alignment vertical="top"/>
    </xf>
    <xf numFmtId="0" fontId="16" fillId="0" borderId="0" xfId="4" applyFont="1" applyAlignment="1">
      <alignment horizontal="center" vertical="top"/>
    </xf>
    <xf numFmtId="0" fontId="34" fillId="0" borderId="0" xfId="78" applyFont="1"/>
    <xf numFmtId="0" fontId="34" fillId="0" borderId="0" xfId="78" applyFont="1" applyAlignment="1">
      <alignment horizontal="center"/>
    </xf>
    <xf numFmtId="0" fontId="29" fillId="0" borderId="0" xfId="77" applyFont="1"/>
    <xf numFmtId="0" fontId="16" fillId="48" borderId="0" xfId="4" applyFont="1" applyFill="1" applyAlignment="1">
      <alignment horizontal="center" vertical="top"/>
    </xf>
    <xf numFmtId="49" fontId="23" fillId="0" borderId="2" xfId="59" applyBorder="1" applyAlignment="1">
      <alignment vertical="top"/>
    </xf>
    <xf numFmtId="41" fontId="7" fillId="0" borderId="0" xfId="4" applyNumberFormat="1">
      <alignment vertical="top"/>
    </xf>
    <xf numFmtId="170" fontId="7" fillId="45" borderId="0" xfId="60" applyNumberFormat="1">
      <alignment vertical="top"/>
    </xf>
    <xf numFmtId="169" fontId="7" fillId="0" borderId="0" xfId="61" applyNumberFormat="1" applyFill="1">
      <alignment vertical="top"/>
    </xf>
    <xf numFmtId="0" fontId="8" fillId="20" borderId="1" xfId="6" applyNumberFormat="1">
      <alignment vertical="top"/>
    </xf>
    <xf numFmtId="164" fontId="7" fillId="0" borderId="0" xfId="4" applyNumberFormat="1">
      <alignment vertical="top"/>
    </xf>
    <xf numFmtId="164" fontId="7" fillId="20" borderId="0" xfId="4" applyNumberFormat="1" applyFill="1">
      <alignment vertical="top"/>
    </xf>
    <xf numFmtId="0" fontId="0" fillId="0" borderId="0" xfId="79" applyFont="1"/>
    <xf numFmtId="0" fontId="8" fillId="20" borderId="1" xfId="6" applyNumberFormat="1" applyAlignment="1">
      <alignment horizontal="left" vertical="top"/>
    </xf>
    <xf numFmtId="49" fontId="8" fillId="20" borderId="1" xfId="6" applyAlignment="1">
      <alignment horizontal="center" vertical="top"/>
    </xf>
    <xf numFmtId="169" fontId="7" fillId="0" borderId="0" xfId="4" applyNumberFormat="1">
      <alignment vertical="top"/>
    </xf>
    <xf numFmtId="167" fontId="7" fillId="14" borderId="0" xfId="11" applyNumberFormat="1">
      <alignment vertical="top"/>
    </xf>
    <xf numFmtId="9" fontId="7" fillId="14" borderId="0" xfId="11" applyNumberFormat="1">
      <alignment vertical="top"/>
    </xf>
    <xf numFmtId="9" fontId="7" fillId="47" borderId="0" xfId="10" applyNumberFormat="1">
      <alignment vertical="top"/>
    </xf>
    <xf numFmtId="49" fontId="16" fillId="0" borderId="0" xfId="12" applyFont="1">
      <alignment vertical="top"/>
    </xf>
    <xf numFmtId="0" fontId="0" fillId="0" borderId="0" xfId="0" applyAlignment="1">
      <alignment horizontal="left" vertical="top" wrapText="1"/>
    </xf>
    <xf numFmtId="49" fontId="7" fillId="20" borderId="0" xfId="6" applyFont="1" applyBorder="1">
      <alignment vertical="top"/>
    </xf>
    <xf numFmtId="0" fontId="35" fillId="0" borderId="0" xfId="0" applyFont="1" applyAlignment="1">
      <alignment horizontal="left" vertical="top" wrapText="1"/>
    </xf>
    <xf numFmtId="171" fontId="7" fillId="0" borderId="0" xfId="4" applyNumberFormat="1">
      <alignment vertical="top"/>
    </xf>
    <xf numFmtId="49" fontId="7" fillId="0" borderId="0" xfId="12" applyFont="1">
      <alignment vertical="top"/>
    </xf>
    <xf numFmtId="41" fontId="7" fillId="7" borderId="0" xfId="4" applyNumberFormat="1" applyFill="1">
      <alignment vertical="top"/>
    </xf>
    <xf numFmtId="171" fontId="7" fillId="45" borderId="0" xfId="60" applyNumberFormat="1">
      <alignment vertical="top"/>
    </xf>
    <xf numFmtId="171" fontId="7" fillId="14" borderId="0" xfId="11" applyNumberFormat="1">
      <alignment vertical="top"/>
    </xf>
    <xf numFmtId="0" fontId="7" fillId="0" borderId="0" xfId="4" applyAlignment="1">
      <alignment horizontal="left" vertical="top" indent="1"/>
    </xf>
    <xf numFmtId="0" fontId="7" fillId="0" borderId="0" xfId="0" applyFont="1">
      <alignment vertical="top"/>
    </xf>
    <xf numFmtId="167" fontId="7" fillId="10" borderId="0" xfId="64" applyNumberFormat="1">
      <alignment vertical="top"/>
    </xf>
    <xf numFmtId="167" fontId="7" fillId="45" borderId="0" xfId="60" applyNumberFormat="1">
      <alignment vertical="top"/>
    </xf>
    <xf numFmtId="9" fontId="7" fillId="45" borderId="0" xfId="60" applyNumberFormat="1">
      <alignment vertical="top"/>
    </xf>
    <xf numFmtId="165" fontId="7" fillId="45" borderId="0" xfId="60" applyNumberFormat="1">
      <alignment vertical="top"/>
    </xf>
    <xf numFmtId="0" fontId="7" fillId="0" borderId="0" xfId="81" applyFont="1"/>
    <xf numFmtId="0" fontId="7" fillId="0" borderId="0" xfId="4" applyAlignment="1">
      <alignment horizontal="left" vertical="top" wrapText="1"/>
    </xf>
    <xf numFmtId="0" fontId="7" fillId="0" borderId="2" xfId="4" applyFont="1" applyBorder="1">
      <alignment vertical="top"/>
    </xf>
    <xf numFmtId="41" fontId="7" fillId="10" borderId="0" xfId="82" applyNumberFormat="1">
      <alignment vertical="top"/>
    </xf>
    <xf numFmtId="41" fontId="7" fillId="14" borderId="0" xfId="11" quotePrefix="1">
      <alignment vertical="top"/>
    </xf>
    <xf numFmtId="41" fontId="7" fillId="12" borderId="0" xfId="9" quotePrefix="1">
      <alignment vertical="top"/>
    </xf>
    <xf numFmtId="41" fontId="7" fillId="49" borderId="0" xfId="10" applyFill="1">
      <alignment vertical="top"/>
    </xf>
    <xf numFmtId="0" fontId="7" fillId="0" borderId="0" xfId="4" applyAlignment="1">
      <alignment horizontal="left" vertical="top" wrapText="1"/>
    </xf>
    <xf numFmtId="49" fontId="23" fillId="0" borderId="0" xfId="59" applyAlignment="1">
      <alignment horizontal="left" vertical="top" wrapText="1"/>
    </xf>
    <xf numFmtId="0" fontId="0" fillId="0" borderId="0" xfId="0" applyAlignment="1">
      <alignment horizontal="left" vertical="top" wrapText="1"/>
    </xf>
  </cellXfs>
  <cellStyles count="83">
    <cellStyle name="_x000d__x000a_JournalTemplate=C:\COMFO\CTALK\JOURSTD.TPL_x000d__x000a_LbStateAddress=3 3 0 251 1 89 2 311_x000d__x000a_LbStateJou_01. TS-TAR(i)-12-09" xfId="78" xr:uid="{00000000-0005-0000-0000-000000000000}"/>
    <cellStyle name="_kop1 Bladtitel" xfId="5" xr:uid="{00000000-0005-0000-0000-000001000000}"/>
    <cellStyle name="_kop2 Bloktitel" xfId="6" xr:uid="{00000000-0005-0000-0000-000003000000}"/>
    <cellStyle name="_kop3 Subkop" xfId="7" xr:uid="{00000000-0005-0000-0000-000005000000}"/>
    <cellStyle name="20% - Accent1" xfId="35" builtinId="30" hidden="1"/>
    <cellStyle name="20% - Accent2" xfId="39" builtinId="34" hidden="1"/>
    <cellStyle name="20% - Accent3" xfId="43" builtinId="38" hidden="1"/>
    <cellStyle name="20% - Accent4" xfId="47" builtinId="42" hidden="1"/>
    <cellStyle name="20% - Accent5" xfId="51" builtinId="46" hidden="1"/>
    <cellStyle name="20% - Accent6" xfId="55" builtinId="50" hidden="1"/>
    <cellStyle name="40% - Accent1" xfId="36" builtinId="31" hidden="1"/>
    <cellStyle name="40% - Accent2" xfId="40" builtinId="35" hidden="1"/>
    <cellStyle name="40% - Accent3" xfId="44" builtinId="39" hidden="1"/>
    <cellStyle name="40% - Accent4" xfId="48" builtinId="43" hidden="1"/>
    <cellStyle name="40% - Accent5" xfId="52" builtinId="47" hidden="1"/>
    <cellStyle name="40% - Accent6" xfId="56" builtinId="51" hidden="1"/>
    <cellStyle name="60% - Accent1" xfId="37" builtinId="32" hidden="1"/>
    <cellStyle name="60% - Accent2" xfId="41" builtinId="36" hidden="1"/>
    <cellStyle name="60% - Accent3" xfId="45" builtinId="40" hidden="1"/>
    <cellStyle name="60% - Accent4" xfId="49" builtinId="44" hidden="1"/>
    <cellStyle name="60% - Accent5" xfId="53" builtinId="48" hidden="1"/>
    <cellStyle name="60% - Accent6" xfId="57" builtinId="52" hidden="1"/>
    <cellStyle name="Accent1" xfId="34" builtinId="29" hidden="1"/>
    <cellStyle name="Accent2" xfId="38" builtinId="33" hidden="1"/>
    <cellStyle name="Accent3" xfId="42" builtinId="37" hidden="1"/>
    <cellStyle name="Accent4" xfId="46" builtinId="41" hidden="1"/>
    <cellStyle name="Accent5" xfId="50" builtinId="45" hidden="1"/>
    <cellStyle name="Accent6" xfId="54" builtinId="49" hidden="1"/>
    <cellStyle name="Bad" xfId="63" hidden="1" xr:uid="{00000000-0005-0000-0000-00001E000000}"/>
    <cellStyle name="Berekening" xfId="16" builtinId="22" hidden="1"/>
    <cellStyle name="Cel (tussen)resultaat" xfId="8" xr:uid="{00000000-0005-0000-0000-000020000000}"/>
    <cellStyle name="Cel Berekening" xfId="9" xr:uid="{00000000-0005-0000-0000-000022000000}"/>
    <cellStyle name="Cel Bijzonderheid" xfId="82" xr:uid="{40E8DA15-B6D5-40E3-B8D9-1AAEA02E40EC}"/>
    <cellStyle name="Cel Bijzonderheid 2" xfId="64" xr:uid="{00000000-0005-0000-0000-000025000000}"/>
    <cellStyle name="Cel Dataverzoek 2" xfId="76" xr:uid="{00000000-0005-0000-0000-000026000000}"/>
    <cellStyle name="Cel Input" xfId="10" xr:uid="{00000000-0005-0000-0000-000027000000}"/>
    <cellStyle name="Cel n.v.t. (leeg)" xfId="60" xr:uid="{00000000-0005-0000-0000-000029000000}"/>
    <cellStyle name="Cel PM extern 2" xfId="65" xr:uid="{00000000-0005-0000-0000-00002B000000}"/>
    <cellStyle name="Cel Verwijzing" xfId="11" xr:uid="{00000000-0005-0000-0000-00002C000000}"/>
    <cellStyle name="Check Cell" xfId="68" hidden="1" xr:uid="{00000000-0005-0000-0000-00002E000000}"/>
    <cellStyle name="Controlecel" xfId="18" builtinId="23" hidden="1"/>
    <cellStyle name="Explanatory Text" xfId="74" hidden="1" xr:uid="{00000000-0005-0000-0000-000030000000}"/>
    <cellStyle name="Gekoppelde cel" xfId="17" builtinId="24" hidden="1"/>
    <cellStyle name="Gevolgde hyperlink" xfId="58" builtinId="9" hidden="1"/>
    <cellStyle name="Goed" xfId="1" builtinId="26" hidden="1"/>
    <cellStyle name="Heading 1" xfId="70" hidden="1" xr:uid="{00000000-0005-0000-0000-000034000000}"/>
    <cellStyle name="Heading 2" xfId="71" hidden="1" xr:uid="{00000000-0005-0000-0000-000035000000}"/>
    <cellStyle name="Heading 3" xfId="72" hidden="1" xr:uid="{00000000-0005-0000-0000-000036000000}"/>
    <cellStyle name="Heading 4" xfId="73" hidden="1" xr:uid="{00000000-0005-0000-0000-000037000000}"/>
    <cellStyle name="Hyperlink" xfId="20" builtinId="8" hidden="1"/>
    <cellStyle name="Hyperlink" xfId="59" builtinId="8" customBuiltin="1"/>
    <cellStyle name="Input" xfId="66" hidden="1" xr:uid="{00000000-0005-0000-0000-00003A000000}"/>
    <cellStyle name="Invoer" xfId="14" builtinId="20" hidden="1"/>
    <cellStyle name="Komma" xfId="21" builtinId="3" hidden="1"/>
    <cellStyle name="Komma" xfId="61" builtinId="3"/>
    <cellStyle name="Komma [0]" xfId="22" builtinId="6" hidden="1"/>
    <cellStyle name="Komma 14" xfId="75" xr:uid="{00000000-0005-0000-0000-00003F000000}"/>
    <cellStyle name="Komma 2 5" xfId="80" xr:uid="{00000000-0005-0000-0000-000040000000}"/>
    <cellStyle name="Kop 1" xfId="27" builtinId="16" hidden="1"/>
    <cellStyle name="Kop 2" xfId="28" builtinId="17" hidden="1"/>
    <cellStyle name="Kop 3" xfId="29" builtinId="18" hidden="1"/>
    <cellStyle name="Kop 4" xfId="30" builtinId="19" hidden="1"/>
    <cellStyle name="Neutraal" xfId="3" builtinId="28" hidden="1"/>
    <cellStyle name="Note" xfId="69" hidden="1" xr:uid="{00000000-0005-0000-0000-000046000000}"/>
    <cellStyle name="Notitie" xfId="19" builtinId="10" hidden="1"/>
    <cellStyle name="Ongeldig" xfId="2" builtinId="27" hidden="1"/>
    <cellStyle name="Opm. INTERN" xfId="12" xr:uid="{00000000-0005-0000-0000-000049000000}"/>
    <cellStyle name="Output" xfId="67" hidden="1" xr:uid="{00000000-0005-0000-0000-00004A000000}"/>
    <cellStyle name="Procent" xfId="25" builtinId="5" hidden="1"/>
    <cellStyle name="Procent" xfId="62" builtinId="5"/>
    <cellStyle name="Standaard" xfId="0" builtinId="0" customBuiltin="1"/>
    <cellStyle name="Standaard 26" xfId="79" xr:uid="{00000000-0005-0000-0000-00004E000000}"/>
    <cellStyle name="Standaard 32" xfId="77" xr:uid="{00000000-0005-0000-0000-00004F000000}"/>
    <cellStyle name="Standaard 32 2" xfId="81" xr:uid="{00000000-0005-0000-0000-000050000000}"/>
    <cellStyle name="Standaard ACM-DE" xfId="4" xr:uid="{00000000-0005-0000-0000-000051000000}"/>
    <cellStyle name="Titel" xfId="26" builtinId="15" hidden="1"/>
    <cellStyle name="Toelichting" xfId="13" xr:uid="{00000000-0005-0000-0000-000053000000}"/>
    <cellStyle name="Totaal" xfId="33" builtinId="25" hidden="1"/>
    <cellStyle name="Uitvoer" xfId="15" builtinId="21" hidden="1"/>
    <cellStyle name="Valuta" xfId="23" builtinId="4" hidden="1"/>
    <cellStyle name="Valuta [0]" xfId="24" builtinId="7" hidden="1"/>
    <cellStyle name="Verklarende tekst" xfId="32" builtinId="53" hidden="1"/>
    <cellStyle name="Waarschuwingstekst" xfId="31" builtinId="11" hidden="1"/>
  </cellStyles>
  <dxfs count="4">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2" defaultPivotStyle="PivotStyleLight16"/>
  <colors>
    <mruColors>
      <color rgb="FFFFCC99"/>
      <color rgb="FFFFFFCC"/>
      <color rgb="FFE1FFE1"/>
      <color rgb="FFFF66FF"/>
      <color rgb="FFCCC8D9"/>
      <color rgb="FF99FF99"/>
      <color rgb="FFCC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styles" Target="styles.xml"/><Relationship Id="rId30"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10584</xdr:colOff>
      <xdr:row>4</xdr:row>
      <xdr:rowOff>0</xdr:rowOff>
    </xdr:from>
    <xdr:to>
      <xdr:col>1</xdr:col>
      <xdr:colOff>1848909</xdr:colOff>
      <xdr:row>10</xdr:row>
      <xdr:rowOff>126229</xdr:rowOff>
    </xdr:to>
    <xdr:pic>
      <xdr:nvPicPr>
        <xdr:cNvPr id="3" name="Afbeelding 2">
          <a:extLst>
            <a:ext uri="{FF2B5EF4-FFF2-40B4-BE49-F238E27FC236}">
              <a16:creationId xmlns:a16="http://schemas.microsoft.com/office/drawing/2014/main" id="{F5B37F9C-1254-445F-A95D-38EAE6552557}"/>
            </a:ext>
          </a:extLst>
        </xdr:cNvPr>
        <xdr:cNvPicPr>
          <a:picLocks noChangeAspect="1"/>
        </xdr:cNvPicPr>
      </xdr:nvPicPr>
      <xdr:blipFill>
        <a:blip xmlns:r="http://schemas.openxmlformats.org/officeDocument/2006/relationships" r:embed="rId1"/>
        <a:stretch>
          <a:fillRect/>
        </a:stretch>
      </xdr:blipFill>
      <xdr:spPr>
        <a:xfrm>
          <a:off x="328084" y="709083"/>
          <a:ext cx="1838325" cy="107237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50573</xdr:colOff>
      <xdr:row>23</xdr:row>
      <xdr:rowOff>9525</xdr:rowOff>
    </xdr:from>
    <xdr:to>
      <xdr:col>5</xdr:col>
      <xdr:colOff>1352323</xdr:colOff>
      <xdr:row>23</xdr:row>
      <xdr:rowOff>9526</xdr:rowOff>
    </xdr:to>
    <xdr:cxnSp macro="">
      <xdr:nvCxnSpPr>
        <xdr:cNvPr id="2" name="Straight Arrow Connector 4">
          <a:extLst>
            <a:ext uri="{FF2B5EF4-FFF2-40B4-BE49-F238E27FC236}">
              <a16:creationId xmlns:a16="http://schemas.microsoft.com/office/drawing/2014/main" id="{00000000-0008-0000-0400-000002000000}"/>
            </a:ext>
          </a:extLst>
        </xdr:cNvPr>
        <xdr:cNvCxnSpPr/>
      </xdr:nvCxnSpPr>
      <xdr:spPr>
        <a:xfrm>
          <a:off x="4720544" y="4668611"/>
          <a:ext cx="1301750" cy="1"/>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48078</xdr:colOff>
      <xdr:row>32</xdr:row>
      <xdr:rowOff>155086</xdr:rowOff>
    </xdr:from>
    <xdr:to>
      <xdr:col>5</xdr:col>
      <xdr:colOff>1351278</xdr:colOff>
      <xdr:row>32</xdr:row>
      <xdr:rowOff>155087</xdr:rowOff>
    </xdr:to>
    <xdr:cxnSp macro="">
      <xdr:nvCxnSpPr>
        <xdr:cNvPr id="3" name="Straight Arrow Connector 14">
          <a:extLst>
            <a:ext uri="{FF2B5EF4-FFF2-40B4-BE49-F238E27FC236}">
              <a16:creationId xmlns:a16="http://schemas.microsoft.com/office/drawing/2014/main" id="{00000000-0008-0000-0400-000003000000}"/>
            </a:ext>
          </a:extLst>
        </xdr:cNvPr>
        <xdr:cNvCxnSpPr/>
      </xdr:nvCxnSpPr>
      <xdr:spPr>
        <a:xfrm>
          <a:off x="4722655" y="6221778"/>
          <a:ext cx="1303200" cy="1"/>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39688</xdr:colOff>
      <xdr:row>43</xdr:row>
      <xdr:rowOff>92808</xdr:rowOff>
    </xdr:from>
    <xdr:to>
      <xdr:col>5</xdr:col>
      <xdr:colOff>1341438</xdr:colOff>
      <xdr:row>43</xdr:row>
      <xdr:rowOff>92809</xdr:rowOff>
    </xdr:to>
    <xdr:cxnSp macro="">
      <xdr:nvCxnSpPr>
        <xdr:cNvPr id="4" name="Straight Arrow Connector 16">
          <a:extLst>
            <a:ext uri="{FF2B5EF4-FFF2-40B4-BE49-F238E27FC236}">
              <a16:creationId xmlns:a16="http://schemas.microsoft.com/office/drawing/2014/main" id="{00000000-0008-0000-0400-000004000000}"/>
            </a:ext>
          </a:extLst>
        </xdr:cNvPr>
        <xdr:cNvCxnSpPr/>
      </xdr:nvCxnSpPr>
      <xdr:spPr>
        <a:xfrm>
          <a:off x="4714265" y="7932616"/>
          <a:ext cx="1301750" cy="1"/>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1341437</xdr:colOff>
      <xdr:row>25</xdr:row>
      <xdr:rowOff>7938</xdr:rowOff>
    </xdr:from>
    <xdr:to>
      <xdr:col>7</xdr:col>
      <xdr:colOff>1341437</xdr:colOff>
      <xdr:row>26</xdr:row>
      <xdr:rowOff>142875</xdr:rowOff>
    </xdr:to>
    <xdr:cxnSp macro="">
      <xdr:nvCxnSpPr>
        <xdr:cNvPr id="5" name="Straight Arrow Connector 12">
          <a:extLst>
            <a:ext uri="{FF2B5EF4-FFF2-40B4-BE49-F238E27FC236}">
              <a16:creationId xmlns:a16="http://schemas.microsoft.com/office/drawing/2014/main" id="{00000000-0008-0000-0400-000005000000}"/>
            </a:ext>
          </a:extLst>
        </xdr:cNvPr>
        <xdr:cNvCxnSpPr/>
      </xdr:nvCxnSpPr>
      <xdr:spPr>
        <a:xfrm>
          <a:off x="7437437" y="4446588"/>
          <a:ext cx="0" cy="296862"/>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49510</xdr:colOff>
      <xdr:row>33</xdr:row>
      <xdr:rowOff>88001</xdr:rowOff>
    </xdr:from>
    <xdr:to>
      <xdr:col>5</xdr:col>
      <xdr:colOff>1352710</xdr:colOff>
      <xdr:row>38</xdr:row>
      <xdr:rowOff>74040</xdr:rowOff>
    </xdr:to>
    <xdr:cxnSp macro="">
      <xdr:nvCxnSpPr>
        <xdr:cNvPr id="6" name="Elbow Connector 18">
          <a:extLst>
            <a:ext uri="{FF2B5EF4-FFF2-40B4-BE49-F238E27FC236}">
              <a16:creationId xmlns:a16="http://schemas.microsoft.com/office/drawing/2014/main" id="{00000000-0008-0000-0400-000006000000}"/>
            </a:ext>
          </a:extLst>
        </xdr:cNvPr>
        <xdr:cNvCxnSpPr/>
      </xdr:nvCxnSpPr>
      <xdr:spPr>
        <a:xfrm>
          <a:off x="4724087" y="6315886"/>
          <a:ext cx="1303200" cy="792000"/>
        </a:xfrm>
        <a:prstGeom prst="bentConnector3">
          <a:avLst>
            <a:gd name="adj1" fmla="val 54658"/>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46404</xdr:colOff>
      <xdr:row>38</xdr:row>
      <xdr:rowOff>78154</xdr:rowOff>
    </xdr:from>
    <xdr:to>
      <xdr:col>9</xdr:col>
      <xdr:colOff>1348154</xdr:colOff>
      <xdr:row>38</xdr:row>
      <xdr:rowOff>78155</xdr:rowOff>
    </xdr:to>
    <xdr:cxnSp macro="">
      <xdr:nvCxnSpPr>
        <xdr:cNvPr id="7" name="Straight Arrow Connector 19">
          <a:extLst>
            <a:ext uri="{FF2B5EF4-FFF2-40B4-BE49-F238E27FC236}">
              <a16:creationId xmlns:a16="http://schemas.microsoft.com/office/drawing/2014/main" id="{00000000-0008-0000-0400-000007000000}"/>
            </a:ext>
          </a:extLst>
        </xdr:cNvPr>
        <xdr:cNvCxnSpPr/>
      </xdr:nvCxnSpPr>
      <xdr:spPr>
        <a:xfrm>
          <a:off x="9190404" y="7112000"/>
          <a:ext cx="1301750" cy="1"/>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50825</xdr:colOff>
      <xdr:row>38</xdr:row>
      <xdr:rowOff>68519</xdr:rowOff>
    </xdr:from>
    <xdr:to>
      <xdr:col>13</xdr:col>
      <xdr:colOff>1352575</xdr:colOff>
      <xdr:row>38</xdr:row>
      <xdr:rowOff>68520</xdr:rowOff>
    </xdr:to>
    <xdr:cxnSp macro="">
      <xdr:nvCxnSpPr>
        <xdr:cNvPr id="8" name="Straight Arrow Connector 21">
          <a:extLst>
            <a:ext uri="{FF2B5EF4-FFF2-40B4-BE49-F238E27FC236}">
              <a16:creationId xmlns:a16="http://schemas.microsoft.com/office/drawing/2014/main" id="{00000000-0008-0000-0400-000008000000}"/>
            </a:ext>
          </a:extLst>
        </xdr:cNvPr>
        <xdr:cNvCxnSpPr/>
      </xdr:nvCxnSpPr>
      <xdr:spPr>
        <a:xfrm>
          <a:off x="13915912" y="7266106"/>
          <a:ext cx="1301750" cy="1"/>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43542</xdr:colOff>
      <xdr:row>23</xdr:row>
      <xdr:rowOff>157842</xdr:rowOff>
    </xdr:from>
    <xdr:to>
      <xdr:col>5</xdr:col>
      <xdr:colOff>1346742</xdr:colOff>
      <xdr:row>28</xdr:row>
      <xdr:rowOff>97414</xdr:rowOff>
    </xdr:to>
    <xdr:cxnSp macro="">
      <xdr:nvCxnSpPr>
        <xdr:cNvPr id="9" name="Elbow Connector 22">
          <a:extLst>
            <a:ext uri="{FF2B5EF4-FFF2-40B4-BE49-F238E27FC236}">
              <a16:creationId xmlns:a16="http://schemas.microsoft.com/office/drawing/2014/main" id="{00000000-0008-0000-0400-000009000000}"/>
            </a:ext>
          </a:extLst>
        </xdr:cNvPr>
        <xdr:cNvCxnSpPr/>
      </xdr:nvCxnSpPr>
      <xdr:spPr>
        <a:xfrm>
          <a:off x="4713513" y="4816928"/>
          <a:ext cx="1303200" cy="756000"/>
        </a:xfrm>
        <a:prstGeom prst="bentConnector3">
          <a:avLst>
            <a:gd name="adj1" fmla="val 50000"/>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39077</xdr:colOff>
      <xdr:row>33</xdr:row>
      <xdr:rowOff>56172</xdr:rowOff>
    </xdr:from>
    <xdr:to>
      <xdr:col>9</xdr:col>
      <xdr:colOff>1340827</xdr:colOff>
      <xdr:row>37</xdr:row>
      <xdr:rowOff>95403</xdr:rowOff>
    </xdr:to>
    <xdr:cxnSp macro="">
      <xdr:nvCxnSpPr>
        <xdr:cNvPr id="10" name="Elbow Connector 24">
          <a:extLst>
            <a:ext uri="{FF2B5EF4-FFF2-40B4-BE49-F238E27FC236}">
              <a16:creationId xmlns:a16="http://schemas.microsoft.com/office/drawing/2014/main" id="{00000000-0008-0000-0400-00000A000000}"/>
            </a:ext>
          </a:extLst>
        </xdr:cNvPr>
        <xdr:cNvCxnSpPr/>
      </xdr:nvCxnSpPr>
      <xdr:spPr>
        <a:xfrm>
          <a:off x="9183077" y="6284057"/>
          <a:ext cx="1301750" cy="684000"/>
        </a:xfrm>
        <a:prstGeom prst="bentConnector3">
          <a:avLst>
            <a:gd name="adj1" fmla="val 50000"/>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39076</xdr:colOff>
      <xdr:row>39</xdr:row>
      <xdr:rowOff>43473</xdr:rowOff>
    </xdr:from>
    <xdr:to>
      <xdr:col>9</xdr:col>
      <xdr:colOff>1342276</xdr:colOff>
      <xdr:row>43</xdr:row>
      <xdr:rowOff>82703</xdr:rowOff>
    </xdr:to>
    <xdr:cxnSp macro="">
      <xdr:nvCxnSpPr>
        <xdr:cNvPr id="11" name="Elbow Connector 25">
          <a:extLst>
            <a:ext uri="{FF2B5EF4-FFF2-40B4-BE49-F238E27FC236}">
              <a16:creationId xmlns:a16="http://schemas.microsoft.com/office/drawing/2014/main" id="{00000000-0008-0000-0400-00000B000000}"/>
            </a:ext>
          </a:extLst>
        </xdr:cNvPr>
        <xdr:cNvCxnSpPr/>
      </xdr:nvCxnSpPr>
      <xdr:spPr>
        <a:xfrm flipV="1">
          <a:off x="9183076" y="7238511"/>
          <a:ext cx="1303200" cy="684000"/>
        </a:xfrm>
        <a:prstGeom prst="bentConnector3">
          <a:avLst>
            <a:gd name="adj1" fmla="val 50000"/>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40821</xdr:colOff>
      <xdr:row>34</xdr:row>
      <xdr:rowOff>20934</xdr:rowOff>
    </xdr:from>
    <xdr:to>
      <xdr:col>5</xdr:col>
      <xdr:colOff>1344021</xdr:colOff>
      <xdr:row>42</xdr:row>
      <xdr:rowOff>135396</xdr:rowOff>
    </xdr:to>
    <xdr:cxnSp macro="">
      <xdr:nvCxnSpPr>
        <xdr:cNvPr id="12" name="Elbow Connector 13">
          <a:extLst>
            <a:ext uri="{FF2B5EF4-FFF2-40B4-BE49-F238E27FC236}">
              <a16:creationId xmlns:a16="http://schemas.microsoft.com/office/drawing/2014/main" id="{00000000-0008-0000-0400-00000C000000}"/>
            </a:ext>
          </a:extLst>
        </xdr:cNvPr>
        <xdr:cNvCxnSpPr/>
      </xdr:nvCxnSpPr>
      <xdr:spPr>
        <a:xfrm>
          <a:off x="4715398" y="6410011"/>
          <a:ext cx="1303200" cy="1404000"/>
        </a:xfrm>
        <a:prstGeom prst="bentConnector3">
          <a:avLst>
            <a:gd name="adj1" fmla="val 50000"/>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39688</xdr:colOff>
      <xdr:row>13</xdr:row>
      <xdr:rowOff>63500</xdr:rowOff>
    </xdr:from>
    <xdr:to>
      <xdr:col>9</xdr:col>
      <xdr:colOff>1341438</xdr:colOff>
      <xdr:row>13</xdr:row>
      <xdr:rowOff>63501</xdr:rowOff>
    </xdr:to>
    <xdr:cxnSp macro="">
      <xdr:nvCxnSpPr>
        <xdr:cNvPr id="13" name="Straight Arrow Connector 17">
          <a:extLst>
            <a:ext uri="{FF2B5EF4-FFF2-40B4-BE49-F238E27FC236}">
              <a16:creationId xmlns:a16="http://schemas.microsoft.com/office/drawing/2014/main" id="{00000000-0008-0000-0400-00000D000000}"/>
            </a:ext>
          </a:extLst>
        </xdr:cNvPr>
        <xdr:cNvCxnSpPr/>
      </xdr:nvCxnSpPr>
      <xdr:spPr>
        <a:xfrm>
          <a:off x="9031288" y="2559050"/>
          <a:ext cx="1301750" cy="1"/>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27214</xdr:colOff>
      <xdr:row>13</xdr:row>
      <xdr:rowOff>54428</xdr:rowOff>
    </xdr:from>
    <xdr:to>
      <xdr:col>5</xdr:col>
      <xdr:colOff>1328964</xdr:colOff>
      <xdr:row>13</xdr:row>
      <xdr:rowOff>54429</xdr:rowOff>
    </xdr:to>
    <xdr:cxnSp macro="">
      <xdr:nvCxnSpPr>
        <xdr:cNvPr id="14" name="Straight Arrow Connector 20">
          <a:extLst>
            <a:ext uri="{FF2B5EF4-FFF2-40B4-BE49-F238E27FC236}">
              <a16:creationId xmlns:a16="http://schemas.microsoft.com/office/drawing/2014/main" id="{00000000-0008-0000-0400-00000E000000}"/>
            </a:ext>
          </a:extLst>
        </xdr:cNvPr>
        <xdr:cNvCxnSpPr/>
      </xdr:nvCxnSpPr>
      <xdr:spPr>
        <a:xfrm>
          <a:off x="4561114" y="2549978"/>
          <a:ext cx="1301750" cy="1"/>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1369219</xdr:colOff>
      <xdr:row>10</xdr:row>
      <xdr:rowOff>83344</xdr:rowOff>
    </xdr:from>
    <xdr:to>
      <xdr:col>11</xdr:col>
      <xdr:colOff>1375172</xdr:colOff>
      <xdr:row>10</xdr:row>
      <xdr:rowOff>83344</xdr:rowOff>
    </xdr:to>
    <xdr:cxnSp macro="">
      <xdr:nvCxnSpPr>
        <xdr:cNvPr id="15" name="Straight Connector 23">
          <a:extLst>
            <a:ext uri="{FF2B5EF4-FFF2-40B4-BE49-F238E27FC236}">
              <a16:creationId xmlns:a16="http://schemas.microsoft.com/office/drawing/2014/main" id="{00000000-0008-0000-0400-00000F000000}"/>
            </a:ext>
          </a:extLst>
        </xdr:cNvPr>
        <xdr:cNvCxnSpPr/>
      </xdr:nvCxnSpPr>
      <xdr:spPr>
        <a:xfrm flipH="1">
          <a:off x="3007519" y="2093119"/>
          <a:ext cx="9054703"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1369219</xdr:colOff>
      <xdr:row>10</xdr:row>
      <xdr:rowOff>95251</xdr:rowOff>
    </xdr:from>
    <xdr:to>
      <xdr:col>3</xdr:col>
      <xdr:colOff>1369219</xdr:colOff>
      <xdr:row>11</xdr:row>
      <xdr:rowOff>158751</xdr:rowOff>
    </xdr:to>
    <xdr:cxnSp macro="">
      <xdr:nvCxnSpPr>
        <xdr:cNvPr id="16" name="Straight Connector 26">
          <a:extLst>
            <a:ext uri="{FF2B5EF4-FFF2-40B4-BE49-F238E27FC236}">
              <a16:creationId xmlns:a16="http://schemas.microsoft.com/office/drawing/2014/main" id="{00000000-0008-0000-0400-000010000000}"/>
            </a:ext>
          </a:extLst>
        </xdr:cNvPr>
        <xdr:cNvCxnSpPr/>
      </xdr:nvCxnSpPr>
      <xdr:spPr>
        <a:xfrm flipV="1">
          <a:off x="3007519" y="2105026"/>
          <a:ext cx="0" cy="2254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1381126</xdr:colOff>
      <xdr:row>10</xdr:row>
      <xdr:rowOff>95250</xdr:rowOff>
    </xdr:from>
    <xdr:to>
      <xdr:col>11</xdr:col>
      <xdr:colOff>1381126</xdr:colOff>
      <xdr:row>12</xdr:row>
      <xdr:rowOff>11907</xdr:rowOff>
    </xdr:to>
    <xdr:cxnSp macro="">
      <xdr:nvCxnSpPr>
        <xdr:cNvPr id="17" name="Straight Arrow Connector 27">
          <a:extLst>
            <a:ext uri="{FF2B5EF4-FFF2-40B4-BE49-F238E27FC236}">
              <a16:creationId xmlns:a16="http://schemas.microsoft.com/office/drawing/2014/main" id="{00000000-0008-0000-0400-000011000000}"/>
            </a:ext>
          </a:extLst>
        </xdr:cNvPr>
        <xdr:cNvCxnSpPr/>
      </xdr:nvCxnSpPr>
      <xdr:spPr>
        <a:xfrm>
          <a:off x="12068176" y="2105025"/>
          <a:ext cx="0" cy="240507"/>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LTM\Tariefvoorstellen\TV-2013\VV\20120921_SF-grote-ronde-Liesbethdump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TE\ALGEMEEN\Tarieven\Tarieven%202002%20netbeheerders\AuditMod%20II.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05%20OI\02%20Persoon\Makkinga\TAR-NG\TAR%202011\2%20-%20Concept\NG-TAR(i)-10-08%20Concep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TI\STAF\Business%20Control\Onderhoud\ONH.007%20Segmentering\2008\Segmentering%202008\Definitief\Versie%2020091124\Analyse%20Uren%20BU-TI%20PwC%20Audit%202008.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My%20Documents\Clients\TenneT\2009\Interim\Original%20Files\Nieuwe%20map\Database%20investeringen%202%20nov.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05%20Regulering\Tarieven%202005\6.%20Proces%20Gas\CODATA\040616%201%20BF%20NG-TA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20and%20Settings\gu20179\Local%20Settings\Temporary%20Internet%20Files\OLK10\Tarieven%20GTS%202009%20DEFINITIEF%20(7).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energiekamer.nl/08%20Netten/Derde%20reguleringsperiode/RNB's/16.%20Ontwerpbesluiten%20x,q%20en%20rekenvolume/X-factor/Berekening%20X-factor,%20Bijlagen/Archief/060519%20MS%20correctie%20voor%20LUP.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Te\ALGEMEEN\Tarieven%202003\Elektriciteit%20nettarieven\Output%20definitief\021015%20TM%20NE%202003%20Definitief%20UIT%20(3)\DELT%20TM%20NE%202003%20(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energiekamer.nl/erik/infoverzoek/CBB/E%20deal%20definitief%2011-11-0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CR\Afgeschermd\Cluster%20Control\00%20aNieuwe%20structuur\420%20-%20Overige%20verzoeken%20Energiekamer%20(DE)\50%20-%20Werkbestanden\indirecte%20OPEX%20en%20meerkosten%20WON\model%20segmentering%202008%20def%20S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QueryTxt"/>
      <sheetName val="TempQuery"/>
      <sheetName val="Logboek"/>
      <sheetName val="ORI"/>
      <sheetName val="ORI bewerkt"/>
      <sheetName val="Draaitabel"/>
      <sheetName val="SF 120921 RV13 per NWP"/>
      <sheetName val="Resultaat"/>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tants"/>
      <sheetName val="Data"/>
      <sheetName val="AuditMod"/>
    </sheetNames>
    <sheetDataSet>
      <sheetData sheetId="0" refreshError="1">
        <row r="3">
          <cell r="E3">
            <v>0.05</v>
          </cell>
        </row>
        <row r="4">
          <cell r="E4">
            <v>6.6000000000000003E-2</v>
          </cell>
        </row>
      </sheetData>
      <sheetData sheetId="1"/>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Contactgegevens"/>
      <sheetName val="Tarievenvoorstel"/>
      <sheetName val="Toelichting"/>
      <sheetName val="Richtlijnen Controle Tarieven"/>
    </sheetNames>
    <sheetDataSet>
      <sheetData sheetId="0" refreshError="1"/>
      <sheetData sheetId="1"/>
      <sheetData sheetId="2"/>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wC - Uren TI (top)"/>
      <sheetName val="PwC - Uren TI"/>
      <sheetName val="PwC - TI-projecten"/>
      <sheetName val="TenneT - Projecten TI"/>
      <sheetName val="Pivot IFS Afdelingsrapportages"/>
      <sheetName val="PwC - Afdelingen"/>
      <sheetName val="TenneT - Afdelingen"/>
      <sheetName val="TenneT - Locaties"/>
      <sheetName val="TenneT - WvD"/>
      <sheetName val="CLEAN DATA"/>
    </sheetNames>
    <sheetDataSet>
      <sheetData sheetId="0" refreshError="1"/>
      <sheetData sheetId="1" refreshError="1"/>
      <sheetData sheetId="2">
        <row r="1">
          <cell r="B1" t="str">
            <v>Project#</v>
          </cell>
          <cell r="C1" t="str">
            <v>Omschrijving</v>
          </cell>
          <cell r="D1" t="str">
            <v>Classificatie</v>
          </cell>
          <cell r="E1" t="str">
            <v>Original</v>
          </cell>
        </row>
        <row r="2">
          <cell r="B2">
            <v>2006</v>
          </cell>
          <cell r="C2" t="str">
            <v>Hoogeveen-Beilen, uitbreiding met 1 kabelcircuit 220 MVA, aansluiting GAVI</v>
          </cell>
          <cell r="D2" t="str">
            <v>220kV / 380kV</v>
          </cell>
        </row>
        <row r="3">
          <cell r="B3">
            <v>2007</v>
          </cell>
          <cell r="C3" t="str">
            <v>Dante-Weerdinge, uitbreiding met een 110-kV-verbinding 2x300 MVA</v>
          </cell>
          <cell r="D3" t="str">
            <v>WvD</v>
          </cell>
        </row>
        <row r="4">
          <cell r="B4">
            <v>2008</v>
          </cell>
          <cell r="C4" t="str">
            <v>Coevorden, uitbreiding met een 110-kV station</v>
          </cell>
          <cell r="D4" t="str">
            <v>110kV - 150kV</v>
          </cell>
        </row>
        <row r="5">
          <cell r="B5">
            <v>2009</v>
          </cell>
          <cell r="C5" t="str">
            <v>Coevorden-Combilijn, uitbreiding met een 110-kV-kabelcircuit 1x300 MVA</v>
          </cell>
          <cell r="D5" t="str">
            <v>110kV - 150kV</v>
          </cell>
        </row>
        <row r="6">
          <cell r="B6">
            <v>2010</v>
          </cell>
          <cell r="C6" t="str">
            <v>Dante-Combilijn, uitbreiding met een 110-kV-kabelcircuit 1x300 MVA</v>
          </cell>
          <cell r="D6" t="str">
            <v>110kV - 150kV</v>
          </cell>
        </row>
        <row r="7">
          <cell r="B7">
            <v>2011</v>
          </cell>
          <cell r="C7" t="str">
            <v>Coevorden-Hoogeveen, opwaardering verbinding naar 2x145 MVA</v>
          </cell>
          <cell r="D7" t="str">
            <v>110kV - 150kV</v>
          </cell>
        </row>
        <row r="8">
          <cell r="B8">
            <v>2024</v>
          </cell>
          <cell r="C8" t="str">
            <v>Bergen op Zoom, uitbreiding met een veld tbv transformator Essent</v>
          </cell>
          <cell r="D8" t="str">
            <v>WvD</v>
          </cell>
          <cell r="E8" t="str">
            <v>110kV - 150kV</v>
          </cell>
        </row>
        <row r="9">
          <cell r="B9">
            <v>2030</v>
          </cell>
          <cell r="C9" t="str">
            <v>Diverse verbindingen, aanbrengen valbeveiliging</v>
          </cell>
          <cell r="D9" t="str">
            <v>110kV - 150kV</v>
          </cell>
        </row>
        <row r="10">
          <cell r="B10">
            <v>2036</v>
          </cell>
          <cell r="C10" t="str">
            <v>Bergen op Zoom, uitbreiding met een veld tbv Windnet 70MW</v>
          </cell>
          <cell r="D10" t="str">
            <v>WvD</v>
          </cell>
          <cell r="E10" t="str">
            <v>110kV - 150kV</v>
          </cell>
        </row>
        <row r="11">
          <cell r="B11">
            <v>2037</v>
          </cell>
          <cell r="C11" t="str">
            <v>Eindhoven Noord, uitbreiding met een veld tbv Mapron</v>
          </cell>
          <cell r="D11" t="str">
            <v>WvD</v>
          </cell>
          <cell r="E11" t="str">
            <v>110kV - 150kV</v>
          </cell>
        </row>
        <row r="12">
          <cell r="B12">
            <v>2039</v>
          </cell>
          <cell r="C12" t="str">
            <v>Verbinding Krimpen Ommoord</v>
          </cell>
          <cell r="D12" t="str">
            <v>110kV - 150kV</v>
          </cell>
        </row>
        <row r="13">
          <cell r="B13">
            <v>2054</v>
          </cell>
          <cell r="C13" t="str">
            <v>Haaksbergen-Oele, uitbreiding met een 110-kV-verbinding @MVA</v>
          </cell>
          <cell r="D13" t="str">
            <v>110kV - 150kV</v>
          </cell>
        </row>
        <row r="14">
          <cell r="B14">
            <v>2057</v>
          </cell>
          <cell r="C14" t="str">
            <v>Ommoord, retrofit BISEP en renovatie secundair</v>
          </cell>
          <cell r="D14" t="str">
            <v>WvD</v>
          </cell>
          <cell r="E14" t="str">
            <v>110kV - 150kV</v>
          </cell>
        </row>
        <row r="15">
          <cell r="B15">
            <v>2071</v>
          </cell>
          <cell r="C15" t="str">
            <v>Ommoord, retrofit BISEP en renovatie secundair</v>
          </cell>
          <cell r="D15" t="str">
            <v>110kV - 150kV</v>
          </cell>
        </row>
        <row r="16">
          <cell r="B16">
            <v>2072</v>
          </cell>
          <cell r="C16" t="str">
            <v>Zoetemeer, retrofit BISEP en renovatie secundair</v>
          </cell>
          <cell r="D16" t="str">
            <v>110kV - 150kV</v>
          </cell>
        </row>
        <row r="17">
          <cell r="B17">
            <v>2074</v>
          </cell>
          <cell r="C17" t="str">
            <v>Tusveld-Urenco, verlegging gdp bij spoor (Regge en Dinkel)</v>
          </cell>
          <cell r="D17" t="str">
            <v>WvD</v>
          </cell>
          <cell r="E17" t="str">
            <v>110kV - 150kV</v>
          </cell>
        </row>
        <row r="18">
          <cell r="B18">
            <v>2075</v>
          </cell>
          <cell r="C18" t="str">
            <v>Weideweg-Oldenzaal, verkabeling Dalmeden</v>
          </cell>
          <cell r="D18" t="str">
            <v>WvD</v>
          </cell>
          <cell r="E18" t="str">
            <v>110kV - 150kV</v>
          </cell>
        </row>
        <row r="19">
          <cell r="B19">
            <v>2084</v>
          </cell>
          <cell r="C19" t="str">
            <v>Diemen-Ens, reconstructie Bloemendaler polder ivm verlegging A1</v>
          </cell>
          <cell r="D19" t="str">
            <v>WvD</v>
          </cell>
          <cell r="E19" t="str">
            <v>220kV / 380kV</v>
          </cell>
        </row>
        <row r="20">
          <cell r="B20">
            <v>2119</v>
          </cell>
          <cell r="C20" t="str">
            <v>Hemweg, uitbreiding met één veld tbv Twingo 500 MW</v>
          </cell>
          <cell r="D20" t="str">
            <v>WvD</v>
          </cell>
          <cell r="E20" t="str">
            <v>110kV - 150kV</v>
          </cell>
        </row>
        <row r="21">
          <cell r="B21">
            <v>2138</v>
          </cell>
          <cell r="C21" t="str">
            <v>Helmond Oost, uitbreiding met een veld tbv transformator Essent</v>
          </cell>
          <cell r="D21" t="str">
            <v>WvD</v>
          </cell>
          <cell r="E21" t="str">
            <v>110kV - 150kV</v>
          </cell>
        </row>
        <row r="22">
          <cell r="B22">
            <v>2139</v>
          </cell>
          <cell r="C22" t="str">
            <v>Horst, uitbreiding met een veld tbv Essent</v>
          </cell>
          <cell r="D22" t="str">
            <v>WvD</v>
          </cell>
          <cell r="E22" t="str">
            <v>110kV - 150kV</v>
          </cell>
        </row>
        <row r="23">
          <cell r="B23">
            <v>2149</v>
          </cell>
          <cell r="C23" t="str">
            <v xml:space="preserve">Hessenweg-Weteringkade-Harculo, verhoging transportcapaciteit </v>
          </cell>
          <cell r="D23" t="str">
            <v>110kV - 150kV</v>
          </cell>
        </row>
        <row r="24">
          <cell r="B24">
            <v>2150</v>
          </cell>
          <cell r="C24" t="str">
            <v>Goor-Hengelo Weideweg, uitbreiding met één circuit</v>
          </cell>
          <cell r="D24" t="str">
            <v>110kV - 150kV</v>
          </cell>
        </row>
        <row r="25">
          <cell r="B25">
            <v>2156</v>
          </cell>
          <cell r="C25" t="str">
            <v>Roosendaal, uitbreiding met twee velden tbv Sita</v>
          </cell>
          <cell r="D25" t="str">
            <v>WvD</v>
          </cell>
          <cell r="E25" t="str">
            <v>110kV - 150kV</v>
          </cell>
        </row>
        <row r="26">
          <cell r="B26">
            <v>2157</v>
          </cell>
          <cell r="C26" t="str">
            <v>Oterleek, uitbreiding met twee velden tbv TAQA 100 MW</v>
          </cell>
          <cell r="D26" t="str">
            <v>WvD</v>
          </cell>
          <cell r="E26" t="str">
            <v>110kV - 150kV</v>
          </cell>
        </row>
        <row r="27">
          <cell r="B27">
            <v>2177</v>
          </cell>
          <cell r="C27" t="str">
            <v>Verbinding Ommoord Rotterdam Marconistraat</v>
          </cell>
          <cell r="D27" t="str">
            <v>WvD</v>
          </cell>
        </row>
        <row r="28">
          <cell r="B28">
            <v>217370</v>
          </cell>
          <cell r="C28" t="str">
            <v>Blindstroomcompensatiemiddelen</v>
          </cell>
          <cell r="D28" t="str">
            <v>220kV / 380kV</v>
          </cell>
        </row>
        <row r="29">
          <cell r="B29">
            <v>2</v>
          </cell>
          <cell r="C29" t="str">
            <v>Westerlee, uitbreiding met een 380-kV station</v>
          </cell>
          <cell r="D29" t="str">
            <v>220kV / 380kV</v>
          </cell>
        </row>
        <row r="30">
          <cell r="B30">
            <v>3</v>
          </cell>
          <cell r="C30" t="str">
            <v>Wateringen, uitbreiding met een 380-kV-station</v>
          </cell>
          <cell r="D30" t="str">
            <v>220kV / 380kV</v>
          </cell>
        </row>
        <row r="31">
          <cell r="B31">
            <v>4</v>
          </cell>
          <cell r="C31" t="str">
            <v>Bleiswijk, uitbreiding tot 380-kV-HIS-dubbelrailstation</v>
          </cell>
          <cell r="D31" t="str">
            <v>220kV / 380kV</v>
          </cell>
        </row>
        <row r="32">
          <cell r="B32">
            <v>5</v>
          </cell>
          <cell r="C32" t="str">
            <v>Wateringen-Bleiswijk, uitbreiding met een 380-kV-verbinding</v>
          </cell>
          <cell r="D32" t="str">
            <v>220kV / 380kV</v>
          </cell>
        </row>
        <row r="33">
          <cell r="B33">
            <v>6</v>
          </cell>
          <cell r="C33" t="str">
            <v>Maasvlakte-Westerlee, verdubbeling capaciteits kabels Waterkruising</v>
          </cell>
          <cell r="D33" t="str">
            <v>220kV / 380kV</v>
          </cell>
        </row>
        <row r="34">
          <cell r="B34">
            <v>7</v>
          </cell>
          <cell r="C34" t="str">
            <v>Bleiswijk-Beverwijk, uitbreiding met een 380-kV-verbinding</v>
          </cell>
          <cell r="D34" t="str">
            <v>220kV / 380kV</v>
          </cell>
        </row>
        <row r="35">
          <cell r="B35">
            <v>10</v>
          </cell>
          <cell r="C35" t="str">
            <v>Hengelo, uitbreiding met derde transformator</v>
          </cell>
          <cell r="D35" t="str">
            <v>220kV / 380kV</v>
          </cell>
        </row>
        <row r="36">
          <cell r="B36">
            <v>11</v>
          </cell>
          <cell r="C36" t="str">
            <v>Meeden, uitbreiding met tweede transformator</v>
          </cell>
          <cell r="D36" t="str">
            <v>220kV / 380kV</v>
          </cell>
        </row>
        <row r="37">
          <cell r="B37">
            <v>12</v>
          </cell>
          <cell r="C37" t="str">
            <v>Breukelen, 7e transformator FGU-net, locatie B4</v>
          </cell>
          <cell r="D37" t="str">
            <v>220kV / 380kV</v>
          </cell>
        </row>
        <row r="38">
          <cell r="B38">
            <v>14</v>
          </cell>
          <cell r="C38" t="str">
            <v>Lelystad, uitbreiding tot dubbelrailsysteem</v>
          </cell>
          <cell r="D38" t="str">
            <v>220kV / 380kV</v>
          </cell>
        </row>
        <row r="39">
          <cell r="B39">
            <v>15</v>
          </cell>
          <cell r="C39" t="str">
            <v>Simonshaven, uitbreiding met een 380-kV-station</v>
          </cell>
          <cell r="D39" t="str">
            <v>220kV / 380kV</v>
          </cell>
        </row>
        <row r="40">
          <cell r="B40">
            <v>16</v>
          </cell>
          <cell r="C40" t="str">
            <v>Zwolle, uitbreiding met een 380/110-kV-transformator</v>
          </cell>
          <cell r="D40" t="str">
            <v>220kV / 380kV</v>
          </cell>
        </row>
        <row r="41">
          <cell r="B41">
            <v>17</v>
          </cell>
          <cell r="C41" t="str">
            <v>Geertruidenberg, uitbreiding met derde transformator</v>
          </cell>
          <cell r="D41" t="str">
            <v>220kV / 380kV</v>
          </cell>
        </row>
        <row r="42">
          <cell r="B42">
            <v>21</v>
          </cell>
          <cell r="C42" t="str">
            <v>Diverse 220-kV-stations, renovatie secundaire installaties</v>
          </cell>
          <cell r="D42" t="str">
            <v>220kV / 380kV</v>
          </cell>
        </row>
        <row r="43">
          <cell r="B43">
            <v>24</v>
          </cell>
          <cell r="C43" t="str">
            <v>Vervanging transformator 220/110 kV (stelpost)</v>
          </cell>
          <cell r="D43" t="str">
            <v>220kV / 380kV</v>
          </cell>
        </row>
        <row r="44">
          <cell r="B44">
            <v>26</v>
          </cell>
          <cell r="C44" t="str">
            <v>Dod4, vervanging transformator TR403</v>
          </cell>
          <cell r="D44" t="str">
            <v>220kV / 380kV</v>
          </cell>
        </row>
        <row r="45">
          <cell r="B45">
            <v>27</v>
          </cell>
          <cell r="C45" t="str">
            <v>Vvl2, vervanging transformator TR201</v>
          </cell>
          <cell r="D45" t="str">
            <v>220kV / 380kV</v>
          </cell>
        </row>
        <row r="46">
          <cell r="B46">
            <v>28</v>
          </cell>
          <cell r="C46" t="str">
            <v>Ehv4, vervanging transformator TR403 en TR404</v>
          </cell>
          <cell r="D46" t="str">
            <v>220kV / 380kV</v>
          </cell>
        </row>
        <row r="47">
          <cell r="B47">
            <v>29</v>
          </cell>
          <cell r="C47" t="str">
            <v>Zyv2, vervanging transformator TR202</v>
          </cell>
          <cell r="D47" t="str">
            <v>220kV / 380kV</v>
          </cell>
        </row>
        <row r="48">
          <cell r="B48">
            <v>30</v>
          </cell>
          <cell r="C48" t="str">
            <v>Diverse 220-kV-stations, Vervanging vermogensschakelaars</v>
          </cell>
          <cell r="D48" t="str">
            <v>220kV / 380kV</v>
          </cell>
        </row>
        <row r="49">
          <cell r="B49">
            <v>31</v>
          </cell>
          <cell r="C49" t="str">
            <v>Mbt4,  vervanging transformator TR401en TR402</v>
          </cell>
          <cell r="D49" t="str">
            <v>220kV / 380kV</v>
          </cell>
        </row>
        <row r="50">
          <cell r="B50">
            <v>32</v>
          </cell>
          <cell r="C50" t="str">
            <v>Dim4,  vervanging transformator TR402</v>
          </cell>
          <cell r="D50" t="str">
            <v>220kV / 380kV</v>
          </cell>
        </row>
        <row r="51">
          <cell r="B51">
            <v>33</v>
          </cell>
          <cell r="C51" t="str">
            <v>Vvl2, vervanging transformator TR202</v>
          </cell>
          <cell r="D51" t="str">
            <v>220kV / 380kV</v>
          </cell>
        </row>
        <row r="52">
          <cell r="B52">
            <v>34</v>
          </cell>
          <cell r="C52" t="str">
            <v>KIJ4, vervanging transformator TR403</v>
          </cell>
          <cell r="D52" t="str">
            <v>220kV / 380kV</v>
          </cell>
        </row>
        <row r="53">
          <cell r="B53">
            <v>35</v>
          </cell>
          <cell r="C53" t="str">
            <v>Diverse 380-kV-stations, vervanging vermogenschakelaars</v>
          </cell>
          <cell r="D53" t="str">
            <v>220kV / 380kV</v>
          </cell>
        </row>
        <row r="54">
          <cell r="B54">
            <v>36</v>
          </cell>
          <cell r="C54" t="str">
            <v>Gtb4, vervanging transformator TR401 en TR402</v>
          </cell>
          <cell r="D54" t="str">
            <v>220kV / 380kV</v>
          </cell>
        </row>
        <row r="55">
          <cell r="B55">
            <v>39</v>
          </cell>
          <cell r="C55" t="str">
            <v>Maasvlakte, aansluiting MW-1 en MV-2</v>
          </cell>
          <cell r="D55" t="str">
            <v>WvD</v>
          </cell>
          <cell r="E55" t="str">
            <v>220kV / 380kV</v>
          </cell>
        </row>
        <row r="56">
          <cell r="B56">
            <v>41</v>
          </cell>
          <cell r="C56" t="str">
            <v>Maasbracht, uitbreiding met 2 velden tbv Essent 2x320 MW</v>
          </cell>
          <cell r="D56" t="str">
            <v>WvD</v>
          </cell>
          <cell r="E56" t="str">
            <v>220kV / 380kV</v>
          </cell>
        </row>
        <row r="57">
          <cell r="B57">
            <v>42</v>
          </cell>
          <cell r="C57" t="str">
            <v>Simonshaven, uitbreiding met 1 veld tbv Intergen REC 1X400 MW</v>
          </cell>
          <cell r="D57" t="str">
            <v>WvD</v>
          </cell>
          <cell r="E57" t="str">
            <v>220kV / 380kV</v>
          </cell>
        </row>
        <row r="58">
          <cell r="B58">
            <v>43</v>
          </cell>
          <cell r="C58" t="str">
            <v>Lelystad, uitbreiding met 1 veld tbv Electrabel 400 MW</v>
          </cell>
          <cell r="D58" t="str">
            <v>WvD</v>
          </cell>
          <cell r="E58" t="str">
            <v>220kV / 380kV</v>
          </cell>
        </row>
        <row r="59">
          <cell r="B59">
            <v>44</v>
          </cell>
          <cell r="C59" t="str">
            <v>Maasvlakte, uitbreiding met 1 veld tbv EnecoGen 2x400 MW</v>
          </cell>
          <cell r="D59" t="str">
            <v>WvD</v>
          </cell>
          <cell r="E59" t="str">
            <v>220kV / 380kV</v>
          </cell>
        </row>
        <row r="60">
          <cell r="B60">
            <v>45</v>
          </cell>
          <cell r="C60" t="str">
            <v>Maasvlakte, uitbreiding metr 1 veld tbv E.On 1050 MW</v>
          </cell>
          <cell r="D60" t="str">
            <v>WvD</v>
          </cell>
          <cell r="E60" t="str">
            <v>220kV / 380kV</v>
          </cell>
        </row>
        <row r="61">
          <cell r="B61">
            <v>46</v>
          </cell>
          <cell r="C61" t="str">
            <v>Maasvlakte, uitbreiding met 1 veld tbv BritNed 1000MW</v>
          </cell>
          <cell r="D61" t="str">
            <v>WvD</v>
          </cell>
          <cell r="E61" t="str">
            <v>220kV / 380kV</v>
          </cell>
        </row>
        <row r="62">
          <cell r="B62">
            <v>49</v>
          </cell>
          <cell r="C62" t="str">
            <v>Zwolle-Hengelo, reconstructie mast 110 tot 114 (Almelo)</v>
          </cell>
          <cell r="D62" t="str">
            <v>WvD</v>
          </cell>
          <cell r="E62" t="str">
            <v>220kV / 380kV</v>
          </cell>
        </row>
        <row r="63">
          <cell r="B63">
            <v>50</v>
          </cell>
          <cell r="C63" t="str">
            <v>Oostzaan-Diemen, reconstructie mast 3 tot 8 (Landsmeer)</v>
          </cell>
          <cell r="D63" t="str">
            <v>WvD</v>
          </cell>
          <cell r="E63" t="str">
            <v>220kV / 380kV</v>
          </cell>
        </row>
        <row r="64">
          <cell r="B64">
            <v>51</v>
          </cell>
          <cell r="C64" t="str">
            <v>Eindhoven-Maasbracht, reconstructie mast 102 tot 115 (Helmond)</v>
          </cell>
          <cell r="D64" t="str">
            <v>WvD</v>
          </cell>
          <cell r="E64" t="str">
            <v>220kV / 380kV</v>
          </cell>
        </row>
        <row r="65">
          <cell r="B65">
            <v>52</v>
          </cell>
          <cell r="C65" t="str">
            <v>Wateringen, uitbreiding met een 150-kV-station</v>
          </cell>
          <cell r="D65" t="str">
            <v>110kV - 150kV</v>
          </cell>
        </row>
        <row r="66">
          <cell r="B66">
            <v>55</v>
          </cell>
          <cell r="C66" t="str">
            <v>Sassenheim-Haarlemmermeer, opwaardering transportcapaciteit</v>
          </cell>
          <cell r="D66" t="str">
            <v>110kV - 150kV</v>
          </cell>
        </row>
        <row r="67">
          <cell r="B67">
            <v>56</v>
          </cell>
          <cell r="C67" t="str">
            <v>Ypenburg,  uitbreiding met een 150-kV-station</v>
          </cell>
          <cell r="D67" t="str">
            <v>110kV - 150kV</v>
          </cell>
        </row>
        <row r="68">
          <cell r="B68">
            <v>58</v>
          </cell>
          <cell r="C68" t="str">
            <v>De Lier, uitbreiding met een 150-kV-station</v>
          </cell>
          <cell r="D68" t="str">
            <v>110kV - 150kV</v>
          </cell>
        </row>
        <row r="69">
          <cell r="B69">
            <v>59</v>
          </cell>
          <cell r="C69" t="str">
            <v>Wateringen-Ypenburg, uitbreiding met een 150-kV-kabelcircuit 300 MVA</v>
          </cell>
          <cell r="D69" t="str">
            <v>110kV - 150kV</v>
          </cell>
        </row>
        <row r="70">
          <cell r="B70">
            <v>63</v>
          </cell>
          <cell r="C70" t="str">
            <v>Uitbreiding telecomnetwerk tbv integratie EMS-systemen</v>
          </cell>
          <cell r="D70" t="str">
            <v>110kV - 150kV</v>
          </cell>
        </row>
        <row r="71">
          <cell r="B71">
            <v>68</v>
          </cell>
          <cell r="C71" t="str">
            <v>Rotterdam Waalhaven, vervanging transformatorkabels</v>
          </cell>
          <cell r="D71" t="str">
            <v>110kV - 150kV</v>
          </cell>
        </row>
        <row r="72">
          <cell r="B72">
            <v>71</v>
          </cell>
          <cell r="C72" t="str">
            <v>Ommoord, retrofit BISEP en renovatie secundair</v>
          </cell>
          <cell r="D72" t="str">
            <v>110kV - 150kV</v>
          </cell>
        </row>
        <row r="73">
          <cell r="B73">
            <v>72</v>
          </cell>
          <cell r="C73" t="str">
            <v>Zoetermeer, retrofit BISEP en renovatie secundair</v>
          </cell>
          <cell r="D73" t="str">
            <v>110kV - 150kV</v>
          </cell>
        </row>
        <row r="74">
          <cell r="B74">
            <v>73</v>
          </cell>
          <cell r="C74" t="str">
            <v>Dordrecht Noordendijk, vervanging transformator Tr1</v>
          </cell>
          <cell r="D74" t="str">
            <v>110kV - 150kV</v>
          </cell>
        </row>
        <row r="75">
          <cell r="B75">
            <v>74</v>
          </cell>
          <cell r="C75" t="str">
            <v>Alphen, retrofit BISEP en renovatie secundair</v>
          </cell>
          <cell r="D75" t="str">
            <v>110kV - 150kV</v>
          </cell>
        </row>
        <row r="76">
          <cell r="B76">
            <v>75</v>
          </cell>
          <cell r="C76" t="str">
            <v>Krimpen renovatie, primaire en secundaire installaties</v>
          </cell>
          <cell r="D76" t="str">
            <v>110kV - 150kV</v>
          </cell>
        </row>
        <row r="77">
          <cell r="B77">
            <v>76</v>
          </cell>
          <cell r="C77" t="str">
            <v>Gouda, vervanging transformator Tr4</v>
          </cell>
          <cell r="D77" t="str">
            <v>110kV - 150kV</v>
          </cell>
        </row>
        <row r="78">
          <cell r="B78">
            <v>77</v>
          </cell>
          <cell r="C78" t="str">
            <v>Leiden, vervanging transformator Tr4</v>
          </cell>
          <cell r="D78" t="str">
            <v>110kV - 150kV</v>
          </cell>
        </row>
        <row r="79">
          <cell r="B79">
            <v>78</v>
          </cell>
          <cell r="C79" t="str">
            <v>Diverse 150-kV-stations, vervanging vermogenschakelaars</v>
          </cell>
          <cell r="D79" t="str">
            <v>110kV - 150kV</v>
          </cell>
        </row>
        <row r="80">
          <cell r="B80">
            <v>79</v>
          </cell>
          <cell r="C80" t="str">
            <v>Vervanging, 150-kV-transformator (stelpost)</v>
          </cell>
          <cell r="D80" t="str">
            <v>110kV - 150kV</v>
          </cell>
        </row>
        <row r="81">
          <cell r="B81">
            <v>80</v>
          </cell>
          <cell r="C81" t="str">
            <v>Rijswijk, vervanging schakel-en secundaire installatie</v>
          </cell>
          <cell r="D81" t="str">
            <v>110kV - 150kV</v>
          </cell>
        </row>
        <row r="82">
          <cell r="B82">
            <v>81</v>
          </cell>
          <cell r="C82" t="str">
            <v>Voorburg-Leiden, verkabeling mast 23-26/27 in de Voorse Kreek</v>
          </cell>
          <cell r="D82" t="str">
            <v>WvD</v>
          </cell>
          <cell r="E82" t="str">
            <v>110kV - 150kV</v>
          </cell>
        </row>
        <row r="83">
          <cell r="B83">
            <v>82</v>
          </cell>
          <cell r="C83" t="str">
            <v>RtM-Dft, verkabeling mast 1 tot 3 (Schieveste)</v>
          </cell>
          <cell r="D83" t="str">
            <v>WvD</v>
          </cell>
          <cell r="E83" t="str">
            <v>110kV - 150kV</v>
          </cell>
        </row>
        <row r="84">
          <cell r="B84">
            <v>85</v>
          </cell>
          <cell r="C84" t="str">
            <v>Ypenburg-Voorburg, uitbreiding met een 150-kV-kabelcircuit 300 MVA</v>
          </cell>
          <cell r="D84" t="str">
            <v>110kV - 150kV</v>
          </cell>
        </row>
        <row r="85">
          <cell r="B85">
            <v>86</v>
          </cell>
          <cell r="C85" t="str">
            <v>Wateringen-Delft, opwaardering naar 2x300 MVA</v>
          </cell>
          <cell r="D85" t="str">
            <v>110kV - 150kV</v>
          </cell>
        </row>
        <row r="86">
          <cell r="B86">
            <v>87</v>
          </cell>
          <cell r="C86" t="str">
            <v xml:space="preserve">Wateringen-Rijswijk, uitbreiding met smoorspoelen 300 MVA, </v>
          </cell>
          <cell r="D86" t="str">
            <v>110kV - 150kV</v>
          </cell>
        </row>
        <row r="87">
          <cell r="B87">
            <v>88</v>
          </cell>
          <cell r="C87" t="str">
            <v xml:space="preserve">Krimpen-Gouda, uitbreiding met smoorspoelen 300 MVA, </v>
          </cell>
          <cell r="D87" t="str">
            <v>110kV - 150kV</v>
          </cell>
        </row>
        <row r="88">
          <cell r="B88">
            <v>89</v>
          </cell>
          <cell r="C88" t="str">
            <v>Westerlee-Wateringen, uitbreiding met een 380-kV-verbinding</v>
          </cell>
          <cell r="D88" t="str">
            <v>220kV / 380kV</v>
          </cell>
        </row>
        <row r="89">
          <cell r="B89">
            <v>90</v>
          </cell>
          <cell r="C89" t="str">
            <v>Eem4, uitbreiding met 2 velden tbv Nuon 1400 MW</v>
          </cell>
          <cell r="D89" t="str">
            <v>WvD</v>
          </cell>
          <cell r="E89" t="str">
            <v>220kV / 380kV</v>
          </cell>
        </row>
        <row r="90">
          <cell r="B90">
            <v>91</v>
          </cell>
          <cell r="C90" t="str">
            <v>Maasvlakte, uitbreiding met 1 veld tbv Electrabel 750 MW</v>
          </cell>
          <cell r="D90" t="str">
            <v>WvD</v>
          </cell>
          <cell r="E90" t="str">
            <v>220kV / 380kV</v>
          </cell>
        </row>
        <row r="91">
          <cell r="B91">
            <v>95</v>
          </cell>
          <cell r="C91" t="str">
            <v>Eem4, uitbreiding met 2 velden tbv RWE 2x800 MW</v>
          </cell>
          <cell r="D91" t="str">
            <v>WvD</v>
          </cell>
          <cell r="E91" t="str">
            <v>220kV / 380kV</v>
          </cell>
        </row>
        <row r="92">
          <cell r="B92">
            <v>97</v>
          </cell>
          <cell r="C92" t="str">
            <v>Ozn-Dim, reconstructie mast 32 tot 35 ivm EM-velden (IJburg)</v>
          </cell>
          <cell r="D92" t="str">
            <v>WvD</v>
          </cell>
          <cell r="E92" t="str">
            <v>220kV / 380kV</v>
          </cell>
        </row>
        <row r="93">
          <cell r="B93">
            <v>98</v>
          </cell>
          <cell r="C93" t="str">
            <v>Power Quality, meting harmonischen in het 220- en 380-kV-net</v>
          </cell>
          <cell r="D93" t="str">
            <v>220kV / 380kV</v>
          </cell>
        </row>
        <row r="94">
          <cell r="B94">
            <v>99</v>
          </cell>
          <cell r="C94" t="str">
            <v>TenSec, uitbreiding toegangscontrole 11 cruciale 380-kV- stations</v>
          </cell>
          <cell r="D94" t="str">
            <v>220kV / 380kV</v>
          </cell>
        </row>
        <row r="95">
          <cell r="B95">
            <v>100</v>
          </cell>
          <cell r="C95" t="str">
            <v>TenSec, uitbreiding toegangscontrole 13 vitale 380-kV-stations</v>
          </cell>
          <cell r="D95" t="str">
            <v>220kV / 380kV</v>
          </cell>
        </row>
        <row r="96">
          <cell r="B96">
            <v>101</v>
          </cell>
          <cell r="C96" t="str">
            <v>TenSec, uitbreiding toegangscontrole 3 vitale 150-kV-stations</v>
          </cell>
          <cell r="D96" t="str">
            <v>110kV - 150kV</v>
          </cell>
        </row>
        <row r="97">
          <cell r="B97">
            <v>102</v>
          </cell>
          <cell r="C97" t="str">
            <v>TenSec, uitbreiding toegangscontrole 9 normale 220-kv-stations</v>
          </cell>
          <cell r="D97" t="str">
            <v>220kV / 380kV</v>
          </cell>
        </row>
        <row r="98">
          <cell r="B98">
            <v>103</v>
          </cell>
          <cell r="C98" t="str">
            <v>TenSec, uitbreiding toegangscontrole 15 normale 150-kV-stations</v>
          </cell>
          <cell r="D98" t="str">
            <v>110kV - 150kV</v>
          </cell>
        </row>
        <row r="99">
          <cell r="B99">
            <v>104</v>
          </cell>
          <cell r="C99" t="str">
            <v>TenSec, Hoofdkantoor Arnhem</v>
          </cell>
          <cell r="D99" t="str">
            <v>220kV / 380kV</v>
          </cell>
        </row>
        <row r="100">
          <cell r="B100">
            <v>105</v>
          </cell>
          <cell r="C100" t="str">
            <v>Veiligheidsbeleid, uitbreiding toegangscontrole 1 cruciaal 150-kV-stations</v>
          </cell>
          <cell r="D100" t="str">
            <v>110kV - 150kV</v>
          </cell>
        </row>
        <row r="101">
          <cell r="B101">
            <v>106</v>
          </cell>
          <cell r="C101" t="str">
            <v>Eem4, uitbreiding met 1 veld tbv Electrabel 750 MW</v>
          </cell>
          <cell r="D101" t="str">
            <v>WvD</v>
          </cell>
          <cell r="E101" t="str">
            <v>220kV / 380kV</v>
          </cell>
        </row>
        <row r="102">
          <cell r="B102">
            <v>107</v>
          </cell>
          <cell r="C102" t="str">
            <v>Beverwijk, uitbreiding tot dubbelrail 380-kV-station</v>
          </cell>
          <cell r="D102" t="str">
            <v>220kV / 380kV</v>
          </cell>
        </row>
        <row r="103">
          <cell r="B103">
            <v>108</v>
          </cell>
          <cell r="C103" t="str">
            <v>Schildmeer, uitbreiding met een 380-kV-station</v>
          </cell>
          <cell r="D103" t="str">
            <v>220kV / 380kV</v>
          </cell>
        </row>
        <row r="104">
          <cell r="B104">
            <v>109</v>
          </cell>
          <cell r="C104" t="str">
            <v>Telecom, uitbreiding met STM16-ringen</v>
          </cell>
          <cell r="D104" t="str">
            <v>220kV / 380kV</v>
          </cell>
        </row>
        <row r="105">
          <cell r="B105">
            <v>110</v>
          </cell>
          <cell r="C105" t="str">
            <v>Leiden en RtC, uitbreiding met noodstroomaggregaat</v>
          </cell>
          <cell r="D105" t="str">
            <v>110kV - 150kV</v>
          </cell>
        </row>
        <row r="106">
          <cell r="B106">
            <v>111</v>
          </cell>
          <cell r="C106" t="str">
            <v>Bmr en Lelystad, uitbreiding met noodstroomaggregaat</v>
          </cell>
          <cell r="D106" t="str">
            <v>220kV / 380kV</v>
          </cell>
        </row>
        <row r="107">
          <cell r="B107">
            <v>112</v>
          </cell>
          <cell r="C107" t="str">
            <v>Kleine projecten in Telecomsfeer</v>
          </cell>
          <cell r="D107" t="str">
            <v>220kV / 380kV</v>
          </cell>
        </row>
        <row r="108">
          <cell r="B108">
            <v>113</v>
          </cell>
          <cell r="C108" t="str">
            <v>Kleine projecten in de vervangingssfeer 220/380kV</v>
          </cell>
          <cell r="D108" t="str">
            <v>220kV / 380kV</v>
          </cell>
        </row>
        <row r="109">
          <cell r="B109">
            <v>114</v>
          </cell>
          <cell r="C109" t="str">
            <v>Rbp, vervanging railbeveiliging</v>
          </cell>
          <cell r="D109" t="str">
            <v>220kV / 380kV</v>
          </cell>
        </row>
        <row r="110">
          <cell r="B110">
            <v>116</v>
          </cell>
          <cell r="C110" t="str">
            <v>Mvl4-Wtl4, uitbreiding met smoorspoelen 2650 MVA, 18,3%</v>
          </cell>
          <cell r="D110" t="str">
            <v>220kV / 380kV</v>
          </cell>
        </row>
        <row r="111">
          <cell r="B111">
            <v>117</v>
          </cell>
          <cell r="C111" t="str">
            <v>Krimpen1, renovatie terrein tgv verzakkingen</v>
          </cell>
          <cell r="D111" t="str">
            <v>110kV - 150kV</v>
          </cell>
        </row>
        <row r="112">
          <cell r="B112">
            <v>118</v>
          </cell>
          <cell r="C112" t="str">
            <v>Krimpen4, renovatie terrein tgv verzakkingen</v>
          </cell>
          <cell r="D112" t="str">
            <v>220kV / 380kV</v>
          </cell>
        </row>
        <row r="113">
          <cell r="B113">
            <v>119</v>
          </cell>
          <cell r="C113" t="str">
            <v>Leiden, vervanging 50-kV-kabels</v>
          </cell>
          <cell r="D113" t="str">
            <v>110kV - 150kV</v>
          </cell>
        </row>
        <row r="114">
          <cell r="B114">
            <v>120</v>
          </cell>
          <cell r="C114" t="str">
            <v>Kleine projecten in vervangingssfeer 150 kV</v>
          </cell>
          <cell r="D114" t="str">
            <v>110kV - 150kV</v>
          </cell>
        </row>
        <row r="115">
          <cell r="B115">
            <v>122</v>
          </cell>
          <cell r="C115" t="str">
            <v>Div. locaties 380-kV, vervanging hekwerken</v>
          </cell>
          <cell r="D115" t="str">
            <v>220kV / 380kV</v>
          </cell>
        </row>
        <row r="116">
          <cell r="B116">
            <v>123</v>
          </cell>
          <cell r="C116" t="str">
            <v>Div. locaties 150-kV, vervanging hekwerken</v>
          </cell>
          <cell r="D116" t="str">
            <v>110kV - 150kV</v>
          </cell>
        </row>
        <row r="117">
          <cell r="B117">
            <v>124</v>
          </cell>
          <cell r="C117" t="str">
            <v>Alphen, omlegging telecomkabel</v>
          </cell>
          <cell r="D117" t="str">
            <v>WvD</v>
          </cell>
          <cell r="E117" t="str">
            <v>110kV - 150kV</v>
          </cell>
        </row>
        <row r="118">
          <cell r="B118">
            <v>125</v>
          </cell>
          <cell r="C118" t="str">
            <v>Eem2, uitbreiding met 2 velden tbv distributienet Essent (Windpark)</v>
          </cell>
          <cell r="D118" t="str">
            <v>WvD</v>
          </cell>
          <cell r="E118" t="str">
            <v>220kV / 380kV</v>
          </cell>
        </row>
        <row r="119">
          <cell r="B119">
            <v>126</v>
          </cell>
          <cell r="C119" t="str">
            <v>Gtb4, uitbreiding met 1 veld tbv Essent 800 MW</v>
          </cell>
          <cell r="D119" t="str">
            <v>WvD</v>
          </cell>
          <cell r="E119" t="str">
            <v>220kV / 380kV</v>
          </cell>
        </row>
        <row r="120">
          <cell r="B120">
            <v>128</v>
          </cell>
          <cell r="C120" t="str">
            <v>Zoetermeer-Leiden, reconstructie kabelverbinding viaduct Leiden</v>
          </cell>
          <cell r="D120" t="str">
            <v>WvD</v>
          </cell>
          <cell r="E120" t="str">
            <v>110kV - 150kV</v>
          </cell>
        </row>
        <row r="121">
          <cell r="B121">
            <v>131</v>
          </cell>
          <cell r="C121" t="str">
            <v>Eem4, uitbreiding met 2 velden tbv Advanced Power 800-1200 MW</v>
          </cell>
          <cell r="D121" t="str">
            <v>WvD</v>
          </cell>
          <cell r="E121" t="str">
            <v>220kV / 380kV</v>
          </cell>
        </row>
        <row r="122">
          <cell r="B122">
            <v>132</v>
          </cell>
          <cell r="C122" t="str">
            <v>Alblasserdam, uitbreiding met 1 veld tbv Eneco</v>
          </cell>
          <cell r="D122" t="str">
            <v>WvD</v>
          </cell>
          <cell r="E122" t="str">
            <v>110kV - 150kV</v>
          </cell>
        </row>
        <row r="123">
          <cell r="B123">
            <v>133</v>
          </cell>
          <cell r="C123" t="str">
            <v>Doetinchem-Niederrhein, uitbreiding met een interconnector (tot grens)</v>
          </cell>
          <cell r="D123" t="str">
            <v>220kV / 380kV</v>
          </cell>
        </row>
        <row r="124">
          <cell r="B124">
            <v>135</v>
          </cell>
          <cell r="C124" t="str">
            <v>Borssele-Gtrd</v>
          </cell>
          <cell r="D124" t="str">
            <v>220kV / 380kV</v>
          </cell>
        </row>
        <row r="125">
          <cell r="B125">
            <v>136</v>
          </cell>
          <cell r="C125" t="str">
            <v>Maasvlakte, uitbr 1 veld</v>
          </cell>
          <cell r="D125" t="str">
            <v>WvD</v>
          </cell>
          <cell r="E125" t="str">
            <v>220kV / 380kV</v>
          </cell>
        </row>
        <row r="126">
          <cell r="B126">
            <v>137</v>
          </cell>
          <cell r="C126" t="str">
            <v>Delft Inrichting opslagplaats</v>
          </cell>
          <cell r="D126" t="str">
            <v>110kV - 150kV</v>
          </cell>
        </row>
        <row r="127">
          <cell r="B127">
            <v>138</v>
          </cell>
          <cell r="C127" t="str">
            <v>Eems4-EOS Magnum</v>
          </cell>
          <cell r="D127" t="str">
            <v>WvD</v>
          </cell>
          <cell r="E127" t="str">
            <v>220kV / 380kV</v>
          </cell>
        </row>
        <row r="128">
          <cell r="B128">
            <v>139</v>
          </cell>
          <cell r="C128" t="str">
            <v>EOS, uitbreiding 380kV</v>
          </cell>
          <cell r="D128" t="str">
            <v>220kV / 380kV</v>
          </cell>
        </row>
        <row r="129">
          <cell r="B129">
            <v>140</v>
          </cell>
          <cell r="C129" t="str">
            <v>Dim4 en Mvl4, vervanging blindstroomcompensatie</v>
          </cell>
          <cell r="D129" t="str">
            <v>220kV / 380kV</v>
          </cell>
        </row>
        <row r="130">
          <cell r="B130">
            <v>141</v>
          </cell>
          <cell r="C130" t="str">
            <v>BO Aansl. Essent Borssele 1650MW</v>
          </cell>
          <cell r="D130" t="str">
            <v>WvD</v>
          </cell>
          <cell r="E130" t="str">
            <v>220kV / 380kV</v>
          </cell>
        </row>
        <row r="131">
          <cell r="B131">
            <v>142</v>
          </cell>
          <cell r="C131" t="str">
            <v>BO VVL - HSW, opwaarderen transp.cap.</v>
          </cell>
          <cell r="D131" t="str">
            <v>220kV / 380kV</v>
          </cell>
        </row>
        <row r="132">
          <cell r="B132">
            <v>143</v>
          </cell>
          <cell r="C132" t="str">
            <v>Telecom, uitbr en digitalisering transmissienet ZH</v>
          </cell>
          <cell r="D132" t="str">
            <v>110kV - 150kV</v>
          </cell>
        </row>
        <row r="133">
          <cell r="B133">
            <v>144</v>
          </cell>
          <cell r="C133" t="str">
            <v>Eemshaven Oudeschip-Ens, Uitbr 380kV</v>
          </cell>
          <cell r="D133" t="str">
            <v>220kV / 380kV</v>
          </cell>
        </row>
        <row r="134">
          <cell r="B134">
            <v>145</v>
          </cell>
          <cell r="C134" t="str">
            <v>Borssele-Geertruidenberg, uitbr 380kV</v>
          </cell>
          <cell r="D134" t="str">
            <v>220kV / 380kV</v>
          </cell>
        </row>
        <row r="135">
          <cell r="B135">
            <v>146</v>
          </cell>
          <cell r="C135" t="str">
            <v>ENS-Diemen, opwaardering cap</v>
          </cell>
          <cell r="D135" t="str">
            <v>220kV / 380kV</v>
          </cell>
        </row>
        <row r="136">
          <cell r="B136">
            <v>147</v>
          </cell>
          <cell r="C136" t="str">
            <v>Delft, renovatie sec installaties</v>
          </cell>
          <cell r="D136" t="str">
            <v>110kV - 150kV</v>
          </cell>
        </row>
        <row r="137">
          <cell r="B137">
            <v>148</v>
          </cell>
          <cell r="C137" t="str">
            <v>Gouda, renovatie sec installaties</v>
          </cell>
          <cell r="D137" t="str">
            <v>110kV - 150kV</v>
          </cell>
        </row>
        <row r="138">
          <cell r="B138">
            <v>149</v>
          </cell>
          <cell r="C138" t="str">
            <v>Leiden, renovatie sec installaties</v>
          </cell>
          <cell r="D138" t="str">
            <v>110kV - 150kV</v>
          </cell>
        </row>
        <row r="139">
          <cell r="B139">
            <v>150</v>
          </cell>
          <cell r="C139" t="str">
            <v>Rijswijk, renovatie sec installaties</v>
          </cell>
          <cell r="D139" t="str">
            <v>110kV - 150kV</v>
          </cell>
        </row>
        <row r="140">
          <cell r="B140">
            <v>151</v>
          </cell>
          <cell r="C140" t="str">
            <v>Rotterdam centrum, renovatie sec installaties</v>
          </cell>
          <cell r="D140" t="str">
            <v>110kV - 150kV</v>
          </cell>
        </row>
        <row r="141">
          <cell r="B141">
            <v>152</v>
          </cell>
          <cell r="C141" t="str">
            <v>Voorburg, ren sec installaties</v>
          </cell>
          <cell r="D141" t="str">
            <v>110kV - 150kV</v>
          </cell>
        </row>
        <row r="142">
          <cell r="B142">
            <v>153</v>
          </cell>
          <cell r="C142" t="str">
            <v>Bergum, renovatie sec installaties</v>
          </cell>
          <cell r="D142" t="str">
            <v>220kV / 380kV</v>
          </cell>
        </row>
        <row r="143">
          <cell r="B143">
            <v>154</v>
          </cell>
          <cell r="C143" t="str">
            <v>Eemshaven, renovatie sec installaties</v>
          </cell>
          <cell r="D143" t="str">
            <v>220kV / 380kV</v>
          </cell>
        </row>
        <row r="144">
          <cell r="B144">
            <v>155</v>
          </cell>
          <cell r="C144" t="str">
            <v>Eemshaven Oost, renovatie sec installaties</v>
          </cell>
          <cell r="D144" t="str">
            <v>220kV / 380kV</v>
          </cell>
        </row>
        <row r="145">
          <cell r="B145">
            <v>156</v>
          </cell>
          <cell r="C145" t="str">
            <v>Ens, ren sec installaties</v>
          </cell>
          <cell r="D145" t="str">
            <v>220kV / 380kV</v>
          </cell>
        </row>
        <row r="146">
          <cell r="B146">
            <v>157</v>
          </cell>
          <cell r="C146" t="str">
            <v>Hessenweg, renovatie sec installaties</v>
          </cell>
          <cell r="D146" t="str">
            <v>220kV / 380kV</v>
          </cell>
        </row>
        <row r="147">
          <cell r="B147">
            <v>158</v>
          </cell>
          <cell r="C147" t="str">
            <v>Louwsmeer, ren sec installaties</v>
          </cell>
          <cell r="D147" t="str">
            <v>220kV / 380kV</v>
          </cell>
        </row>
        <row r="148">
          <cell r="B148">
            <v>159</v>
          </cell>
          <cell r="C148" t="str">
            <v>Meeden, renovatie sec installaties</v>
          </cell>
          <cell r="D148" t="str">
            <v>220kV / 380kV</v>
          </cell>
        </row>
        <row r="149">
          <cell r="B149">
            <v>160</v>
          </cell>
          <cell r="C149" t="str">
            <v>Oude Haske, renovatie sec installaties</v>
          </cell>
          <cell r="D149" t="str">
            <v>220kV / 380kV</v>
          </cell>
        </row>
        <row r="150">
          <cell r="B150">
            <v>161</v>
          </cell>
          <cell r="C150" t="str">
            <v>Robbenplaat, renovatie sec installaties</v>
          </cell>
          <cell r="D150" t="str">
            <v>220kV / 380kV</v>
          </cell>
        </row>
        <row r="151">
          <cell r="B151">
            <v>162</v>
          </cell>
          <cell r="C151" t="str">
            <v>Vierverlaten, renovatie sec installaties</v>
          </cell>
          <cell r="D151" t="str">
            <v>220kV / 380kV</v>
          </cell>
        </row>
        <row r="152">
          <cell r="B152">
            <v>163</v>
          </cell>
          <cell r="C152" t="str">
            <v>Weiwerd, renovatie sec installaties</v>
          </cell>
          <cell r="D152" t="str">
            <v>220kV / 380kV</v>
          </cell>
        </row>
        <row r="153">
          <cell r="B153">
            <v>164</v>
          </cell>
          <cell r="C153" t="str">
            <v>Zeyerveen, renovatie sec installaties</v>
          </cell>
          <cell r="D153" t="str">
            <v>220kV / 380kV</v>
          </cell>
        </row>
        <row r="154">
          <cell r="B154">
            <v>165</v>
          </cell>
          <cell r="C154" t="str">
            <v>Boxmeer, renovatie sec installaties</v>
          </cell>
          <cell r="D154" t="str">
            <v>220kV / 380kV</v>
          </cell>
        </row>
        <row r="155">
          <cell r="B155">
            <v>166</v>
          </cell>
          <cell r="C155" t="str">
            <v>Crayestein, renovatie sec installaties</v>
          </cell>
          <cell r="D155" t="str">
            <v>220kV / 380kV</v>
          </cell>
        </row>
        <row r="156">
          <cell r="B156">
            <v>167</v>
          </cell>
          <cell r="C156" t="str">
            <v>Diemen, renovatie sec installaties</v>
          </cell>
          <cell r="D156" t="str">
            <v>220kV / 380kV</v>
          </cell>
        </row>
        <row r="157">
          <cell r="B157">
            <v>168</v>
          </cell>
          <cell r="C157" t="str">
            <v>Dodewaard, renovatie sec installaties</v>
          </cell>
          <cell r="D157" t="str">
            <v>220kV / 380kV</v>
          </cell>
        </row>
        <row r="158">
          <cell r="B158">
            <v>169</v>
          </cell>
          <cell r="C158" t="str">
            <v>Doetinchem, renovatie sec installaties</v>
          </cell>
          <cell r="D158" t="str">
            <v>220kV / 380kV</v>
          </cell>
        </row>
        <row r="159">
          <cell r="B159">
            <v>170</v>
          </cell>
          <cell r="C159" t="str">
            <v>Eemshaven, renovatie sec installaties</v>
          </cell>
          <cell r="D159" t="str">
            <v>220kV / 380kV</v>
          </cell>
        </row>
        <row r="160">
          <cell r="B160">
            <v>171</v>
          </cell>
          <cell r="C160" t="str">
            <v>Eindhoven, renovatie sec installaties</v>
          </cell>
          <cell r="D160" t="str">
            <v>220kV / 380kV</v>
          </cell>
        </row>
        <row r="161">
          <cell r="B161">
            <v>172</v>
          </cell>
          <cell r="C161" t="str">
            <v>Ens, renovatie sec installaties</v>
          </cell>
          <cell r="D161" t="str">
            <v>220kV / 380kV</v>
          </cell>
        </row>
        <row r="162">
          <cell r="B162">
            <v>173</v>
          </cell>
          <cell r="C162" t="str">
            <v>Geertruidenberg, renovatie sec installaties</v>
          </cell>
          <cell r="D162" t="str">
            <v>220kV / 380kV</v>
          </cell>
        </row>
        <row r="163">
          <cell r="B163">
            <v>174</v>
          </cell>
          <cell r="C163" t="str">
            <v>Hengelo, renovatie sec installaties</v>
          </cell>
          <cell r="D163" t="str">
            <v>220kV / 380kV</v>
          </cell>
        </row>
        <row r="164">
          <cell r="B164">
            <v>175</v>
          </cell>
          <cell r="C164" t="str">
            <v>Krimpen, renovatie sec installaties</v>
          </cell>
          <cell r="D164" t="str">
            <v>220kV / 380kV</v>
          </cell>
        </row>
        <row r="165">
          <cell r="B165">
            <v>176</v>
          </cell>
          <cell r="C165" t="str">
            <v>Maasbracht, renovatie sec installaties</v>
          </cell>
          <cell r="D165" t="str">
            <v>220kV / 380kV</v>
          </cell>
        </row>
        <row r="166">
          <cell r="B166">
            <v>177</v>
          </cell>
          <cell r="C166" t="str">
            <v>Meede, renovatie sec installaties</v>
          </cell>
          <cell r="D166" t="str">
            <v>220kV / 380kV</v>
          </cell>
        </row>
        <row r="167">
          <cell r="B167">
            <v>178</v>
          </cell>
          <cell r="C167" t="str">
            <v>Zwolle, renovatie sec installaties</v>
          </cell>
          <cell r="D167" t="str">
            <v>220kV / 380kV</v>
          </cell>
        </row>
        <row r="168">
          <cell r="B168">
            <v>179</v>
          </cell>
          <cell r="C168" t="str">
            <v>Dim4, vervanging blindstroomcomp spoel</v>
          </cell>
          <cell r="D168" t="str">
            <v>220kV / 380kV</v>
          </cell>
        </row>
        <row r="169">
          <cell r="B169">
            <v>180</v>
          </cell>
          <cell r="C169" t="str">
            <v>Dod4, vervanging blindstroomcomp spoel</v>
          </cell>
          <cell r="D169" t="str">
            <v>220kV / 380kV</v>
          </cell>
        </row>
        <row r="170">
          <cell r="B170">
            <v>181</v>
          </cell>
          <cell r="C170" t="str">
            <v>Delft-RtM, vervanging van 5 km oliedrukkabel</v>
          </cell>
          <cell r="D170" t="str">
            <v>110kV - 150kV</v>
          </cell>
        </row>
        <row r="171">
          <cell r="B171">
            <v>182</v>
          </cell>
          <cell r="C171" t="str">
            <v>Mvl4, uitbreiding met een veld tbv CGEN 1*400 MW</v>
          </cell>
          <cell r="D171" t="str">
            <v>WvD</v>
          </cell>
          <cell r="E171" t="str">
            <v>220kV / 380kV</v>
          </cell>
        </row>
        <row r="172">
          <cell r="B172">
            <v>183</v>
          </cell>
          <cell r="C172" t="str">
            <v>Cst4, vervanging transformator TR403</v>
          </cell>
          <cell r="D172" t="str">
            <v>220kV / 380kV</v>
          </cell>
        </row>
        <row r="173">
          <cell r="B173">
            <v>183</v>
          </cell>
          <cell r="D173" t="str">
            <v>WvD</v>
          </cell>
          <cell r="E173" t="str">
            <v>220kV / 380kV</v>
          </cell>
        </row>
        <row r="174">
          <cell r="B174">
            <v>184</v>
          </cell>
          <cell r="C174" t="str">
            <v>Noodlijn, herstellen uitrusting</v>
          </cell>
          <cell r="D174" t="str">
            <v>220kV / 380kV</v>
          </cell>
        </row>
        <row r="175">
          <cell r="B175">
            <v>185</v>
          </cell>
          <cell r="C175" t="str">
            <v>RtM-Ommoord-Krimpen, renovatie oliedruksystemen</v>
          </cell>
          <cell r="D175" t="str">
            <v>110kV - 150kV</v>
          </cell>
        </row>
        <row r="176">
          <cell r="B176">
            <v>186</v>
          </cell>
          <cell r="C176" t="str">
            <v>Rotterdam Waalhaven, renovatie eigen bedrijfsinstallatie</v>
          </cell>
          <cell r="D176" t="str">
            <v>110kV - 150kV</v>
          </cell>
        </row>
        <row r="177">
          <cell r="B177">
            <v>187</v>
          </cell>
          <cell r="C177" t="str">
            <v>Rotterdam Waalhaven uitbreiding verblijfsruimten</v>
          </cell>
          <cell r="D177" t="str">
            <v>110kV - 150kV</v>
          </cell>
        </row>
        <row r="178">
          <cell r="B178">
            <v>188</v>
          </cell>
          <cell r="C178" t="str">
            <v>Maasvlakte-Crayestein, verv geleide</v>
          </cell>
          <cell r="D178" t="str">
            <v>220kV / 380kV</v>
          </cell>
        </row>
        <row r="179">
          <cell r="B179">
            <v>189</v>
          </cell>
          <cell r="C179" t="str">
            <v>Aansluiting Windpark NO op Ens 380KV</v>
          </cell>
          <cell r="D179" t="str">
            <v>WvD</v>
          </cell>
          <cell r="E179" t="str">
            <v>220kV / 380kV</v>
          </cell>
        </row>
        <row r="180">
          <cell r="B180">
            <v>190</v>
          </cell>
          <cell r="C180" t="str">
            <v>Vhz4, uitbreiding met een 380 kV st</v>
          </cell>
          <cell r="D180" t="str">
            <v>220kV / 380kV</v>
          </cell>
        </row>
        <row r="181">
          <cell r="B181">
            <v>191</v>
          </cell>
          <cell r="C181" t="str">
            <v>Ens 380kV uitbreiding 750 MVA</v>
          </cell>
          <cell r="D181" t="str">
            <v>220kV / 380kV</v>
          </cell>
        </row>
        <row r="182">
          <cell r="B182">
            <v>192</v>
          </cell>
          <cell r="C182" t="str">
            <v>Rotterdam, uitbr. 1 veld EON</v>
          </cell>
          <cell r="D182" t="str">
            <v>WvD</v>
          </cell>
          <cell r="E182" t="str">
            <v>110kV - 150kV</v>
          </cell>
        </row>
        <row r="183">
          <cell r="B183">
            <v>192</v>
          </cell>
          <cell r="D183" t="str">
            <v>220kV / 380kV</v>
          </cell>
        </row>
        <row r="184">
          <cell r="B184">
            <v>193</v>
          </cell>
          <cell r="C184" t="str">
            <v>Westerlee uitbr 150kV</v>
          </cell>
          <cell r="D184" t="str">
            <v>WvD</v>
          </cell>
          <cell r="E184" t="str">
            <v>110kV - 150kV</v>
          </cell>
        </row>
        <row r="185">
          <cell r="B185">
            <v>193</v>
          </cell>
          <cell r="D185" t="str">
            <v>220kV / 380kV</v>
          </cell>
        </row>
        <row r="186">
          <cell r="B186">
            <v>194</v>
          </cell>
          <cell r="C186" t="str">
            <v>Weiwerd, uitbr. 2e 220/110kV transformator</v>
          </cell>
          <cell r="D186" t="str">
            <v>220kV / 380kV</v>
          </cell>
        </row>
        <row r="187">
          <cell r="B187">
            <v>195</v>
          </cell>
          <cell r="C187" t="str">
            <v>Rec Telecom tbv aanpassing N210</v>
          </cell>
          <cell r="D187" t="str">
            <v>WvD</v>
          </cell>
          <cell r="E187" t="str">
            <v>220kV / 380kV</v>
          </cell>
        </row>
        <row r="188">
          <cell r="B188">
            <v>196</v>
          </cell>
          <cell r="C188" t="str">
            <v>Eemshaven, uitbr. 3e transformator 750MVA</v>
          </cell>
          <cell r="D188" t="str">
            <v>220kV / 380kV</v>
          </cell>
        </row>
        <row r="189">
          <cell r="B189">
            <v>197</v>
          </cell>
          <cell r="C189" t="str">
            <v>Verbinding Krimpen Ommoord</v>
          </cell>
          <cell r="D189" t="str">
            <v>WvD</v>
          </cell>
        </row>
        <row r="190">
          <cell r="B190">
            <v>198</v>
          </cell>
          <cell r="C190" t="str">
            <v>Verbinding Ommoord Rotterdam Marconistraat</v>
          </cell>
          <cell r="D190" t="str">
            <v>WvD</v>
          </cell>
        </row>
        <row r="191">
          <cell r="B191" t="str">
            <v>000213</v>
          </cell>
          <cell r="C191" t="str">
            <v>Wintrack testprogramma</v>
          </cell>
          <cell r="D191" t="str">
            <v>220kV / 380kV</v>
          </cell>
        </row>
        <row r="192">
          <cell r="B192">
            <v>266</v>
          </cell>
          <cell r="C192" t="str">
            <v>GIS tbv Planologische projecten</v>
          </cell>
          <cell r="D192" t="str">
            <v>220kV / 380kV</v>
          </cell>
        </row>
        <row r="193">
          <cell r="B193" t="str">
            <v>0002XX</v>
          </cell>
          <cell r="C193" t="str">
            <v>Afdelingskosten</v>
          </cell>
          <cell r="D193" t="str">
            <v>WvD</v>
          </cell>
          <cell r="E193" t="str">
            <v>220kV / 380kV</v>
          </cell>
        </row>
        <row r="194">
          <cell r="B194">
            <v>13</v>
          </cell>
          <cell r="C194" t="str">
            <v>Borssele # detailontwerp station</v>
          </cell>
          <cell r="D194" t="str">
            <v>220kV / 380kV</v>
          </cell>
        </row>
        <row r="195">
          <cell r="B195">
            <v>221</v>
          </cell>
          <cell r="C195" t="str">
            <v>Document management</v>
          </cell>
          <cell r="D195" t="str">
            <v>TenneT TSO</v>
          </cell>
        </row>
        <row r="196">
          <cell r="B196">
            <v>120101</v>
          </cell>
          <cell r="C196" t="str">
            <v>Projectteam Cable Construct Project</v>
          </cell>
          <cell r="D196" t="str">
            <v>220kV / 380kV</v>
          </cell>
        </row>
        <row r="197">
          <cell r="B197">
            <v>274</v>
          </cell>
          <cell r="C197" t="str">
            <v>Programma Kwaliteit</v>
          </cell>
          <cell r="D197" t="str">
            <v>TenneT TSO</v>
          </cell>
        </row>
        <row r="198">
          <cell r="B198">
            <v>280</v>
          </cell>
          <cell r="C198" t="str">
            <v>Bedrijfszekerheid</v>
          </cell>
          <cell r="D198" t="str">
            <v>TenneT TSO</v>
          </cell>
        </row>
        <row r="199">
          <cell r="B199">
            <v>254</v>
          </cell>
          <cell r="C199" t="str">
            <v>IFS+ Verbeteringen</v>
          </cell>
          <cell r="D199" t="str">
            <v>TenneT TSO</v>
          </cell>
        </row>
        <row r="200">
          <cell r="B200">
            <v>213</v>
          </cell>
          <cell r="C200" t="str">
            <v>Wintrack fallback</v>
          </cell>
          <cell r="D200" t="str">
            <v>220kV / 380kV</v>
          </cell>
        </row>
        <row r="201">
          <cell r="B201">
            <v>220</v>
          </cell>
          <cell r="C201" t="str">
            <v>Aida - fase 2</v>
          </cell>
          <cell r="D201" t="str">
            <v>TenneT TSO</v>
          </cell>
        </row>
        <row r="202">
          <cell r="B202">
            <v>268</v>
          </cell>
          <cell r="C202" t="str">
            <v>KLIC</v>
          </cell>
          <cell r="D202" t="str">
            <v>TenneT TSO</v>
          </cell>
        </row>
        <row r="203">
          <cell r="B203">
            <v>279</v>
          </cell>
          <cell r="C203" t="str">
            <v>SLA KAM-BU AM</v>
          </cell>
          <cell r="D203" t="str">
            <v>TenneT TSO</v>
          </cell>
        </row>
        <row r="204">
          <cell r="B204">
            <v>284</v>
          </cell>
          <cell r="C204" t="str">
            <v>Project uren tbv EssenT regio Noord</v>
          </cell>
          <cell r="D204" t="str">
            <v>WvD</v>
          </cell>
        </row>
        <row r="205">
          <cell r="B205">
            <v>283</v>
          </cell>
          <cell r="C205" t="str">
            <v>Projecturen tbv Essent regio Zuid</v>
          </cell>
          <cell r="D205" t="str">
            <v>WvD</v>
          </cell>
        </row>
        <row r="206">
          <cell r="B206">
            <v>217600</v>
          </cell>
          <cell r="C206" t="str">
            <v>aanleg 3e circuit 150kV Cst-DdM</v>
          </cell>
          <cell r="D206" t="str">
            <v>110kV - 150kV</v>
          </cell>
        </row>
        <row r="207">
          <cell r="B207">
            <v>1002</v>
          </cell>
          <cell r="C207" t="str">
            <v>Werkzaamheden H Hoekstra</v>
          </cell>
          <cell r="D207" t="str">
            <v>???</v>
          </cell>
        </row>
        <row r="208">
          <cell r="B208">
            <v>263</v>
          </cell>
          <cell r="C208" t="str">
            <v>AIDA Verbindingen</v>
          </cell>
          <cell r="D208" t="str">
            <v>TenneT TSO</v>
          </cell>
        </row>
        <row r="209">
          <cell r="B209">
            <v>120130</v>
          </cell>
          <cell r="C209" t="str">
            <v>Owner team</v>
          </cell>
          <cell r="D209" t="str">
            <v>220kV / 380kV</v>
          </cell>
        </row>
        <row r="210">
          <cell r="B210">
            <v>290</v>
          </cell>
          <cell r="C210" t="str">
            <v>Doorbelasting derden</v>
          </cell>
          <cell r="D210" t="str">
            <v>WvD</v>
          </cell>
        </row>
        <row r="211">
          <cell r="B211">
            <v>100014</v>
          </cell>
          <cell r="C211" t="str">
            <v>KLS</v>
          </cell>
          <cell r="D211" t="str">
            <v>110kV - 150kV</v>
          </cell>
        </row>
        <row r="212">
          <cell r="B212">
            <v>267</v>
          </cell>
          <cell r="C212" t="str">
            <v>Integrale Resource Planning</v>
          </cell>
          <cell r="D212" t="str">
            <v>TenneT TSO</v>
          </cell>
        </row>
        <row r="213">
          <cell r="B213">
            <v>281</v>
          </cell>
          <cell r="C213" t="str">
            <v>DMS Next</v>
          </cell>
          <cell r="D213" t="str">
            <v>TenneT TSO</v>
          </cell>
        </row>
        <row r="214">
          <cell r="B214">
            <v>239</v>
          </cell>
          <cell r="C214" t="str">
            <v>Aansluiting Essent Eemshaven Oost</v>
          </cell>
          <cell r="D214" t="str">
            <v>WvD</v>
          </cell>
        </row>
        <row r="215">
          <cell r="B215">
            <v>237</v>
          </cell>
          <cell r="C215" t="str">
            <v>Vervangen railbev. Robbenplaat</v>
          </cell>
          <cell r="D215" t="str">
            <v>220kV / 380kV</v>
          </cell>
        </row>
        <row r="216">
          <cell r="B216">
            <v>244</v>
          </cell>
          <cell r="C216" t="str">
            <v>Beheer strategische voorraad</v>
          </cell>
          <cell r="D216" t="str">
            <v>TenneT TSO</v>
          </cell>
        </row>
        <row r="217">
          <cell r="B217">
            <v>301005</v>
          </cell>
          <cell r="C217" t="str">
            <v>Huisvesting TenneT</v>
          </cell>
          <cell r="D217" t="str">
            <v>TenneT TSO</v>
          </cell>
        </row>
        <row r="218">
          <cell r="B218">
            <v>210600</v>
          </cell>
          <cell r="C218" t="str">
            <v>Shared Services</v>
          </cell>
          <cell r="D218" t="str">
            <v>TenneT TSO</v>
          </cell>
        </row>
        <row r="219">
          <cell r="B219">
            <v>217928</v>
          </cell>
          <cell r="C219" t="str">
            <v>ren sec install Alblasserdam</v>
          </cell>
          <cell r="D219" t="str">
            <v>110kV - 150kV</v>
          </cell>
        </row>
        <row r="220">
          <cell r="B220">
            <v>100024</v>
          </cell>
          <cell r="C220" t="str">
            <v>Scada-Scada SamensmEde</v>
          </cell>
          <cell r="D220" t="str">
            <v>110kV - 150kV</v>
          </cell>
        </row>
        <row r="221">
          <cell r="B221">
            <v>250</v>
          </cell>
          <cell r="C221" t="str">
            <v>Opstellen bouwsteen blindstroomcomp</v>
          </cell>
          <cell r="D221" t="str">
            <v>220kV / 380kV</v>
          </cell>
        </row>
        <row r="222">
          <cell r="B222">
            <v>261</v>
          </cell>
          <cell r="C222" t="str">
            <v>EMC Problemen Westerlee</v>
          </cell>
          <cell r="D222" t="str">
            <v>110kV - 150kV</v>
          </cell>
        </row>
        <row r="223">
          <cell r="B223">
            <v>265</v>
          </cell>
          <cell r="C223" t="str">
            <v>GIS Onderzoek</v>
          </cell>
          <cell r="D223" t="str">
            <v>TenneT TSO</v>
          </cell>
        </row>
        <row r="224">
          <cell r="B224">
            <v>1005</v>
          </cell>
          <cell r="C224" t="str">
            <v>Klachtenafhandeling Dim-Ozn-Bvw</v>
          </cell>
          <cell r="D224" t="str">
            <v>220kV / 380kV</v>
          </cell>
        </row>
        <row r="225">
          <cell r="B225">
            <v>248</v>
          </cell>
          <cell r="C225" t="str">
            <v>Opstellen specs 380kV seriespoelen</v>
          </cell>
          <cell r="D225" t="str">
            <v>220kV / 380kV</v>
          </cell>
        </row>
        <row r="226">
          <cell r="B226">
            <v>120151</v>
          </cell>
          <cell r="C226" t="str">
            <v>NORNED Implementatie</v>
          </cell>
          <cell r="D226" t="str">
            <v>220kV / 380kV</v>
          </cell>
        </row>
        <row r="227">
          <cell r="B227">
            <v>277</v>
          </cell>
          <cell r="C227" t="str">
            <v>Tijdelijke bev.maatr. 2008 Oost</v>
          </cell>
          <cell r="D227" t="str">
            <v>TenneT TSO</v>
          </cell>
        </row>
        <row r="228">
          <cell r="B228">
            <v>1018</v>
          </cell>
          <cell r="C228" t="str">
            <v>Opstellen PID invoeren GIS</v>
          </cell>
          <cell r="D228" t="str">
            <v>TenneT TSO</v>
          </cell>
        </row>
        <row r="229">
          <cell r="B229">
            <v>262</v>
          </cell>
          <cell r="C229" t="str">
            <v>Studie kortsluitverm. 150kV Delft</v>
          </cell>
          <cell r="D229" t="str">
            <v>110kV - 150kV</v>
          </cell>
        </row>
        <row r="230">
          <cell r="B230">
            <v>127</v>
          </cell>
          <cell r="C230" t="str">
            <v>Maasbracht, vv bev.velden 19,20</v>
          </cell>
          <cell r="D230" t="str">
            <v>220kV / 380kV</v>
          </cell>
        </row>
        <row r="231">
          <cell r="B231">
            <v>227</v>
          </cell>
          <cell r="C231" t="str">
            <v>Engineering consultancy werkz. 2007</v>
          </cell>
          <cell r="D231" t="str">
            <v>TenneT TSO</v>
          </cell>
        </row>
        <row r="232">
          <cell r="B232">
            <v>605900</v>
          </cell>
          <cell r="C232" t="str">
            <v>TI</v>
          </cell>
          <cell r="D232" t="str">
            <v>TenneT TSO</v>
          </cell>
        </row>
        <row r="233">
          <cell r="B233">
            <v>276</v>
          </cell>
          <cell r="C233" t="str">
            <v>Vervangen UTR EHV wit te Mbt</v>
          </cell>
          <cell r="D233" t="str">
            <v>220kV / 380kV</v>
          </cell>
        </row>
        <row r="234">
          <cell r="B234">
            <v>245</v>
          </cell>
          <cell r="C234" t="str">
            <v>Uitvoeren van Saneringen</v>
          </cell>
          <cell r="D234" t="str">
            <v>TenneT TSO</v>
          </cell>
        </row>
        <row r="235">
          <cell r="B235">
            <v>100025</v>
          </cell>
          <cell r="C235" t="str">
            <v>TenneT Way of Working</v>
          </cell>
          <cell r="D235" t="str">
            <v>TenneT TSO</v>
          </cell>
        </row>
        <row r="236">
          <cell r="B236">
            <v>2012</v>
          </cell>
          <cell r="C236" t="str">
            <v>Traceverwerving Wtr - WL (De Lier)</v>
          </cell>
          <cell r="D236" t="str">
            <v>110kV - 150kV</v>
          </cell>
        </row>
        <row r="237">
          <cell r="B237">
            <v>2196</v>
          </cell>
          <cell r="C237" t="str">
            <v>Vervangen scheiders 2008</v>
          </cell>
          <cell r="D237" t="str">
            <v>220kV / 380kV</v>
          </cell>
        </row>
        <row r="238">
          <cell r="B238">
            <v>120150</v>
          </cell>
          <cell r="C238" t="str">
            <v>Trading team</v>
          </cell>
          <cell r="D238" t="str">
            <v>220kV / 380kV</v>
          </cell>
        </row>
        <row r="239">
          <cell r="B239">
            <v>150000</v>
          </cell>
          <cell r="C239" t="str">
            <v>Borging conintu voorziening</v>
          </cell>
          <cell r="D239" t="str">
            <v>TenneT TSO</v>
          </cell>
        </row>
        <row r="240">
          <cell r="B240">
            <v>20</v>
          </cell>
          <cell r="C240" t="str">
            <v>Bouwrijp maken eindhoven</v>
          </cell>
          <cell r="D240" t="str">
            <v>220kV / 380kV</v>
          </cell>
        </row>
        <row r="241">
          <cell r="B241">
            <v>310002</v>
          </cell>
          <cell r="C241" t="str">
            <v>Management Control framework</v>
          </cell>
          <cell r="D241" t="str">
            <v>TenneT TSO</v>
          </cell>
        </row>
        <row r="242">
          <cell r="B242">
            <v>2183</v>
          </cell>
          <cell r="C242" t="str">
            <v>HGL1O 3e transformator (GJP)</v>
          </cell>
          <cell r="D242" t="str">
            <v>TenneT TSO</v>
          </cell>
        </row>
        <row r="243">
          <cell r="B243">
            <v>246</v>
          </cell>
          <cell r="C243" t="str">
            <v>Uitvoeren van Amoveringen</v>
          </cell>
          <cell r="D243" t="str">
            <v>TenneT TSO</v>
          </cell>
        </row>
        <row r="244">
          <cell r="B244">
            <v>2201</v>
          </cell>
          <cell r="C244" t="str">
            <v>Trace HS+MS Urenco-TU SLA 2008-500</v>
          </cell>
          <cell r="D244" t="str">
            <v>WvD</v>
          </cell>
        </row>
        <row r="245">
          <cell r="B245">
            <v>2195</v>
          </cell>
          <cell r="C245" t="str">
            <v>Vervangen meettrafo's 2008</v>
          </cell>
          <cell r="D245" t="str">
            <v>TenneT TSO</v>
          </cell>
        </row>
        <row r="246">
          <cell r="B246">
            <v>260000</v>
          </cell>
          <cell r="C246" t="str">
            <v>#N/A</v>
          </cell>
          <cell r="D246" t="str">
            <v>???</v>
          </cell>
        </row>
        <row r="247">
          <cell r="B247">
            <v>275</v>
          </cell>
          <cell r="C247" t="str">
            <v>Sturen op Uren</v>
          </cell>
          <cell r="D247" t="str">
            <v>TenneT TSO</v>
          </cell>
        </row>
        <row r="248">
          <cell r="B248">
            <v>217508</v>
          </cell>
          <cell r="C248" t="str">
            <v>Verzwaren RTW-KY</v>
          </cell>
          <cell r="D248" t="str">
            <v>220kV / 380kV</v>
          </cell>
        </row>
        <row r="249">
          <cell r="B249">
            <v>523000</v>
          </cell>
          <cell r="C249" t="str">
            <v>Ruimtelijke ordening en milieu</v>
          </cell>
          <cell r="D249" t="str">
            <v>TenneT TSO</v>
          </cell>
        </row>
        <row r="250">
          <cell r="B250">
            <v>272</v>
          </cell>
          <cell r="C250" t="str">
            <v>Studie kabeltracé Westland</v>
          </cell>
          <cell r="D250" t="str">
            <v>110kV - 150kV</v>
          </cell>
        </row>
        <row r="251">
          <cell r="B251">
            <v>241</v>
          </cell>
          <cell r="C251" t="str">
            <v>Detachering P. Loeve - E.On Benelux</v>
          </cell>
          <cell r="D251" t="str">
            <v>TenneT TSO</v>
          </cell>
        </row>
        <row r="252">
          <cell r="B252">
            <v>2161</v>
          </cell>
          <cell r="C252" t="str">
            <v>Gasunie Midwolda SLA 2006-313</v>
          </cell>
          <cell r="D252" t="str">
            <v>WvD</v>
          </cell>
        </row>
        <row r="253">
          <cell r="B253">
            <v>120140</v>
          </cell>
          <cell r="C253" t="str">
            <v>Working group OMA</v>
          </cell>
          <cell r="D253" t="str">
            <v>220kV / 380kV</v>
          </cell>
        </row>
        <row r="254">
          <cell r="B254">
            <v>1000</v>
          </cell>
          <cell r="C254" t="str">
            <v>Consultancy Regio Oost 2008</v>
          </cell>
          <cell r="D254" t="str">
            <v>???</v>
          </cell>
        </row>
        <row r="255">
          <cell r="B255">
            <v>211</v>
          </cell>
          <cell r="C255" t="str">
            <v>EU-Erkenning leveranciers prim.comp</v>
          </cell>
          <cell r="D255" t="str">
            <v>TenneT TSO</v>
          </cell>
        </row>
        <row r="256">
          <cell r="B256">
            <v>62</v>
          </cell>
          <cell r="C256" t="str">
            <v>Verplaatsen C-bank RtW-Wl (125Mvar)</v>
          </cell>
          <cell r="D256" t="str">
            <v>110kV - 150kV</v>
          </cell>
        </row>
        <row r="257">
          <cell r="B257">
            <v>150011</v>
          </cell>
          <cell r="C257" t="str">
            <v>Opzetten Regiokantoren (W'veen)</v>
          </cell>
          <cell r="D257" t="str">
            <v>110kV - 150kV</v>
          </cell>
        </row>
        <row r="258">
          <cell r="B258">
            <v>232</v>
          </cell>
          <cell r="C258" t="str">
            <v>Telefonie &amp; Datacommunicatie</v>
          </cell>
          <cell r="D258" t="str">
            <v>TenneT TSO</v>
          </cell>
        </row>
        <row r="259">
          <cell r="B259">
            <v>205</v>
          </cell>
          <cell r="C259" t="str">
            <v>EU-erkenning leveranciers voor VBS</v>
          </cell>
          <cell r="D259" t="str">
            <v>TenneT TSO</v>
          </cell>
        </row>
        <row r="260">
          <cell r="B260">
            <v>271</v>
          </cell>
          <cell r="C260" t="str">
            <v>IFS Inrichting AM</v>
          </cell>
          <cell r="D260" t="str">
            <v>TenneT TSO</v>
          </cell>
        </row>
        <row r="261">
          <cell r="B261">
            <v>264</v>
          </cell>
          <cell r="C261" t="str">
            <v>Data-integratie RNB's</v>
          </cell>
          <cell r="D261" t="str">
            <v>TenneT TSO</v>
          </cell>
        </row>
        <row r="262">
          <cell r="B262">
            <v>2182</v>
          </cell>
          <cell r="C262" t="str">
            <v>ZL1F-KP1 verkabeling mast 8-16 geme</v>
          </cell>
          <cell r="D262" t="str">
            <v>WvD</v>
          </cell>
        </row>
        <row r="263">
          <cell r="B263">
            <v>2203</v>
          </cell>
          <cell r="C263" t="str">
            <v>WKC Luttelgeest SLA 2008-209</v>
          </cell>
          <cell r="D263" t="str">
            <v>WvD</v>
          </cell>
        </row>
        <row r="264">
          <cell r="B264">
            <v>278</v>
          </cell>
          <cell r="C264" t="str">
            <v>Tijdelijke bev.maatr. 2008 West</v>
          </cell>
          <cell r="D264" t="str">
            <v>TenneT TSO</v>
          </cell>
        </row>
        <row r="265">
          <cell r="B265">
            <v>252</v>
          </cell>
          <cell r="C265" t="str">
            <v>BU-TI Wijzigingen en aanpass in IFS</v>
          </cell>
          <cell r="D265" t="str">
            <v>TenneT TSO</v>
          </cell>
        </row>
        <row r="266">
          <cell r="B266">
            <v>273</v>
          </cell>
          <cell r="C266" t="str">
            <v>Studie kabeltracé Noord-Holland</v>
          </cell>
          <cell r="D266" t="str">
            <v>110kV - 150kV</v>
          </cell>
        </row>
        <row r="267">
          <cell r="B267">
            <v>129</v>
          </cell>
          <cell r="C267" t="str">
            <v>OPGW herstel</v>
          </cell>
          <cell r="D267" t="str">
            <v>220kV / 380kV</v>
          </cell>
        </row>
        <row r="268">
          <cell r="B268">
            <v>260</v>
          </cell>
          <cell r="C268" t="str">
            <v>Strategische herstelcapaciteit</v>
          </cell>
          <cell r="D268" t="str">
            <v>TenneT TSO</v>
          </cell>
        </row>
        <row r="269">
          <cell r="B269">
            <v>1006</v>
          </cell>
          <cell r="C269" t="str">
            <v>Uitvoeren van saneringen in 2008</v>
          </cell>
          <cell r="D269" t="str">
            <v>TenneT TSO</v>
          </cell>
        </row>
        <row r="270">
          <cell r="B270">
            <v>1014</v>
          </cell>
          <cell r="C270" t="str">
            <v>Quickscan TOEDS/TAMS</v>
          </cell>
          <cell r="D270" t="str">
            <v>TenneT TSO</v>
          </cell>
        </row>
        <row r="271">
          <cell r="B271">
            <v>2181</v>
          </cell>
          <cell r="C271" t="str">
            <v>Verhogen geleiders</v>
          </cell>
          <cell r="D271" t="str">
            <v>TenneT TSO</v>
          </cell>
        </row>
        <row r="272">
          <cell r="B272">
            <v>217441</v>
          </cell>
          <cell r="C272" t="str">
            <v>Lijn Oostzaan-Beverwijk 380 kV</v>
          </cell>
          <cell r="D272" t="str">
            <v>220kV / 380kV</v>
          </cell>
        </row>
        <row r="273">
          <cell r="B273">
            <v>2205</v>
          </cell>
          <cell r="C273" t="str">
            <v>Div lijnen onderzoek aanpassing ivm</v>
          </cell>
          <cell r="D273" t="str">
            <v>TenneT TSO</v>
          </cell>
        </row>
        <row r="274">
          <cell r="B274">
            <v>1021</v>
          </cell>
          <cell r="C274" t="str">
            <v>storing Rotterdam object Maasvlakt</v>
          </cell>
          <cell r="D274" t="str">
            <v>110kV - 150kV</v>
          </cell>
        </row>
        <row r="275">
          <cell r="B275">
            <v>150004</v>
          </cell>
          <cell r="C275" t="str">
            <v>Huisvesting en herontwikkeling</v>
          </cell>
          <cell r="D275" t="str">
            <v>TenneT TSO</v>
          </cell>
        </row>
        <row r="276">
          <cell r="B276">
            <v>2184</v>
          </cell>
          <cell r="C276" t="str">
            <v>Verv. 3 stuks 110kV vermogenschakel</v>
          </cell>
          <cell r="D276" t="str">
            <v>110kV - 150kV</v>
          </cell>
        </row>
        <row r="277">
          <cell r="B277">
            <v>900004</v>
          </cell>
          <cell r="C277" t="str">
            <v>Wind op Zee</v>
          </cell>
          <cell r="D277" t="str">
            <v>TenneT TSO</v>
          </cell>
        </row>
        <row r="278">
          <cell r="B278">
            <v>251</v>
          </cell>
          <cell r="C278" t="str">
            <v>KBS DTe</v>
          </cell>
          <cell r="D278" t="str">
            <v>TenneT TSO</v>
          </cell>
        </row>
        <row r="279">
          <cell r="B279">
            <v>255</v>
          </cell>
          <cell r="C279" t="str">
            <v>Ontwikkeling kostenmodellen</v>
          </cell>
          <cell r="D279" t="str">
            <v>TenneT TSO</v>
          </cell>
        </row>
        <row r="280">
          <cell r="B280">
            <v>2198</v>
          </cell>
          <cell r="C280" t="str">
            <v>Verv 110kV dist.relais LZ95 2008</v>
          </cell>
          <cell r="D280" t="str">
            <v>110kV - 150kV</v>
          </cell>
        </row>
        <row r="281">
          <cell r="B281">
            <v>301009</v>
          </cell>
          <cell r="C281" t="str">
            <v>Besturingscentrum Ede</v>
          </cell>
          <cell r="D281" t="str">
            <v>110kV - 150kV</v>
          </cell>
        </row>
        <row r="282">
          <cell r="B282">
            <v>2199</v>
          </cell>
          <cell r="C282" t="str">
            <v>HTN-ERD-EHVO financ afw Rws A2</v>
          </cell>
          <cell r="D282" t="str">
            <v>220kV / 380kV</v>
          </cell>
        </row>
        <row r="283">
          <cell r="B283">
            <v>235</v>
          </cell>
          <cell r="C283" t="str">
            <v>Veranderproject AM</v>
          </cell>
          <cell r="D283" t="str">
            <v>TenneT TSO</v>
          </cell>
        </row>
        <row r="284">
          <cell r="B284">
            <v>2206</v>
          </cell>
          <cell r="C284" t="str">
            <v>WSM1R 110kV veld Essent Wind</v>
          </cell>
          <cell r="D284" t="str">
            <v>110kV - 150kV</v>
          </cell>
        </row>
        <row r="285">
          <cell r="B285">
            <v>1022</v>
          </cell>
          <cell r="C285" t="str">
            <v>Werkzaamheden door derden</v>
          </cell>
          <cell r="D285" t="str">
            <v>WvD</v>
          </cell>
        </row>
        <row r="286">
          <cell r="B286">
            <v>1015</v>
          </cell>
          <cell r="C286" t="str">
            <v>Realisatie sluiting Telecomring Zee</v>
          </cell>
          <cell r="D286" t="str">
            <v>TenneT TSO</v>
          </cell>
        </row>
        <row r="287">
          <cell r="B287">
            <v>2186</v>
          </cell>
          <cell r="C287" t="str">
            <v>GTB-HTN valbeveiligingen 111 masten</v>
          </cell>
          <cell r="D287" t="str">
            <v>TenneT TSO</v>
          </cell>
        </row>
        <row r="288">
          <cell r="B288">
            <v>217927</v>
          </cell>
          <cell r="C288" t="str">
            <v>verv verm schak BISEP stat Albldm</v>
          </cell>
          <cell r="D288" t="str">
            <v>110kV - 150kV</v>
          </cell>
        </row>
        <row r="289">
          <cell r="B289">
            <v>150018</v>
          </cell>
          <cell r="C289" t="str">
            <v>Business Case vaste vs. mob telf</v>
          </cell>
          <cell r="D289" t="str">
            <v>TenneT TSO</v>
          </cell>
        </row>
        <row r="290">
          <cell r="B290">
            <v>2200</v>
          </cell>
          <cell r="C290" t="str">
            <v>HEEZE-EHVZ financ afw Rws A2</v>
          </cell>
          <cell r="D290" t="str">
            <v>220kV / 380kV</v>
          </cell>
        </row>
        <row r="291">
          <cell r="B291">
            <v>1024</v>
          </cell>
          <cell r="C291" t="str">
            <v>second opion vooronderzoek, Opwaard</v>
          </cell>
          <cell r="D291" t="str">
            <v>???</v>
          </cell>
        </row>
        <row r="292">
          <cell r="B292">
            <v>2197</v>
          </cell>
          <cell r="C292" t="str">
            <v>VLH1 verv 110kV railsysteem</v>
          </cell>
          <cell r="D292" t="str">
            <v>110kV - 150kV</v>
          </cell>
        </row>
        <row r="293">
          <cell r="B293">
            <v>1008</v>
          </cell>
          <cell r="C293" t="str">
            <v>Maken kaart voor SEV III</v>
          </cell>
          <cell r="D293" t="str">
            <v>???</v>
          </cell>
        </row>
        <row r="294">
          <cell r="B294">
            <v>2189</v>
          </cell>
          <cell r="C294" t="str">
            <v>SBRN verv aftakscheider wit</v>
          </cell>
          <cell r="D294" t="str">
            <v>TenneT TSO</v>
          </cell>
        </row>
        <row r="295">
          <cell r="B295">
            <v>217509</v>
          </cell>
          <cell r="C295" t="str">
            <v>Randstaddirectie</v>
          </cell>
          <cell r="D295" t="str">
            <v>220kV / 380kV</v>
          </cell>
        </row>
        <row r="296">
          <cell r="B296">
            <v>2180</v>
          </cell>
          <cell r="C296" t="str">
            <v>AML1T, HGL1W en CVD1 verv lijnsch/a</v>
          </cell>
          <cell r="D296" t="str">
            <v>TenneT TSO</v>
          </cell>
        </row>
        <row r="297">
          <cell r="B297">
            <v>207</v>
          </cell>
          <cell r="C297" t="str">
            <v>Studie betrouwbaarheid masten extr.</v>
          </cell>
          <cell r="D297" t="str">
            <v>???</v>
          </cell>
        </row>
        <row r="298">
          <cell r="B298">
            <v>233</v>
          </cell>
          <cell r="C298" t="str">
            <v>Tijdelijke beveiligingsmaatr. 2007</v>
          </cell>
          <cell r="D298" t="str">
            <v>TenneT TSO</v>
          </cell>
        </row>
        <row r="299">
          <cell r="B299">
            <v>2188</v>
          </cell>
          <cell r="C299" t="str">
            <v>R16 R16A verv van de geleiders OPGW</v>
          </cell>
          <cell r="D299" t="str">
            <v>220kV / 380kV</v>
          </cell>
        </row>
        <row r="300">
          <cell r="B300">
            <v>1010</v>
          </cell>
          <cell r="C300" t="str">
            <v>Dynamische capaciteit lijnbeheer</v>
          </cell>
          <cell r="D300" t="str">
            <v>???</v>
          </cell>
        </row>
        <row r="301">
          <cell r="B301">
            <v>150300</v>
          </cell>
          <cell r="C301" t="str">
            <v>Contract Management</v>
          </cell>
          <cell r="D301" t="str">
            <v>TenneT TSO</v>
          </cell>
        </row>
        <row r="302">
          <cell r="B302">
            <v>530000</v>
          </cell>
          <cell r="C302" t="str">
            <v>Programmamanagement</v>
          </cell>
          <cell r="D302" t="str">
            <v>TenneT TSO</v>
          </cell>
        </row>
        <row r="303">
          <cell r="B303">
            <v>650000</v>
          </cell>
          <cell r="C303" t="str">
            <v>KAM afdelingskosten</v>
          </cell>
          <cell r="D303" t="str">
            <v>TenneT TSO</v>
          </cell>
        </row>
      </sheetData>
      <sheetData sheetId="3">
        <row r="2">
          <cell r="B2">
            <v>100014</v>
          </cell>
          <cell r="C2">
            <v>536</v>
          </cell>
          <cell r="D2" t="str">
            <v>110 kV</v>
          </cell>
          <cell r="E2" t="str">
            <v>Investeringsproject</v>
          </cell>
          <cell r="F2" t="e">
            <v>#N/A</v>
          </cell>
          <cell r="G2">
            <v>536</v>
          </cell>
        </row>
        <row r="3">
          <cell r="B3">
            <v>100024</v>
          </cell>
          <cell r="C3">
            <v>293.5</v>
          </cell>
          <cell r="D3" t="e">
            <v>#N/A</v>
          </cell>
          <cell r="E3" t="str">
            <v>Investeringsproject</v>
          </cell>
          <cell r="F3" t="e">
            <v>#N/A</v>
          </cell>
          <cell r="G3">
            <v>293.5</v>
          </cell>
        </row>
        <row r="4">
          <cell r="B4">
            <v>100025</v>
          </cell>
          <cell r="C4">
            <v>137.5</v>
          </cell>
          <cell r="D4" t="e">
            <v>#N/A</v>
          </cell>
          <cell r="E4" t="str">
            <v>Exploitatieproject</v>
          </cell>
          <cell r="F4" t="str">
            <v>Kwal. Verb.</v>
          </cell>
          <cell r="G4">
            <v>137.5</v>
          </cell>
        </row>
        <row r="5">
          <cell r="B5">
            <v>120101</v>
          </cell>
          <cell r="C5">
            <v>4493</v>
          </cell>
          <cell r="D5" t="str">
            <v>380 kV</v>
          </cell>
          <cell r="E5" t="str">
            <v>Investeringsproject</v>
          </cell>
          <cell r="F5" t="str">
            <v>Cap. Uitbreiding</v>
          </cell>
          <cell r="G5">
            <v>4501</v>
          </cell>
        </row>
        <row r="6">
          <cell r="B6">
            <v>120121</v>
          </cell>
          <cell r="C6">
            <v>614.75</v>
          </cell>
          <cell r="D6" t="str">
            <v>Overig</v>
          </cell>
          <cell r="E6" t="str">
            <v>Investeringsproject</v>
          </cell>
          <cell r="F6" t="str">
            <v>Cap. Uitbreiding</v>
          </cell>
          <cell r="G6">
            <v>614.75</v>
          </cell>
        </row>
        <row r="7">
          <cell r="B7">
            <v>120130</v>
          </cell>
          <cell r="C7">
            <v>565</v>
          </cell>
          <cell r="D7" t="str">
            <v>380 kV</v>
          </cell>
          <cell r="E7" t="str">
            <v>Investeringsproject</v>
          </cell>
          <cell r="F7" t="e">
            <v>#N/A</v>
          </cell>
          <cell r="G7">
            <v>565</v>
          </cell>
        </row>
        <row r="8">
          <cell r="B8">
            <v>120150</v>
          </cell>
          <cell r="C8">
            <v>129</v>
          </cell>
          <cell r="D8" t="str">
            <v>380 kV</v>
          </cell>
          <cell r="E8" t="str">
            <v>Investeringsproject</v>
          </cell>
          <cell r="F8" t="e">
            <v>#N/A</v>
          </cell>
          <cell r="G8">
            <v>129</v>
          </cell>
        </row>
        <row r="9">
          <cell r="B9">
            <v>120151</v>
          </cell>
          <cell r="C9">
            <v>218</v>
          </cell>
          <cell r="D9" t="str">
            <v>380 kV</v>
          </cell>
          <cell r="E9" t="str">
            <v>Investeringsproject</v>
          </cell>
          <cell r="F9" t="e">
            <v>#N/A</v>
          </cell>
          <cell r="G9">
            <v>218</v>
          </cell>
        </row>
        <row r="10">
          <cell r="B10">
            <v>150004</v>
          </cell>
          <cell r="C10">
            <v>23</v>
          </cell>
          <cell r="D10" t="e">
            <v>#N/A</v>
          </cell>
          <cell r="E10" t="e">
            <v>#N/A</v>
          </cell>
          <cell r="F10" t="e">
            <v>#N/A</v>
          </cell>
          <cell r="G10">
            <v>23</v>
          </cell>
        </row>
        <row r="11">
          <cell r="B11">
            <v>150011</v>
          </cell>
          <cell r="C11">
            <v>60.5</v>
          </cell>
          <cell r="D11" t="e">
            <v>#N/A</v>
          </cell>
          <cell r="E11" t="e">
            <v>#N/A</v>
          </cell>
          <cell r="F11" t="e">
            <v>#N/A</v>
          </cell>
          <cell r="G11">
            <v>60.5</v>
          </cell>
        </row>
        <row r="12">
          <cell r="B12">
            <v>150018</v>
          </cell>
          <cell r="C12">
            <v>8.5</v>
          </cell>
          <cell r="D12" t="e">
            <v>#N/A</v>
          </cell>
          <cell r="E12" t="e">
            <v>#N/A</v>
          </cell>
          <cell r="F12" t="e">
            <v>#N/A</v>
          </cell>
          <cell r="G12">
            <v>8.5</v>
          </cell>
        </row>
        <row r="13">
          <cell r="B13">
            <v>210600</v>
          </cell>
          <cell r="C13">
            <v>360.75</v>
          </cell>
          <cell r="D13" t="e">
            <v>#N/A</v>
          </cell>
          <cell r="E13" t="str">
            <v>Exploitatieproject</v>
          </cell>
          <cell r="F13" t="str">
            <v>Kwal. Verb.</v>
          </cell>
          <cell r="G13">
            <v>360.75</v>
          </cell>
        </row>
        <row r="14">
          <cell r="B14">
            <v>214512</v>
          </cell>
          <cell r="C14">
            <v>13734.25</v>
          </cell>
          <cell r="D14" t="str">
            <v>380 kV</v>
          </cell>
          <cell r="E14" t="str">
            <v>Investeringsproject</v>
          </cell>
          <cell r="F14" t="str">
            <v>Cap. Uitbreiding</v>
          </cell>
          <cell r="G14">
            <v>13734.25</v>
          </cell>
        </row>
        <row r="15">
          <cell r="B15">
            <v>217370</v>
          </cell>
          <cell r="C15">
            <v>61</v>
          </cell>
          <cell r="D15" t="str">
            <v>380 kV</v>
          </cell>
          <cell r="E15" t="str">
            <v>Investeringsproject</v>
          </cell>
          <cell r="F15" t="str">
            <v>Kwal. Verb.</v>
          </cell>
          <cell r="G15">
            <v>61</v>
          </cell>
        </row>
        <row r="16">
          <cell r="B16">
            <v>217402</v>
          </cell>
          <cell r="C16">
            <v>374.25</v>
          </cell>
          <cell r="D16" t="str">
            <v>380 kV</v>
          </cell>
          <cell r="E16" t="str">
            <v>Investeringsproject</v>
          </cell>
          <cell r="F16" t="str">
            <v>Cap. Uitbreiding</v>
          </cell>
          <cell r="G16">
            <v>374.25</v>
          </cell>
        </row>
        <row r="17">
          <cell r="B17">
            <v>217509</v>
          </cell>
          <cell r="C17">
            <v>3</v>
          </cell>
          <cell r="D17" t="e">
            <v>#N/A</v>
          </cell>
          <cell r="E17" t="e">
            <v>#N/A</v>
          </cell>
          <cell r="F17" t="e">
            <v>#N/A</v>
          </cell>
          <cell r="G17">
            <v>3</v>
          </cell>
        </row>
        <row r="18">
          <cell r="B18">
            <v>217600</v>
          </cell>
          <cell r="C18">
            <v>721</v>
          </cell>
          <cell r="D18" t="str">
            <v>150 kV</v>
          </cell>
          <cell r="E18" t="str">
            <v>Investeringsproject</v>
          </cell>
          <cell r="F18" t="str">
            <v>Cap. Uitbreiding</v>
          </cell>
          <cell r="G18">
            <v>721</v>
          </cell>
        </row>
        <row r="19">
          <cell r="B19">
            <v>217923</v>
          </cell>
          <cell r="C19">
            <v>6.5</v>
          </cell>
          <cell r="D19" t="e">
            <v>#N/A</v>
          </cell>
          <cell r="E19" t="e">
            <v>#N/A</v>
          </cell>
          <cell r="F19" t="e">
            <v>#N/A</v>
          </cell>
          <cell r="G19">
            <v>6.5</v>
          </cell>
        </row>
        <row r="20">
          <cell r="B20">
            <v>217925</v>
          </cell>
          <cell r="C20">
            <v>602</v>
          </cell>
          <cell r="D20" t="str">
            <v>150 kV</v>
          </cell>
          <cell r="E20" t="str">
            <v>Investeringsproject</v>
          </cell>
          <cell r="F20" t="str">
            <v>Ren. + Verv</v>
          </cell>
          <cell r="G20">
            <v>602</v>
          </cell>
        </row>
        <row r="21">
          <cell r="B21">
            <v>217928</v>
          </cell>
          <cell r="C21">
            <v>349.5</v>
          </cell>
          <cell r="D21" t="str">
            <v>150 kV</v>
          </cell>
          <cell r="E21" t="str">
            <v>Investeringsproject</v>
          </cell>
          <cell r="F21" t="str">
            <v>Ren. + Verv</v>
          </cell>
          <cell r="G21">
            <v>349.5</v>
          </cell>
        </row>
        <row r="22">
          <cell r="B22">
            <v>217940</v>
          </cell>
          <cell r="C22">
            <v>426.75</v>
          </cell>
          <cell r="D22" t="str">
            <v>150 kV</v>
          </cell>
          <cell r="E22" t="str">
            <v>Projecten Derden</v>
          </cell>
          <cell r="F22" t="str">
            <v>Reconstructie</v>
          </cell>
          <cell r="G22">
            <v>426.75</v>
          </cell>
        </row>
        <row r="23">
          <cell r="B23">
            <v>217945</v>
          </cell>
          <cell r="C23">
            <v>15</v>
          </cell>
          <cell r="D23" t="e">
            <v>#N/A</v>
          </cell>
          <cell r="E23" t="e">
            <v>#N/A</v>
          </cell>
          <cell r="F23" t="e">
            <v>#N/A</v>
          </cell>
          <cell r="G23">
            <v>15</v>
          </cell>
        </row>
        <row r="24">
          <cell r="B24">
            <v>260000</v>
          </cell>
          <cell r="C24">
            <v>90</v>
          </cell>
          <cell r="D24" t="e">
            <v>#N/A</v>
          </cell>
          <cell r="E24" t="e">
            <v>#N/A</v>
          </cell>
          <cell r="F24" t="e">
            <v>#N/A</v>
          </cell>
          <cell r="G24">
            <v>90</v>
          </cell>
        </row>
        <row r="25">
          <cell r="B25">
            <v>301005</v>
          </cell>
          <cell r="C25">
            <v>375</v>
          </cell>
          <cell r="D25" t="e">
            <v>#N/A</v>
          </cell>
          <cell r="E25" t="str">
            <v>Investeringsproject</v>
          </cell>
          <cell r="F25" t="e">
            <v>#N/A</v>
          </cell>
          <cell r="G25">
            <v>375</v>
          </cell>
        </row>
        <row r="26">
          <cell r="B26">
            <v>301009</v>
          </cell>
          <cell r="C26">
            <v>15</v>
          </cell>
          <cell r="D26" t="e">
            <v>#N/A</v>
          </cell>
          <cell r="E26" t="str">
            <v>Investeringsproject</v>
          </cell>
          <cell r="F26" t="e">
            <v>#N/A</v>
          </cell>
          <cell r="G26">
            <v>15</v>
          </cell>
        </row>
        <row r="27">
          <cell r="B27">
            <v>310001</v>
          </cell>
          <cell r="C27">
            <v>4000</v>
          </cell>
          <cell r="D27" t="str">
            <v>150 kV</v>
          </cell>
          <cell r="E27" t="str">
            <v>TenneXT</v>
          </cell>
          <cell r="F27" t="e">
            <v>#N/A</v>
          </cell>
          <cell r="G27">
            <v>4000</v>
          </cell>
        </row>
        <row r="28">
          <cell r="B28">
            <v>310002</v>
          </cell>
          <cell r="C28">
            <v>115.5</v>
          </cell>
          <cell r="D28" t="str">
            <v>150 kV</v>
          </cell>
          <cell r="E28" t="str">
            <v>TenneXT</v>
          </cell>
          <cell r="F28" t="e">
            <v>#N/A</v>
          </cell>
          <cell r="G28">
            <v>115.5</v>
          </cell>
        </row>
        <row r="29">
          <cell r="B29">
            <v>310003</v>
          </cell>
          <cell r="C29">
            <v>6140</v>
          </cell>
          <cell r="D29" t="str">
            <v>150 kV</v>
          </cell>
          <cell r="E29" t="str">
            <v>TenneXT</v>
          </cell>
          <cell r="F29" t="e">
            <v>#N/A</v>
          </cell>
          <cell r="G29">
            <v>6140</v>
          </cell>
        </row>
        <row r="30">
          <cell r="B30">
            <v>310005</v>
          </cell>
          <cell r="C30">
            <v>3789.5</v>
          </cell>
          <cell r="D30" t="str">
            <v>150 kV</v>
          </cell>
          <cell r="E30" t="str">
            <v>TenneXT</v>
          </cell>
          <cell r="F30" t="e">
            <v>#N/A</v>
          </cell>
          <cell r="G30">
            <v>3789.5</v>
          </cell>
        </row>
        <row r="31">
          <cell r="B31">
            <v>523000</v>
          </cell>
          <cell r="C31">
            <v>76.5</v>
          </cell>
          <cell r="D31" t="e">
            <v>#N/A</v>
          </cell>
          <cell r="E31" t="str">
            <v>Exploitatieproject</v>
          </cell>
          <cell r="F31" t="e">
            <v>#N/A</v>
          </cell>
          <cell r="G31" t="e">
            <v>#N/A</v>
          </cell>
        </row>
        <row r="32">
          <cell r="B32">
            <v>530000</v>
          </cell>
          <cell r="C32">
            <v>0</v>
          </cell>
          <cell r="D32" t="e">
            <v>#N/A</v>
          </cell>
          <cell r="E32" t="e">
            <v>#N/A</v>
          </cell>
          <cell r="F32" t="e">
            <v>#N/A</v>
          </cell>
          <cell r="G32" t="e">
            <v>#N/A</v>
          </cell>
        </row>
        <row r="33">
          <cell r="B33">
            <v>605900</v>
          </cell>
          <cell r="C33">
            <v>704</v>
          </cell>
          <cell r="D33" t="e">
            <v>#N/A</v>
          </cell>
          <cell r="E33" t="str">
            <v>Exploitatieproject</v>
          </cell>
          <cell r="F33" t="str">
            <v>Algemeen</v>
          </cell>
          <cell r="G33">
            <v>160</v>
          </cell>
        </row>
        <row r="34">
          <cell r="B34">
            <v>900001</v>
          </cell>
          <cell r="C34">
            <v>4195</v>
          </cell>
          <cell r="D34" t="str">
            <v>380 kV</v>
          </cell>
          <cell r="E34" t="str">
            <v>Investeringsproject</v>
          </cell>
          <cell r="F34" t="e">
            <v>#N/A</v>
          </cell>
          <cell r="G34">
            <v>9603</v>
          </cell>
        </row>
        <row r="35">
          <cell r="B35">
            <v>900004</v>
          </cell>
          <cell r="C35">
            <v>18</v>
          </cell>
          <cell r="D35" t="e">
            <v>#N/A</v>
          </cell>
          <cell r="E35" t="e">
            <v>#N/A</v>
          </cell>
          <cell r="F35" t="e">
            <v>#N/A</v>
          </cell>
          <cell r="G35">
            <v>18</v>
          </cell>
        </row>
        <row r="36">
          <cell r="B36">
            <v>2</v>
          </cell>
          <cell r="C36">
            <v>9951.5</v>
          </cell>
          <cell r="D36" t="str">
            <v>380 kV</v>
          </cell>
          <cell r="E36" t="str">
            <v>Investeringsproject</v>
          </cell>
          <cell r="F36" t="str">
            <v>Cap. Uitbreiding</v>
          </cell>
          <cell r="G36">
            <v>9976.5</v>
          </cell>
        </row>
        <row r="37">
          <cell r="B37">
            <v>3</v>
          </cell>
          <cell r="C37">
            <v>3219.25</v>
          </cell>
          <cell r="D37" t="str">
            <v>380 kV</v>
          </cell>
          <cell r="E37" t="str">
            <v>Investeringsproject</v>
          </cell>
          <cell r="F37" t="str">
            <v>Cap. Uitbreiding</v>
          </cell>
          <cell r="G37">
            <v>3219.25</v>
          </cell>
        </row>
        <row r="38">
          <cell r="B38">
            <v>4</v>
          </cell>
          <cell r="C38">
            <v>4239.5</v>
          </cell>
          <cell r="D38" t="str">
            <v>380 kV</v>
          </cell>
          <cell r="E38" t="str">
            <v>Investeringsproject</v>
          </cell>
          <cell r="F38" t="str">
            <v>Cap. Uitbreiding</v>
          </cell>
          <cell r="G38">
            <v>4239.5</v>
          </cell>
        </row>
        <row r="39">
          <cell r="B39">
            <v>5</v>
          </cell>
          <cell r="C39">
            <v>448</v>
          </cell>
          <cell r="D39" t="str">
            <v>380 kV</v>
          </cell>
          <cell r="E39" t="str">
            <v>Investeringsproject</v>
          </cell>
          <cell r="F39" t="str">
            <v>Cap. Uitbreiding</v>
          </cell>
          <cell r="G39">
            <v>448</v>
          </cell>
        </row>
        <row r="40">
          <cell r="B40">
            <v>6</v>
          </cell>
          <cell r="C40">
            <v>655</v>
          </cell>
          <cell r="D40" t="str">
            <v>380 kV</v>
          </cell>
          <cell r="E40" t="str">
            <v>Investeringsproject</v>
          </cell>
          <cell r="F40" t="str">
            <v>Cap. Uitbreiding</v>
          </cell>
          <cell r="G40">
            <v>655</v>
          </cell>
        </row>
        <row r="41">
          <cell r="B41">
            <v>10</v>
          </cell>
          <cell r="C41">
            <v>1609</v>
          </cell>
          <cell r="D41" t="str">
            <v>380 kV</v>
          </cell>
          <cell r="E41" t="str">
            <v>Investeringsproject</v>
          </cell>
          <cell r="F41" t="str">
            <v>Cap. Uitbreiding</v>
          </cell>
          <cell r="G41">
            <v>1609</v>
          </cell>
        </row>
        <row r="42">
          <cell r="B42">
            <v>11</v>
          </cell>
          <cell r="C42">
            <v>3328.91</v>
          </cell>
          <cell r="D42" t="str">
            <v>380 kV</v>
          </cell>
          <cell r="E42" t="str">
            <v>Investeringsproject</v>
          </cell>
          <cell r="F42" t="str">
            <v>Cap. Uitbreiding</v>
          </cell>
          <cell r="G42">
            <v>3328.91</v>
          </cell>
        </row>
        <row r="43">
          <cell r="B43">
            <v>12</v>
          </cell>
          <cell r="C43">
            <v>2810</v>
          </cell>
          <cell r="D43" t="str">
            <v>380 kV</v>
          </cell>
          <cell r="E43" t="str">
            <v>Investeringsproject</v>
          </cell>
          <cell r="F43" t="str">
            <v>Cap. Uitbreiding</v>
          </cell>
          <cell r="G43">
            <v>2810</v>
          </cell>
        </row>
        <row r="44">
          <cell r="B44">
            <v>13</v>
          </cell>
          <cell r="C44">
            <v>7182.75</v>
          </cell>
          <cell r="D44" t="str">
            <v>380 kV</v>
          </cell>
          <cell r="E44" t="str">
            <v>Investeringsproject</v>
          </cell>
          <cell r="F44" t="str">
            <v>Cap. Uitbreiding</v>
          </cell>
          <cell r="G44">
            <v>7184.75</v>
          </cell>
        </row>
        <row r="45">
          <cell r="B45">
            <v>14</v>
          </cell>
          <cell r="C45">
            <v>6827.75</v>
          </cell>
          <cell r="D45" t="str">
            <v>380 kV</v>
          </cell>
          <cell r="E45" t="str">
            <v>Investeringsproject</v>
          </cell>
          <cell r="F45" t="str">
            <v>Cap. Uitbreiding</v>
          </cell>
          <cell r="G45">
            <v>6827.75</v>
          </cell>
        </row>
        <row r="46">
          <cell r="B46">
            <v>15</v>
          </cell>
          <cell r="C46">
            <v>5862.75</v>
          </cell>
          <cell r="D46" t="str">
            <v>380 kV</v>
          </cell>
          <cell r="E46" t="str">
            <v>Investeringsproject</v>
          </cell>
          <cell r="F46" t="str">
            <v>Cap. Uitbreiding</v>
          </cell>
          <cell r="G46">
            <v>5862.75</v>
          </cell>
        </row>
        <row r="47">
          <cell r="B47">
            <v>19</v>
          </cell>
          <cell r="C47">
            <v>31.75</v>
          </cell>
          <cell r="D47" t="str">
            <v>380 kV</v>
          </cell>
          <cell r="E47" t="str">
            <v>Investeringsproject</v>
          </cell>
          <cell r="F47" t="str">
            <v>Kwal. Verb.</v>
          </cell>
          <cell r="G47">
            <v>31.75</v>
          </cell>
        </row>
        <row r="48">
          <cell r="B48">
            <v>20</v>
          </cell>
          <cell r="C48">
            <v>162</v>
          </cell>
          <cell r="D48" t="str">
            <v>380 kV</v>
          </cell>
          <cell r="E48" t="str">
            <v>Investeringsproject</v>
          </cell>
          <cell r="F48" t="str">
            <v>Kwal. Verb.</v>
          </cell>
          <cell r="G48">
            <v>162</v>
          </cell>
        </row>
        <row r="49">
          <cell r="B49">
            <v>21</v>
          </cell>
          <cell r="C49">
            <v>1138.5</v>
          </cell>
          <cell r="D49" t="str">
            <v>380 kV</v>
          </cell>
          <cell r="E49" t="str">
            <v>Investeringsproject</v>
          </cell>
          <cell r="F49" t="str">
            <v>Ren. + Verv</v>
          </cell>
          <cell r="G49">
            <v>1138.5</v>
          </cell>
        </row>
        <row r="50">
          <cell r="B50">
            <v>27</v>
          </cell>
          <cell r="C50">
            <v>623.5</v>
          </cell>
          <cell r="D50" t="str">
            <v>380 kV</v>
          </cell>
          <cell r="E50" t="str">
            <v>Investeringsproject</v>
          </cell>
          <cell r="F50" t="str">
            <v>Cap. Uitbreiding</v>
          </cell>
          <cell r="G50">
            <v>623.5</v>
          </cell>
        </row>
        <row r="51">
          <cell r="B51">
            <v>41</v>
          </cell>
          <cell r="C51">
            <v>1101.0899999999999</v>
          </cell>
          <cell r="D51" t="str">
            <v>380 kV</v>
          </cell>
          <cell r="E51" t="str">
            <v>Projecten Derden</v>
          </cell>
          <cell r="F51" t="str">
            <v>Aansluiting</v>
          </cell>
          <cell r="G51">
            <v>1101.0899999999999</v>
          </cell>
        </row>
        <row r="52">
          <cell r="B52">
            <v>49</v>
          </cell>
          <cell r="C52">
            <v>80</v>
          </cell>
          <cell r="D52" t="str">
            <v>380 kV</v>
          </cell>
          <cell r="E52" t="str">
            <v>Projecten Derden</v>
          </cell>
          <cell r="F52" t="str">
            <v>Reconstructie</v>
          </cell>
          <cell r="G52">
            <v>80</v>
          </cell>
        </row>
        <row r="53">
          <cell r="B53">
            <v>50</v>
          </cell>
          <cell r="C53">
            <v>962.5</v>
          </cell>
          <cell r="D53" t="str">
            <v>380 kV</v>
          </cell>
          <cell r="E53" t="str">
            <v>Projecten Derden</v>
          </cell>
          <cell r="F53" t="str">
            <v>Reconstructie</v>
          </cell>
          <cell r="G53">
            <v>962.5</v>
          </cell>
        </row>
        <row r="54">
          <cell r="B54">
            <v>51</v>
          </cell>
          <cell r="C54">
            <v>117</v>
          </cell>
          <cell r="D54" t="str">
            <v>380 kV</v>
          </cell>
          <cell r="E54" t="str">
            <v>Projecten Derden</v>
          </cell>
          <cell r="F54" t="str">
            <v>Reconstructie</v>
          </cell>
          <cell r="G54">
            <v>117</v>
          </cell>
        </row>
        <row r="55">
          <cell r="B55">
            <v>52</v>
          </cell>
          <cell r="C55">
            <v>2533.5</v>
          </cell>
          <cell r="D55" t="str">
            <v>150 kV</v>
          </cell>
          <cell r="E55" t="str">
            <v>Investeringsproject</v>
          </cell>
          <cell r="F55" t="str">
            <v>Cap. Uitbreiding</v>
          </cell>
          <cell r="G55">
            <v>2533.5</v>
          </cell>
        </row>
        <row r="56">
          <cell r="B56">
            <v>56</v>
          </cell>
          <cell r="C56">
            <v>769.75</v>
          </cell>
          <cell r="D56" t="str">
            <v>150 kV</v>
          </cell>
          <cell r="E56" t="str">
            <v>Investeringsproject</v>
          </cell>
          <cell r="F56" t="str">
            <v>Cap. Uitbreiding</v>
          </cell>
          <cell r="G56">
            <v>769.75</v>
          </cell>
        </row>
        <row r="57">
          <cell r="B57">
            <v>58</v>
          </cell>
          <cell r="C57">
            <v>2677.5</v>
          </cell>
          <cell r="D57" t="str">
            <v>150 kV</v>
          </cell>
          <cell r="E57" t="str">
            <v>Investeringsproject</v>
          </cell>
          <cell r="F57" t="str">
            <v>Cap. Uitbreiding</v>
          </cell>
          <cell r="G57">
            <v>2681.5</v>
          </cell>
        </row>
        <row r="58">
          <cell r="B58">
            <v>59</v>
          </cell>
          <cell r="C58">
            <v>2185.25</v>
          </cell>
          <cell r="D58" t="str">
            <v>150 kV</v>
          </cell>
          <cell r="E58" t="str">
            <v>Investeringsproject</v>
          </cell>
          <cell r="F58" t="str">
            <v>Cap. Uitbreiding</v>
          </cell>
          <cell r="G58">
            <v>2185.25</v>
          </cell>
        </row>
        <row r="59">
          <cell r="B59">
            <v>62</v>
          </cell>
          <cell r="C59">
            <v>61.25</v>
          </cell>
          <cell r="D59" t="str">
            <v>150 kV</v>
          </cell>
          <cell r="E59" t="str">
            <v>Investeringsproject</v>
          </cell>
          <cell r="F59" t="str">
            <v>Kwal. Verb.</v>
          </cell>
          <cell r="G59">
            <v>61.25</v>
          </cell>
        </row>
        <row r="60">
          <cell r="B60">
            <v>63</v>
          </cell>
          <cell r="C60">
            <v>13</v>
          </cell>
          <cell r="D60" t="str">
            <v>150 kV</v>
          </cell>
          <cell r="E60" t="str">
            <v>Investeringsproject</v>
          </cell>
          <cell r="F60" t="str">
            <v>Kwal. Verb.</v>
          </cell>
          <cell r="G60">
            <v>13</v>
          </cell>
        </row>
        <row r="61">
          <cell r="B61">
            <v>68</v>
          </cell>
          <cell r="C61">
            <v>51</v>
          </cell>
          <cell r="D61" t="str">
            <v>150 kV</v>
          </cell>
          <cell r="E61" t="str">
            <v>Investeringsproject</v>
          </cell>
          <cell r="F61" t="str">
            <v>Ren. + Verv</v>
          </cell>
          <cell r="G61">
            <v>51</v>
          </cell>
        </row>
        <row r="62">
          <cell r="B62">
            <v>71</v>
          </cell>
          <cell r="C62">
            <v>2543</v>
          </cell>
          <cell r="D62" t="str">
            <v>150 kV</v>
          </cell>
          <cell r="E62" t="str">
            <v>Investeringsproject</v>
          </cell>
          <cell r="F62" t="str">
            <v>Ren. + Verv</v>
          </cell>
          <cell r="G62">
            <v>2543</v>
          </cell>
        </row>
        <row r="63">
          <cell r="B63">
            <v>72</v>
          </cell>
          <cell r="C63">
            <v>3001.25</v>
          </cell>
          <cell r="D63" t="str">
            <v>150 kV</v>
          </cell>
          <cell r="E63" t="str">
            <v>Investeringsproject</v>
          </cell>
          <cell r="F63" t="str">
            <v>Ren. + Verv</v>
          </cell>
          <cell r="G63">
            <v>3001.25</v>
          </cell>
        </row>
        <row r="64">
          <cell r="B64">
            <v>75</v>
          </cell>
          <cell r="C64">
            <v>219</v>
          </cell>
          <cell r="D64" t="str">
            <v>150 kV</v>
          </cell>
          <cell r="E64" t="str">
            <v>Investeringsproject</v>
          </cell>
          <cell r="F64" t="str">
            <v>Ren. + Verv</v>
          </cell>
          <cell r="G64">
            <v>219</v>
          </cell>
        </row>
        <row r="65">
          <cell r="B65">
            <v>82</v>
          </cell>
          <cell r="C65">
            <v>1473</v>
          </cell>
          <cell r="D65" t="str">
            <v>150 kV</v>
          </cell>
          <cell r="E65" t="str">
            <v>Projecten Derden</v>
          </cell>
          <cell r="F65" t="str">
            <v>Reconstructie</v>
          </cell>
          <cell r="G65">
            <v>1473</v>
          </cell>
        </row>
        <row r="66">
          <cell r="B66">
            <v>85</v>
          </cell>
          <cell r="C66">
            <v>2708</v>
          </cell>
          <cell r="D66" t="str">
            <v>150 kV</v>
          </cell>
          <cell r="E66" t="str">
            <v>Investeringsproject</v>
          </cell>
          <cell r="F66" t="str">
            <v>Cap. Uitbreiding</v>
          </cell>
          <cell r="G66">
            <v>2708</v>
          </cell>
        </row>
        <row r="67">
          <cell r="B67">
            <v>90</v>
          </cell>
          <cell r="C67">
            <v>5395.52</v>
          </cell>
          <cell r="D67" t="str">
            <v>380 kV</v>
          </cell>
          <cell r="E67" t="str">
            <v>Investeringsproject</v>
          </cell>
          <cell r="F67" t="str">
            <v>Aansluiting</v>
          </cell>
          <cell r="G67">
            <v>5395.52</v>
          </cell>
        </row>
        <row r="68">
          <cell r="B68">
            <v>95</v>
          </cell>
          <cell r="C68">
            <v>90.25</v>
          </cell>
          <cell r="D68" t="str">
            <v>380 kV</v>
          </cell>
          <cell r="E68" t="str">
            <v>Projecten Derden</v>
          </cell>
          <cell r="F68" t="str">
            <v>Aansluiting</v>
          </cell>
          <cell r="G68">
            <v>90.25</v>
          </cell>
        </row>
        <row r="69">
          <cell r="B69">
            <v>98</v>
          </cell>
          <cell r="C69">
            <v>1881</v>
          </cell>
          <cell r="D69" t="str">
            <v>380 kV</v>
          </cell>
          <cell r="E69" t="str">
            <v>Investeringsproject</v>
          </cell>
          <cell r="F69" t="str">
            <v>Kwal. Verb.</v>
          </cell>
          <cell r="G69">
            <v>1882</v>
          </cell>
        </row>
        <row r="70">
          <cell r="B70">
            <v>99</v>
          </cell>
          <cell r="C70">
            <v>6341.5</v>
          </cell>
          <cell r="D70" t="str">
            <v>380 kV</v>
          </cell>
          <cell r="E70" t="str">
            <v>Investeringsproject</v>
          </cell>
          <cell r="F70" t="str">
            <v>Kwal. Verb.</v>
          </cell>
          <cell r="G70">
            <v>6341.5</v>
          </cell>
        </row>
        <row r="71">
          <cell r="B71">
            <v>107</v>
          </cell>
          <cell r="C71">
            <v>600.25</v>
          </cell>
          <cell r="D71" t="str">
            <v>380 kV</v>
          </cell>
          <cell r="E71" t="str">
            <v>Investeringsproject</v>
          </cell>
          <cell r="F71" t="str">
            <v>Cap. Uitbreiding</v>
          </cell>
          <cell r="G71">
            <v>600.25</v>
          </cell>
        </row>
        <row r="72">
          <cell r="B72">
            <v>109</v>
          </cell>
          <cell r="C72">
            <v>313</v>
          </cell>
          <cell r="D72" t="str">
            <v>380 kV</v>
          </cell>
          <cell r="E72" t="str">
            <v>Investeringsproject</v>
          </cell>
          <cell r="F72" t="str">
            <v>Cap. Uitbreiding</v>
          </cell>
          <cell r="G72">
            <v>313</v>
          </cell>
        </row>
        <row r="73">
          <cell r="B73">
            <v>110</v>
          </cell>
          <cell r="C73">
            <v>537</v>
          </cell>
          <cell r="D73" t="str">
            <v>150 kV</v>
          </cell>
          <cell r="E73" t="str">
            <v>Investeringsproject</v>
          </cell>
          <cell r="F73" t="str">
            <v>Kwal. Verb.</v>
          </cell>
          <cell r="G73">
            <v>537</v>
          </cell>
        </row>
        <row r="74">
          <cell r="B74">
            <v>111</v>
          </cell>
          <cell r="C74">
            <v>263</v>
          </cell>
          <cell r="D74" t="str">
            <v>380 kV</v>
          </cell>
          <cell r="E74" t="str">
            <v>Investeringsproject</v>
          </cell>
          <cell r="F74" t="str">
            <v>Kwal. Verb.</v>
          </cell>
          <cell r="G74">
            <v>263</v>
          </cell>
        </row>
        <row r="75">
          <cell r="B75">
            <v>113</v>
          </cell>
          <cell r="C75">
            <v>102.5</v>
          </cell>
          <cell r="D75" t="str">
            <v>380 kV</v>
          </cell>
          <cell r="E75" t="str">
            <v>Investeringsproject</v>
          </cell>
          <cell r="F75" t="str">
            <v>Ren. + Verv</v>
          </cell>
          <cell r="G75">
            <v>102.5</v>
          </cell>
        </row>
        <row r="76">
          <cell r="B76">
            <v>116</v>
          </cell>
          <cell r="C76">
            <v>1980.5</v>
          </cell>
          <cell r="D76" t="str">
            <v>380 kV</v>
          </cell>
          <cell r="E76" t="str">
            <v>Investeringsproject</v>
          </cell>
          <cell r="F76" t="str">
            <v>Cap. Uitbreiding</v>
          </cell>
          <cell r="G76">
            <v>1980.5</v>
          </cell>
        </row>
        <row r="77">
          <cell r="B77">
            <v>119</v>
          </cell>
          <cell r="C77">
            <v>1107</v>
          </cell>
          <cell r="D77" t="str">
            <v>150 kV</v>
          </cell>
          <cell r="E77" t="str">
            <v>Investeringsproject</v>
          </cell>
          <cell r="F77" t="str">
            <v>Ren. + Verv</v>
          </cell>
          <cell r="G77">
            <v>1107</v>
          </cell>
        </row>
        <row r="78">
          <cell r="B78">
            <v>120</v>
          </cell>
          <cell r="C78">
            <v>18</v>
          </cell>
          <cell r="D78" t="str">
            <v>150 kV</v>
          </cell>
          <cell r="E78" t="str">
            <v>Investeringsproject</v>
          </cell>
          <cell r="F78" t="str">
            <v>Ren. + Verv</v>
          </cell>
          <cell r="G78">
            <v>18</v>
          </cell>
        </row>
        <row r="79">
          <cell r="B79">
            <v>127</v>
          </cell>
          <cell r="C79">
            <v>165</v>
          </cell>
          <cell r="D79" t="str">
            <v>380 kV</v>
          </cell>
          <cell r="E79" t="str">
            <v>Investeringsproject</v>
          </cell>
          <cell r="F79" t="str">
            <v>Ren. + Verv</v>
          </cell>
          <cell r="G79">
            <v>165</v>
          </cell>
        </row>
        <row r="80">
          <cell r="B80">
            <v>128</v>
          </cell>
          <cell r="C80">
            <v>1188.5</v>
          </cell>
          <cell r="D80" t="str">
            <v>150 kV</v>
          </cell>
          <cell r="E80" t="str">
            <v>Investeringsproject</v>
          </cell>
          <cell r="F80" t="str">
            <v>Reconstructie</v>
          </cell>
          <cell r="G80">
            <v>1188.5</v>
          </cell>
        </row>
        <row r="81">
          <cell r="B81">
            <v>129</v>
          </cell>
          <cell r="C81">
            <v>36</v>
          </cell>
          <cell r="D81" t="str">
            <v>380 kV</v>
          </cell>
          <cell r="E81" t="str">
            <v>Investeringsproject</v>
          </cell>
          <cell r="F81" t="str">
            <v>Ren. + Verv</v>
          </cell>
          <cell r="G81">
            <v>36</v>
          </cell>
        </row>
        <row r="82">
          <cell r="B82">
            <v>132</v>
          </cell>
          <cell r="C82">
            <v>16</v>
          </cell>
          <cell r="D82" t="str">
            <v>150 kV</v>
          </cell>
          <cell r="E82" t="str">
            <v>Projecten Derden</v>
          </cell>
          <cell r="F82" t="str">
            <v>Aansluiting</v>
          </cell>
          <cell r="G82">
            <v>16</v>
          </cell>
        </row>
        <row r="83">
          <cell r="B83">
            <v>133</v>
          </cell>
          <cell r="C83">
            <v>3181.75</v>
          </cell>
          <cell r="D83" t="str">
            <v>380 kV</v>
          </cell>
          <cell r="E83" t="str">
            <v>Investeringsproject</v>
          </cell>
          <cell r="F83" t="str">
            <v>Cap. Uitbreiding</v>
          </cell>
          <cell r="G83">
            <v>3181.75</v>
          </cell>
        </row>
        <row r="84">
          <cell r="B84">
            <v>135</v>
          </cell>
          <cell r="C84">
            <v>91</v>
          </cell>
          <cell r="D84" t="str">
            <v>380 kV</v>
          </cell>
          <cell r="E84" t="str">
            <v>Investeringsproject</v>
          </cell>
          <cell r="F84" t="str">
            <v>Cap. Uitbreiding</v>
          </cell>
          <cell r="G84">
            <v>91</v>
          </cell>
        </row>
        <row r="85">
          <cell r="B85">
            <v>137</v>
          </cell>
          <cell r="C85">
            <v>66</v>
          </cell>
          <cell r="D85" t="str">
            <v>150 kV</v>
          </cell>
          <cell r="E85" t="str">
            <v>Investeringsproject</v>
          </cell>
          <cell r="F85" t="str">
            <v>Kwal. Verb.</v>
          </cell>
          <cell r="G85">
            <v>66</v>
          </cell>
        </row>
        <row r="86">
          <cell r="B86">
            <v>138</v>
          </cell>
          <cell r="C86">
            <v>100</v>
          </cell>
          <cell r="D86" t="str">
            <v>380 kV</v>
          </cell>
          <cell r="E86" t="str">
            <v>Investeringsproject</v>
          </cell>
          <cell r="F86">
            <v>0</v>
          </cell>
          <cell r="G86">
            <v>100</v>
          </cell>
        </row>
        <row r="87">
          <cell r="B87">
            <v>139</v>
          </cell>
          <cell r="C87">
            <v>3389.25</v>
          </cell>
          <cell r="D87" t="str">
            <v>380 kV</v>
          </cell>
          <cell r="E87" t="str">
            <v>Investeringsproject</v>
          </cell>
          <cell r="F87" t="str">
            <v>Cap. Uitbreiding</v>
          </cell>
          <cell r="G87">
            <v>3389.25</v>
          </cell>
        </row>
        <row r="88">
          <cell r="B88">
            <v>140</v>
          </cell>
          <cell r="C88">
            <v>501.25</v>
          </cell>
          <cell r="D88" t="str">
            <v>380 kV</v>
          </cell>
          <cell r="E88" t="str">
            <v>Investeringsproject</v>
          </cell>
          <cell r="F88" t="str">
            <v>Ren. + Verv</v>
          </cell>
          <cell r="G88">
            <v>501.25</v>
          </cell>
        </row>
        <row r="89">
          <cell r="B89">
            <v>141</v>
          </cell>
          <cell r="C89">
            <v>14</v>
          </cell>
          <cell r="D89" t="str">
            <v>380 kV</v>
          </cell>
          <cell r="E89" t="str">
            <v>Projecten Derden</v>
          </cell>
          <cell r="F89" t="str">
            <v>Aansluiting</v>
          </cell>
          <cell r="G89">
            <v>14</v>
          </cell>
        </row>
        <row r="90">
          <cell r="B90">
            <v>142</v>
          </cell>
          <cell r="C90">
            <v>3284</v>
          </cell>
          <cell r="D90" t="str">
            <v>380 kV</v>
          </cell>
          <cell r="E90" t="str">
            <v>Investeringsproject</v>
          </cell>
          <cell r="F90" t="str">
            <v>Cap. Uitbreiding</v>
          </cell>
          <cell r="G90">
            <v>3325</v>
          </cell>
        </row>
        <row r="91">
          <cell r="B91">
            <v>143</v>
          </cell>
          <cell r="C91">
            <v>282.5</v>
          </cell>
          <cell r="D91" t="str">
            <v>150 kV</v>
          </cell>
          <cell r="E91" t="str">
            <v>Investeringsproject</v>
          </cell>
          <cell r="F91" t="str">
            <v>Kwal. Verb.</v>
          </cell>
          <cell r="G91">
            <v>282.5</v>
          </cell>
        </row>
        <row r="92">
          <cell r="B92">
            <v>144</v>
          </cell>
          <cell r="C92">
            <v>2791</v>
          </cell>
          <cell r="D92" t="str">
            <v>380 kV</v>
          </cell>
          <cell r="E92" t="str">
            <v>Investeringsproject</v>
          </cell>
          <cell r="F92" t="str">
            <v>Cap. Uitbreiding</v>
          </cell>
          <cell r="G92">
            <v>2791</v>
          </cell>
        </row>
        <row r="93">
          <cell r="B93">
            <v>145</v>
          </cell>
          <cell r="C93">
            <v>3376</v>
          </cell>
          <cell r="D93" t="str">
            <v>380 kV</v>
          </cell>
          <cell r="E93" t="str">
            <v>Investeringsproject</v>
          </cell>
          <cell r="F93" t="str">
            <v>Cap. Uitbreiding</v>
          </cell>
          <cell r="G93">
            <v>3376</v>
          </cell>
        </row>
        <row r="94">
          <cell r="B94">
            <v>182</v>
          </cell>
          <cell r="C94">
            <v>16</v>
          </cell>
          <cell r="D94" t="str">
            <v>380 kV</v>
          </cell>
          <cell r="E94" t="str">
            <v>Investeringsproject</v>
          </cell>
          <cell r="F94" t="str">
            <v>Aansluiting</v>
          </cell>
          <cell r="G94">
            <v>16</v>
          </cell>
        </row>
        <row r="95">
          <cell r="B95">
            <v>188</v>
          </cell>
          <cell r="C95">
            <v>922.75</v>
          </cell>
          <cell r="D95" t="str">
            <v>380 kV</v>
          </cell>
          <cell r="E95" t="str">
            <v>Investeringsproject</v>
          </cell>
          <cell r="F95" t="str">
            <v>Ren. + Verv</v>
          </cell>
          <cell r="G95">
            <v>922.75</v>
          </cell>
        </row>
        <row r="96">
          <cell r="B96">
            <v>189</v>
          </cell>
          <cell r="C96">
            <v>261</v>
          </cell>
          <cell r="D96" t="str">
            <v>380 kV</v>
          </cell>
          <cell r="E96" t="str">
            <v>Projecten Derden</v>
          </cell>
          <cell r="F96" t="str">
            <v>Aansluiting</v>
          </cell>
          <cell r="G96">
            <v>261</v>
          </cell>
        </row>
        <row r="97">
          <cell r="B97">
            <v>191</v>
          </cell>
          <cell r="C97">
            <v>814</v>
          </cell>
          <cell r="D97" t="str">
            <v>380 kV</v>
          </cell>
          <cell r="E97" t="str">
            <v>Investeringsproject</v>
          </cell>
          <cell r="F97" t="str">
            <v>Cap. Uitbreiding</v>
          </cell>
          <cell r="G97">
            <v>814</v>
          </cell>
        </row>
        <row r="98">
          <cell r="B98">
            <v>192</v>
          </cell>
          <cell r="C98">
            <v>74</v>
          </cell>
          <cell r="D98" t="str">
            <v>150 kV</v>
          </cell>
          <cell r="E98" t="str">
            <v>Projecten Derden</v>
          </cell>
          <cell r="F98" t="str">
            <v>Aansluiting</v>
          </cell>
          <cell r="G98">
            <v>74</v>
          </cell>
        </row>
        <row r="99">
          <cell r="B99">
            <v>197</v>
          </cell>
          <cell r="C99">
            <v>132.5</v>
          </cell>
          <cell r="D99" t="str">
            <v>150 kV</v>
          </cell>
          <cell r="E99" t="str">
            <v>Projecten Derden</v>
          </cell>
          <cell r="F99" t="str">
            <v>Cap. Uitbreiding</v>
          </cell>
          <cell r="G99">
            <v>132.5</v>
          </cell>
        </row>
        <row r="100">
          <cell r="B100">
            <v>198</v>
          </cell>
          <cell r="C100">
            <v>77</v>
          </cell>
          <cell r="D100" t="str">
            <v>150 kV</v>
          </cell>
          <cell r="E100" t="str">
            <v>Projecten Derden</v>
          </cell>
          <cell r="F100" t="str">
            <v>Cap. Uitbreiding</v>
          </cell>
          <cell r="G100">
            <v>77</v>
          </cell>
        </row>
        <row r="101">
          <cell r="B101">
            <v>205</v>
          </cell>
          <cell r="C101">
            <v>56</v>
          </cell>
          <cell r="D101" t="str">
            <v>Overig</v>
          </cell>
          <cell r="E101" t="str">
            <v>Exploitatieproject</v>
          </cell>
          <cell r="F101" t="str">
            <v>Studie</v>
          </cell>
          <cell r="G101">
            <v>56</v>
          </cell>
        </row>
        <row r="102">
          <cell r="B102">
            <v>207</v>
          </cell>
          <cell r="C102">
            <v>2</v>
          </cell>
          <cell r="D102" t="e">
            <v>#N/A</v>
          </cell>
          <cell r="E102" t="str">
            <v>Exploitatieproject</v>
          </cell>
          <cell r="F102" t="str">
            <v>Studie</v>
          </cell>
          <cell r="G102">
            <v>2</v>
          </cell>
        </row>
        <row r="103">
          <cell r="B103">
            <v>211</v>
          </cell>
          <cell r="C103">
            <v>63.5</v>
          </cell>
          <cell r="D103" t="str">
            <v>Overig</v>
          </cell>
          <cell r="E103" t="str">
            <v>Exploitatieproject</v>
          </cell>
          <cell r="F103" t="str">
            <v>Studie</v>
          </cell>
          <cell r="G103">
            <v>63.5</v>
          </cell>
        </row>
        <row r="104">
          <cell r="B104">
            <v>213</v>
          </cell>
          <cell r="C104">
            <v>2088</v>
          </cell>
          <cell r="D104" t="str">
            <v>380 kV</v>
          </cell>
          <cell r="E104" t="str">
            <v>Investeringsproject</v>
          </cell>
          <cell r="F104" t="str">
            <v>Cap. Uitbreiding</v>
          </cell>
          <cell r="G104">
            <v>2088</v>
          </cell>
        </row>
        <row r="105">
          <cell r="B105">
            <v>220</v>
          </cell>
          <cell r="C105">
            <v>1555.75</v>
          </cell>
          <cell r="D105" t="e">
            <v>#N/A</v>
          </cell>
          <cell r="E105" t="str">
            <v>Exploitatieproject</v>
          </cell>
          <cell r="F105" t="str">
            <v>Automatisering</v>
          </cell>
          <cell r="G105">
            <v>1562.75</v>
          </cell>
        </row>
        <row r="106">
          <cell r="B106">
            <v>221</v>
          </cell>
          <cell r="C106">
            <v>4591.75</v>
          </cell>
          <cell r="D106" t="str">
            <v>Overig</v>
          </cell>
          <cell r="E106" t="str">
            <v>Exploitatieproject</v>
          </cell>
          <cell r="F106" t="str">
            <v>Studie</v>
          </cell>
          <cell r="G106">
            <v>4591.75</v>
          </cell>
        </row>
        <row r="107">
          <cell r="B107">
            <v>227</v>
          </cell>
          <cell r="C107">
            <v>162</v>
          </cell>
          <cell r="D107" t="str">
            <v>Overig</v>
          </cell>
          <cell r="E107" t="str">
            <v>Exploitatieproject</v>
          </cell>
          <cell r="F107" t="str">
            <v>Studie</v>
          </cell>
          <cell r="G107">
            <v>162</v>
          </cell>
        </row>
        <row r="108">
          <cell r="B108">
            <v>232</v>
          </cell>
          <cell r="C108">
            <v>56.95</v>
          </cell>
          <cell r="D108" t="str">
            <v>Overig</v>
          </cell>
          <cell r="E108" t="str">
            <v>Exploitatieproject</v>
          </cell>
          <cell r="F108" t="str">
            <v>Kantoorautomatiserg.</v>
          </cell>
          <cell r="G108">
            <v>56.95</v>
          </cell>
        </row>
        <row r="109">
          <cell r="B109">
            <v>233</v>
          </cell>
          <cell r="C109">
            <v>2</v>
          </cell>
          <cell r="D109" t="str">
            <v>Overig</v>
          </cell>
          <cell r="E109" t="str">
            <v>Exploitatieproject</v>
          </cell>
          <cell r="F109" t="str">
            <v>Studie</v>
          </cell>
          <cell r="G109">
            <v>2</v>
          </cell>
        </row>
        <row r="110">
          <cell r="B110">
            <v>235</v>
          </cell>
          <cell r="C110">
            <v>13</v>
          </cell>
          <cell r="D110" t="e">
            <v>#N/A</v>
          </cell>
          <cell r="E110" t="str">
            <v>Exploitatieproject</v>
          </cell>
          <cell r="F110" t="str">
            <v>Kwal. Verb.</v>
          </cell>
          <cell r="G110">
            <v>13</v>
          </cell>
        </row>
        <row r="111">
          <cell r="B111">
            <v>237</v>
          </cell>
          <cell r="C111">
            <v>409</v>
          </cell>
          <cell r="D111" t="str">
            <v>380 kV</v>
          </cell>
          <cell r="E111" t="str">
            <v>Investeringsproject</v>
          </cell>
          <cell r="F111" t="str">
            <v>Ren. + Verv</v>
          </cell>
          <cell r="G111">
            <v>409</v>
          </cell>
        </row>
        <row r="112">
          <cell r="B112">
            <v>238</v>
          </cell>
          <cell r="C112">
            <v>3502.25</v>
          </cell>
          <cell r="D112" t="str">
            <v>150 kV</v>
          </cell>
          <cell r="E112" t="str">
            <v>Investeringsproject</v>
          </cell>
          <cell r="F112" t="str">
            <v>Cap. Uitbreiding</v>
          </cell>
          <cell r="G112">
            <v>3502.25</v>
          </cell>
        </row>
        <row r="113">
          <cell r="B113">
            <v>239</v>
          </cell>
          <cell r="C113">
            <v>423</v>
          </cell>
          <cell r="D113" t="str">
            <v>380 kV</v>
          </cell>
          <cell r="E113" t="str">
            <v>Projecten Derden</v>
          </cell>
          <cell r="F113" t="str">
            <v>Aansluiting</v>
          </cell>
          <cell r="G113">
            <v>445</v>
          </cell>
        </row>
        <row r="114">
          <cell r="B114">
            <v>241</v>
          </cell>
          <cell r="C114">
            <v>72.5</v>
          </cell>
          <cell r="D114" t="str">
            <v>Overig</v>
          </cell>
          <cell r="E114" t="str">
            <v>Projecten Derden</v>
          </cell>
          <cell r="F114">
            <v>0</v>
          </cell>
          <cell r="G114">
            <v>72.5</v>
          </cell>
        </row>
        <row r="115">
          <cell r="B115">
            <v>244</v>
          </cell>
          <cell r="C115">
            <v>397.5</v>
          </cell>
          <cell r="D115" t="str">
            <v>Overig</v>
          </cell>
          <cell r="E115" t="str">
            <v>Exploitatieproject</v>
          </cell>
          <cell r="F115" t="e">
            <v>#N/A</v>
          </cell>
          <cell r="G115">
            <v>397.5</v>
          </cell>
        </row>
        <row r="116">
          <cell r="B116">
            <v>245</v>
          </cell>
          <cell r="C116">
            <v>139.5</v>
          </cell>
          <cell r="D116" t="str">
            <v>Overig</v>
          </cell>
          <cell r="E116" t="str">
            <v>Investeringsproject</v>
          </cell>
          <cell r="F116" t="str">
            <v>Sanering</v>
          </cell>
          <cell r="G116">
            <v>139.5</v>
          </cell>
        </row>
        <row r="117">
          <cell r="B117">
            <v>246</v>
          </cell>
          <cell r="C117">
            <v>106</v>
          </cell>
          <cell r="D117" t="str">
            <v>Overig</v>
          </cell>
          <cell r="E117" t="str">
            <v>Investeringsproject</v>
          </cell>
          <cell r="F117" t="str">
            <v>Amovering</v>
          </cell>
          <cell r="G117">
            <v>106</v>
          </cell>
        </row>
        <row r="118">
          <cell r="B118">
            <v>248</v>
          </cell>
          <cell r="C118">
            <v>229</v>
          </cell>
          <cell r="D118" t="str">
            <v>380 kV</v>
          </cell>
          <cell r="E118" t="str">
            <v>Exploitatieproject</v>
          </cell>
          <cell r="F118" t="str">
            <v>Studie</v>
          </cell>
          <cell r="G118">
            <v>229</v>
          </cell>
        </row>
        <row r="119">
          <cell r="B119">
            <v>250</v>
          </cell>
          <cell r="C119">
            <v>287.5</v>
          </cell>
          <cell r="D119" t="str">
            <v>Overig</v>
          </cell>
          <cell r="E119" t="str">
            <v>Exploitatieproject</v>
          </cell>
          <cell r="F119" t="e">
            <v>#N/A</v>
          </cell>
          <cell r="G119">
            <v>287.5</v>
          </cell>
        </row>
        <row r="120">
          <cell r="B120">
            <v>251</v>
          </cell>
          <cell r="C120">
            <v>18</v>
          </cell>
          <cell r="D120" t="str">
            <v>Overig</v>
          </cell>
          <cell r="E120" t="str">
            <v>Exploitatieproject</v>
          </cell>
          <cell r="F120" t="e">
            <v>#N/A</v>
          </cell>
          <cell r="G120">
            <v>18</v>
          </cell>
        </row>
        <row r="121">
          <cell r="B121">
            <v>252</v>
          </cell>
          <cell r="C121">
            <v>42.5</v>
          </cell>
          <cell r="D121" t="str">
            <v>Overig</v>
          </cell>
          <cell r="E121" t="str">
            <v>Exploitatieproject</v>
          </cell>
          <cell r="F121" t="str">
            <v>Studie</v>
          </cell>
          <cell r="G121">
            <v>42.5</v>
          </cell>
        </row>
        <row r="122">
          <cell r="B122">
            <v>254</v>
          </cell>
          <cell r="C122">
            <v>2692.5</v>
          </cell>
          <cell r="D122" t="str">
            <v>Overig</v>
          </cell>
          <cell r="E122" t="str">
            <v>Exploitatieproject</v>
          </cell>
          <cell r="F122" t="str">
            <v>Automatisering</v>
          </cell>
          <cell r="G122">
            <v>2692.5</v>
          </cell>
        </row>
        <row r="123">
          <cell r="B123">
            <v>255</v>
          </cell>
          <cell r="C123">
            <v>18</v>
          </cell>
          <cell r="D123" t="e">
            <v>#N/A</v>
          </cell>
          <cell r="E123" t="str">
            <v>Exploitatieproject</v>
          </cell>
          <cell r="F123" t="str">
            <v>Studie</v>
          </cell>
          <cell r="G123">
            <v>18</v>
          </cell>
        </row>
        <row r="124">
          <cell r="B124">
            <v>260</v>
          </cell>
          <cell r="C124">
            <v>36</v>
          </cell>
          <cell r="D124" t="str">
            <v>Overig</v>
          </cell>
          <cell r="E124" t="str">
            <v>Exploitatieproject</v>
          </cell>
          <cell r="F124" t="e">
            <v>#N/A</v>
          </cell>
          <cell r="G124">
            <v>36</v>
          </cell>
        </row>
        <row r="125">
          <cell r="B125">
            <v>261</v>
          </cell>
          <cell r="C125">
            <v>254.5</v>
          </cell>
          <cell r="D125" t="str">
            <v>150 kV</v>
          </cell>
          <cell r="E125" t="str">
            <v>Exploitatieproject</v>
          </cell>
          <cell r="F125" t="str">
            <v>Beveilingsbeleid</v>
          </cell>
          <cell r="G125">
            <v>254.5</v>
          </cell>
        </row>
        <row r="126">
          <cell r="B126">
            <v>262</v>
          </cell>
          <cell r="C126">
            <v>179</v>
          </cell>
          <cell r="D126" t="str">
            <v>150 kV</v>
          </cell>
          <cell r="E126" t="str">
            <v>Exploitatieproject</v>
          </cell>
          <cell r="F126" t="str">
            <v>Studie</v>
          </cell>
          <cell r="G126">
            <v>179</v>
          </cell>
        </row>
        <row r="127">
          <cell r="B127">
            <v>263</v>
          </cell>
          <cell r="C127">
            <v>576.5</v>
          </cell>
          <cell r="D127" t="str">
            <v>Overig</v>
          </cell>
          <cell r="E127" t="str">
            <v>Exploitatieproject</v>
          </cell>
          <cell r="F127" t="str">
            <v>Automatisering</v>
          </cell>
          <cell r="G127">
            <v>576.5</v>
          </cell>
        </row>
        <row r="128">
          <cell r="B128">
            <v>264</v>
          </cell>
          <cell r="C128">
            <v>52.5</v>
          </cell>
          <cell r="D128" t="str">
            <v>Overig</v>
          </cell>
          <cell r="E128" t="str">
            <v>Exploitatieproject</v>
          </cell>
          <cell r="F128" t="str">
            <v>Automatisering</v>
          </cell>
          <cell r="G128">
            <v>52.5</v>
          </cell>
        </row>
        <row r="129">
          <cell r="B129">
            <v>265</v>
          </cell>
          <cell r="C129">
            <v>251.5</v>
          </cell>
          <cell r="D129" t="str">
            <v>Overig</v>
          </cell>
          <cell r="E129" t="str">
            <v>Exploitatieproject</v>
          </cell>
          <cell r="F129" t="str">
            <v>Automatisering</v>
          </cell>
          <cell r="G129">
            <v>251.5</v>
          </cell>
        </row>
        <row r="130">
          <cell r="B130">
            <v>266</v>
          </cell>
          <cell r="C130">
            <v>4246.25</v>
          </cell>
          <cell r="D130" t="str">
            <v>380 kV</v>
          </cell>
          <cell r="E130" t="str">
            <v>Investeringsproject</v>
          </cell>
          <cell r="F130" t="str">
            <v>Cap. Uitbreiding</v>
          </cell>
          <cell r="G130">
            <v>4246.25</v>
          </cell>
        </row>
        <row r="131">
          <cell r="B131">
            <v>267</v>
          </cell>
          <cell r="C131">
            <v>526.75</v>
          </cell>
          <cell r="D131" t="str">
            <v>Overig</v>
          </cell>
          <cell r="E131" t="str">
            <v>Exploitatieproject</v>
          </cell>
          <cell r="F131" t="str">
            <v>Automatisering</v>
          </cell>
          <cell r="G131">
            <v>526.75</v>
          </cell>
        </row>
        <row r="132">
          <cell r="B132">
            <v>268</v>
          </cell>
          <cell r="C132">
            <v>1443.85</v>
          </cell>
          <cell r="D132" t="str">
            <v>Overig</v>
          </cell>
          <cell r="E132" t="str">
            <v>Exploitatieproject</v>
          </cell>
          <cell r="F132" t="str">
            <v>Automatisering</v>
          </cell>
          <cell r="G132">
            <v>1443.85</v>
          </cell>
        </row>
        <row r="133">
          <cell r="B133">
            <v>271</v>
          </cell>
          <cell r="C133">
            <v>53</v>
          </cell>
          <cell r="D133" t="str">
            <v>Overig</v>
          </cell>
          <cell r="E133" t="str">
            <v>Exploitatieproject</v>
          </cell>
          <cell r="F133" t="str">
            <v>Automatisering</v>
          </cell>
          <cell r="G133">
            <v>53</v>
          </cell>
        </row>
        <row r="134">
          <cell r="B134">
            <v>272</v>
          </cell>
          <cell r="C134">
            <v>76</v>
          </cell>
          <cell r="D134" t="str">
            <v>150 kV</v>
          </cell>
          <cell r="E134" t="str">
            <v>Exploitatieproject</v>
          </cell>
          <cell r="F134" t="str">
            <v>Studie</v>
          </cell>
          <cell r="G134">
            <v>76</v>
          </cell>
        </row>
        <row r="135">
          <cell r="B135">
            <v>273</v>
          </cell>
          <cell r="C135">
            <v>38</v>
          </cell>
          <cell r="D135" t="str">
            <v>110 kV</v>
          </cell>
          <cell r="E135" t="str">
            <v>Exploitatieproject</v>
          </cell>
          <cell r="F135" t="str">
            <v>Studie</v>
          </cell>
          <cell r="G135">
            <v>38</v>
          </cell>
        </row>
        <row r="136">
          <cell r="B136">
            <v>274</v>
          </cell>
          <cell r="C136">
            <v>3902.25</v>
          </cell>
          <cell r="D136" t="str">
            <v>Overig</v>
          </cell>
          <cell r="E136" t="str">
            <v>Exploitatieproject</v>
          </cell>
          <cell r="F136" t="str">
            <v>Kwal. Verb.</v>
          </cell>
          <cell r="G136">
            <v>3902.25</v>
          </cell>
        </row>
        <row r="137">
          <cell r="B137">
            <v>275</v>
          </cell>
          <cell r="C137">
            <v>82.5</v>
          </cell>
          <cell r="D137" t="e">
            <v>#N/A</v>
          </cell>
          <cell r="E137" t="str">
            <v>Exploitatieproject</v>
          </cell>
          <cell r="F137" t="str">
            <v>Kwal. Verb.</v>
          </cell>
          <cell r="G137">
            <v>82.5</v>
          </cell>
        </row>
        <row r="138">
          <cell r="B138">
            <v>276</v>
          </cell>
          <cell r="C138">
            <v>154.5</v>
          </cell>
          <cell r="D138" t="str">
            <v>Overig</v>
          </cell>
          <cell r="E138" t="str">
            <v>Investeringsproject</v>
          </cell>
          <cell r="F138" t="str">
            <v>Ren. + Verv</v>
          </cell>
          <cell r="G138">
            <v>154.5</v>
          </cell>
        </row>
        <row r="139">
          <cell r="B139">
            <v>277</v>
          </cell>
          <cell r="C139">
            <v>206</v>
          </cell>
          <cell r="D139" t="str">
            <v>Overig</v>
          </cell>
          <cell r="E139" t="str">
            <v>Exploitatieproject</v>
          </cell>
          <cell r="F139" t="str">
            <v>Beveilingsbeleid</v>
          </cell>
          <cell r="G139">
            <v>206</v>
          </cell>
        </row>
        <row r="140">
          <cell r="B140">
            <v>278</v>
          </cell>
          <cell r="C140">
            <v>43</v>
          </cell>
          <cell r="D140" t="str">
            <v>Overig</v>
          </cell>
          <cell r="E140" t="str">
            <v>Exploitatieproject</v>
          </cell>
          <cell r="F140" t="str">
            <v>Beveilingsbeleid</v>
          </cell>
          <cell r="G140">
            <v>43</v>
          </cell>
        </row>
        <row r="141">
          <cell r="B141">
            <v>279</v>
          </cell>
          <cell r="C141">
            <v>1343</v>
          </cell>
          <cell r="D141" t="str">
            <v>Overig</v>
          </cell>
          <cell r="E141" t="str">
            <v>Exploitatieproject</v>
          </cell>
          <cell r="F141" t="str">
            <v>Kwal. Verb.</v>
          </cell>
          <cell r="G141">
            <v>1343</v>
          </cell>
        </row>
        <row r="142">
          <cell r="B142">
            <v>280</v>
          </cell>
          <cell r="C142">
            <v>3751</v>
          </cell>
          <cell r="D142" t="str">
            <v>Overig</v>
          </cell>
          <cell r="E142" t="str">
            <v>Exploitatieproject</v>
          </cell>
          <cell r="F142" t="str">
            <v>Kwal. Verb.</v>
          </cell>
          <cell r="G142">
            <v>3751</v>
          </cell>
        </row>
        <row r="143">
          <cell r="B143">
            <v>281</v>
          </cell>
          <cell r="C143">
            <v>454</v>
          </cell>
          <cell r="D143" t="str">
            <v>Overig</v>
          </cell>
          <cell r="E143" t="str">
            <v>Exploitatieproject</v>
          </cell>
          <cell r="F143" t="str">
            <v>Kantoorautomatiserg.</v>
          </cell>
          <cell r="G143">
            <v>454</v>
          </cell>
        </row>
        <row r="144">
          <cell r="B144">
            <v>283</v>
          </cell>
          <cell r="C144">
            <v>909.5</v>
          </cell>
          <cell r="D144" t="str">
            <v>Overig</v>
          </cell>
          <cell r="E144" t="str">
            <v>Projecten Derden</v>
          </cell>
          <cell r="F144">
            <v>0</v>
          </cell>
          <cell r="G144">
            <v>909.5</v>
          </cell>
        </row>
        <row r="145">
          <cell r="B145">
            <v>284</v>
          </cell>
          <cell r="C145">
            <v>933</v>
          </cell>
          <cell r="D145" t="str">
            <v>Overig</v>
          </cell>
          <cell r="E145" t="str">
            <v>Exploitatieproject</v>
          </cell>
          <cell r="F145">
            <v>0</v>
          </cell>
          <cell r="G145">
            <v>933</v>
          </cell>
        </row>
        <row r="146">
          <cell r="B146">
            <v>290</v>
          </cell>
          <cell r="C146">
            <v>558</v>
          </cell>
          <cell r="D146" t="str">
            <v>Overig</v>
          </cell>
          <cell r="E146" t="str">
            <v>Exploitatieproject</v>
          </cell>
          <cell r="F146" t="str">
            <v>Aansluiting</v>
          </cell>
          <cell r="G146">
            <v>558</v>
          </cell>
        </row>
        <row r="147">
          <cell r="B147">
            <v>1000</v>
          </cell>
          <cell r="C147">
            <v>69</v>
          </cell>
          <cell r="D147" t="e">
            <v>#N/A</v>
          </cell>
          <cell r="E147" t="str">
            <v>Exploitatieproject</v>
          </cell>
          <cell r="F147" t="str">
            <v>Kwal. Verb.</v>
          </cell>
          <cell r="G147">
            <v>69</v>
          </cell>
        </row>
        <row r="148">
          <cell r="B148">
            <v>1002</v>
          </cell>
          <cell r="C148">
            <v>662</v>
          </cell>
          <cell r="D148" t="e">
            <v>#N/A</v>
          </cell>
          <cell r="E148" t="str">
            <v>Exploitatieproject</v>
          </cell>
          <cell r="F148" t="str">
            <v>Studie</v>
          </cell>
          <cell r="G148">
            <v>662</v>
          </cell>
        </row>
        <row r="149">
          <cell r="B149">
            <v>1005</v>
          </cell>
          <cell r="C149">
            <v>248.5</v>
          </cell>
          <cell r="D149" t="str">
            <v>380 kV</v>
          </cell>
          <cell r="E149" t="str">
            <v>Investeringsproject</v>
          </cell>
          <cell r="F149" t="str">
            <v>Kwal. Verb.</v>
          </cell>
          <cell r="G149">
            <v>248.5</v>
          </cell>
        </row>
        <row r="150">
          <cell r="B150">
            <v>1006</v>
          </cell>
          <cell r="C150">
            <v>33</v>
          </cell>
          <cell r="D150" t="str">
            <v>Overig</v>
          </cell>
          <cell r="E150" t="str">
            <v>Investeringsproject</v>
          </cell>
          <cell r="F150" t="str">
            <v>Sanering</v>
          </cell>
          <cell r="G150">
            <v>33</v>
          </cell>
        </row>
        <row r="151">
          <cell r="B151">
            <v>1008</v>
          </cell>
          <cell r="C151">
            <v>5.5</v>
          </cell>
          <cell r="D151" t="e">
            <v>#N/A</v>
          </cell>
          <cell r="E151" t="e">
            <v>#N/A</v>
          </cell>
          <cell r="F151" t="e">
            <v>#N/A</v>
          </cell>
          <cell r="G151">
            <v>5.5</v>
          </cell>
        </row>
        <row r="152">
          <cell r="B152">
            <v>1010</v>
          </cell>
          <cell r="C152">
            <v>2</v>
          </cell>
          <cell r="D152" t="e">
            <v>#N/A</v>
          </cell>
          <cell r="E152" t="e">
            <v>#N/A</v>
          </cell>
          <cell r="F152" t="e">
            <v>#N/A</v>
          </cell>
          <cell r="G152">
            <v>2</v>
          </cell>
        </row>
        <row r="153">
          <cell r="B153">
            <v>1014</v>
          </cell>
          <cell r="C153">
            <v>30</v>
          </cell>
          <cell r="D153" t="e">
            <v>#N/A</v>
          </cell>
          <cell r="E153" t="e">
            <v>#N/A</v>
          </cell>
          <cell r="F153" t="e">
            <v>#N/A</v>
          </cell>
          <cell r="G153">
            <v>30</v>
          </cell>
        </row>
        <row r="154">
          <cell r="B154">
            <v>1015</v>
          </cell>
          <cell r="C154">
            <v>9</v>
          </cell>
          <cell r="D154" t="str">
            <v>Overig</v>
          </cell>
          <cell r="E154" t="str">
            <v>Investeringsproject</v>
          </cell>
          <cell r="F154" t="str">
            <v>Automatisering</v>
          </cell>
          <cell r="G154">
            <v>9</v>
          </cell>
        </row>
        <row r="155">
          <cell r="B155">
            <v>1018</v>
          </cell>
          <cell r="C155">
            <v>182</v>
          </cell>
          <cell r="D155" t="str">
            <v>Overig</v>
          </cell>
          <cell r="E155" t="str">
            <v>Exploitatieproject</v>
          </cell>
          <cell r="F155">
            <v>0</v>
          </cell>
          <cell r="G155">
            <v>182</v>
          </cell>
        </row>
        <row r="156">
          <cell r="B156">
            <v>1021</v>
          </cell>
          <cell r="C156">
            <v>348.5</v>
          </cell>
          <cell r="D156" t="str">
            <v>Overig</v>
          </cell>
          <cell r="E156" t="str">
            <v>Investeringsproject</v>
          </cell>
          <cell r="F156" t="str">
            <v>Ren. + Verv</v>
          </cell>
          <cell r="G156">
            <v>348.5</v>
          </cell>
        </row>
        <row r="157">
          <cell r="B157">
            <v>1022</v>
          </cell>
          <cell r="C157">
            <v>9</v>
          </cell>
          <cell r="D157" t="e">
            <v>#N/A</v>
          </cell>
          <cell r="E157" t="str">
            <v>Projecten Derden</v>
          </cell>
          <cell r="F157" t="e">
            <v>#N/A</v>
          </cell>
          <cell r="G157">
            <v>9</v>
          </cell>
        </row>
        <row r="158">
          <cell r="B158">
            <v>1024</v>
          </cell>
          <cell r="C158">
            <v>8</v>
          </cell>
          <cell r="D158" t="e">
            <v>#N/A</v>
          </cell>
          <cell r="E158" t="e">
            <v>#N/A</v>
          </cell>
          <cell r="F158" t="e">
            <v>#N/A</v>
          </cell>
          <cell r="G158">
            <v>8</v>
          </cell>
        </row>
        <row r="159">
          <cell r="B159">
            <v>2006</v>
          </cell>
          <cell r="C159">
            <v>498.5</v>
          </cell>
          <cell r="D159" t="str">
            <v>110 kV Essent Noord</v>
          </cell>
          <cell r="E159" t="str">
            <v>Investeringsproject</v>
          </cell>
          <cell r="F159" t="str">
            <v>Cap. Uitbreiding</v>
          </cell>
          <cell r="G159">
            <v>498.5</v>
          </cell>
        </row>
        <row r="160">
          <cell r="B160">
            <v>2007</v>
          </cell>
          <cell r="C160">
            <v>9</v>
          </cell>
          <cell r="D160" t="str">
            <v>110 kV Essent Noord</v>
          </cell>
          <cell r="E160" t="str">
            <v>Projecten Derden</v>
          </cell>
          <cell r="F160" t="str">
            <v>Cap. Uitbreiding</v>
          </cell>
          <cell r="G160">
            <v>9</v>
          </cell>
        </row>
        <row r="161">
          <cell r="B161">
            <v>2012</v>
          </cell>
          <cell r="C161">
            <v>135</v>
          </cell>
          <cell r="D161" t="str">
            <v>150 kV</v>
          </cell>
          <cell r="E161" t="str">
            <v>Investeringsproject</v>
          </cell>
          <cell r="F161" t="str">
            <v>Cap. Uitbreiding</v>
          </cell>
          <cell r="G161">
            <v>135</v>
          </cell>
        </row>
        <row r="162">
          <cell r="B162">
            <v>2024</v>
          </cell>
          <cell r="C162">
            <v>72</v>
          </cell>
          <cell r="D162" t="str">
            <v>150 kV Essent Zuid</v>
          </cell>
          <cell r="E162" t="str">
            <v>Projecten Derden</v>
          </cell>
          <cell r="F162" t="str">
            <v>Aansluiting</v>
          </cell>
          <cell r="G162">
            <v>72</v>
          </cell>
        </row>
        <row r="163">
          <cell r="B163">
            <v>2030</v>
          </cell>
          <cell r="C163">
            <v>29</v>
          </cell>
          <cell r="D163" t="str">
            <v>150 kV Essent Zuid</v>
          </cell>
          <cell r="E163" t="str">
            <v>Investeringsproject</v>
          </cell>
          <cell r="F163" t="str">
            <v>Kwal. Verb.</v>
          </cell>
          <cell r="G163">
            <v>29</v>
          </cell>
        </row>
        <row r="164">
          <cell r="B164">
            <v>2036</v>
          </cell>
          <cell r="C164">
            <v>40</v>
          </cell>
          <cell r="D164" t="str">
            <v>150 kV Essent Zuid</v>
          </cell>
          <cell r="E164" t="str">
            <v>Projecten Derden</v>
          </cell>
          <cell r="F164" t="str">
            <v>Aansluiting</v>
          </cell>
          <cell r="G164">
            <v>40</v>
          </cell>
        </row>
        <row r="165">
          <cell r="B165">
            <v>2037</v>
          </cell>
          <cell r="C165">
            <v>3</v>
          </cell>
          <cell r="D165" t="str">
            <v>150 kV Essent Zuid</v>
          </cell>
          <cell r="E165" t="str">
            <v>Projecten Derden</v>
          </cell>
          <cell r="F165" t="str">
            <v>Aansluiting</v>
          </cell>
          <cell r="G165">
            <v>3</v>
          </cell>
        </row>
        <row r="166">
          <cell r="B166">
            <v>2039</v>
          </cell>
          <cell r="C166">
            <v>217</v>
          </cell>
          <cell r="D166" t="str">
            <v>150 kV Essent Zuid</v>
          </cell>
          <cell r="E166" t="str">
            <v>Investeringsproject</v>
          </cell>
          <cell r="F166" t="str">
            <v>Ren. + Verv</v>
          </cell>
          <cell r="G166">
            <v>217</v>
          </cell>
        </row>
        <row r="167">
          <cell r="B167">
            <v>2054</v>
          </cell>
          <cell r="C167">
            <v>315.5</v>
          </cell>
          <cell r="D167" t="str">
            <v>110 kV Essent Noord</v>
          </cell>
          <cell r="E167" t="str">
            <v>Investeringsproject</v>
          </cell>
          <cell r="F167" t="str">
            <v>Cap. Uitbreiding</v>
          </cell>
          <cell r="G167">
            <v>315.5</v>
          </cell>
        </row>
        <row r="168">
          <cell r="B168">
            <v>2057</v>
          </cell>
          <cell r="C168">
            <v>148</v>
          </cell>
          <cell r="D168" t="str">
            <v>110 kV Essent Noord</v>
          </cell>
          <cell r="E168" t="str">
            <v>Investeringsproject</v>
          </cell>
          <cell r="F168" t="str">
            <v>Aansluiting</v>
          </cell>
          <cell r="G168">
            <v>148</v>
          </cell>
        </row>
        <row r="169">
          <cell r="B169">
            <v>2071</v>
          </cell>
          <cell r="C169">
            <v>4</v>
          </cell>
          <cell r="D169" t="str">
            <v>110 kV Essent Noord</v>
          </cell>
          <cell r="E169" t="str">
            <v>Investeringsproject</v>
          </cell>
          <cell r="F169" t="str">
            <v>Ren. + Verv</v>
          </cell>
          <cell r="G169">
            <v>4</v>
          </cell>
        </row>
        <row r="170">
          <cell r="B170">
            <v>2074</v>
          </cell>
          <cell r="C170">
            <v>39</v>
          </cell>
          <cell r="D170" t="str">
            <v>110 kV Essent Noord</v>
          </cell>
          <cell r="E170" t="str">
            <v>Investeringsproject</v>
          </cell>
          <cell r="F170" t="str">
            <v>Reconstructie</v>
          </cell>
          <cell r="G170">
            <v>39</v>
          </cell>
        </row>
        <row r="171">
          <cell r="B171">
            <v>2075</v>
          </cell>
          <cell r="C171">
            <v>78</v>
          </cell>
          <cell r="D171" t="str">
            <v>110 kV Essent Noord</v>
          </cell>
          <cell r="E171" t="str">
            <v>Investeringsproject</v>
          </cell>
          <cell r="F171" t="str">
            <v>Reconstructie</v>
          </cell>
          <cell r="G171">
            <v>78</v>
          </cell>
        </row>
        <row r="172">
          <cell r="B172">
            <v>2138</v>
          </cell>
          <cell r="C172">
            <v>18</v>
          </cell>
          <cell r="D172" t="str">
            <v>150 kV Essent Zuid</v>
          </cell>
          <cell r="E172" t="str">
            <v>Projecten Derden</v>
          </cell>
          <cell r="F172" t="str">
            <v>Aansluiting</v>
          </cell>
          <cell r="G172">
            <v>18</v>
          </cell>
        </row>
        <row r="173">
          <cell r="B173">
            <v>2149</v>
          </cell>
          <cell r="C173">
            <v>442</v>
          </cell>
          <cell r="D173" t="str">
            <v>110 kV Essent Noord</v>
          </cell>
          <cell r="E173" t="str">
            <v>Investeringsproject</v>
          </cell>
          <cell r="F173" t="str">
            <v>Cap. Uitbreiding</v>
          </cell>
          <cell r="G173">
            <v>442</v>
          </cell>
        </row>
        <row r="174">
          <cell r="B174">
            <v>2150</v>
          </cell>
          <cell r="C174">
            <v>151</v>
          </cell>
          <cell r="D174" t="str">
            <v>110 kV Essent Noord</v>
          </cell>
          <cell r="E174" t="str">
            <v>Investeringsproject</v>
          </cell>
          <cell r="F174" t="str">
            <v>Cap. Uitbreiding</v>
          </cell>
          <cell r="G174">
            <v>151</v>
          </cell>
        </row>
        <row r="175">
          <cell r="B175">
            <v>2156</v>
          </cell>
          <cell r="C175">
            <v>49</v>
          </cell>
          <cell r="D175" t="str">
            <v>150 kV Essent Zuid</v>
          </cell>
          <cell r="E175" t="str">
            <v>Projecten Derden</v>
          </cell>
          <cell r="F175" t="str">
            <v>Aansluiting</v>
          </cell>
          <cell r="G175">
            <v>49</v>
          </cell>
        </row>
        <row r="176">
          <cell r="B176">
            <v>2161</v>
          </cell>
          <cell r="C176">
            <v>72</v>
          </cell>
          <cell r="D176" t="str">
            <v>110 kV</v>
          </cell>
          <cell r="E176" t="str">
            <v>Projecten Derden</v>
          </cell>
          <cell r="F176" t="str">
            <v>Aansluiting</v>
          </cell>
          <cell r="G176">
            <v>72</v>
          </cell>
        </row>
        <row r="177">
          <cell r="B177">
            <v>2177</v>
          </cell>
          <cell r="C177">
            <v>24</v>
          </cell>
          <cell r="D177" t="str">
            <v>150 kV</v>
          </cell>
          <cell r="E177" t="str">
            <v>Projecten Derden</v>
          </cell>
          <cell r="F177" t="str">
            <v>Ren. + Verv</v>
          </cell>
          <cell r="G177">
            <v>24</v>
          </cell>
        </row>
        <row r="178">
          <cell r="B178">
            <v>2180</v>
          </cell>
          <cell r="C178">
            <v>2</v>
          </cell>
          <cell r="D178" t="str">
            <v>Overig</v>
          </cell>
          <cell r="E178" t="str">
            <v>Investeringsproject</v>
          </cell>
          <cell r="F178">
            <v>0</v>
          </cell>
          <cell r="G178">
            <v>2</v>
          </cell>
        </row>
        <row r="179">
          <cell r="B179">
            <v>2181</v>
          </cell>
          <cell r="C179">
            <v>30</v>
          </cell>
          <cell r="D179" t="str">
            <v>Overig</v>
          </cell>
          <cell r="E179" t="str">
            <v>Investeringsproject</v>
          </cell>
          <cell r="F179">
            <v>0</v>
          </cell>
          <cell r="G179">
            <v>30</v>
          </cell>
        </row>
        <row r="180">
          <cell r="B180">
            <v>2182</v>
          </cell>
          <cell r="C180">
            <v>50.5</v>
          </cell>
          <cell r="D180" t="str">
            <v>Overig</v>
          </cell>
          <cell r="E180" t="str">
            <v>Projecten Derden</v>
          </cell>
          <cell r="F180">
            <v>0</v>
          </cell>
          <cell r="G180">
            <v>50.5</v>
          </cell>
        </row>
        <row r="181">
          <cell r="B181">
            <v>2183</v>
          </cell>
          <cell r="C181">
            <v>113</v>
          </cell>
          <cell r="D181" t="str">
            <v>Overig</v>
          </cell>
          <cell r="E181" t="str">
            <v>Investeringsproject</v>
          </cell>
          <cell r="F181">
            <v>0</v>
          </cell>
          <cell r="G181">
            <v>113</v>
          </cell>
        </row>
        <row r="182">
          <cell r="B182">
            <v>2184</v>
          </cell>
          <cell r="C182">
            <v>21</v>
          </cell>
          <cell r="D182" t="str">
            <v>Overig</v>
          </cell>
          <cell r="E182" t="str">
            <v>Investeringsproject</v>
          </cell>
          <cell r="F182">
            <v>0</v>
          </cell>
          <cell r="G182">
            <v>21</v>
          </cell>
        </row>
        <row r="183">
          <cell r="B183">
            <v>2186</v>
          </cell>
          <cell r="C183">
            <v>9</v>
          </cell>
          <cell r="D183" t="str">
            <v>Overig</v>
          </cell>
          <cell r="E183" t="str">
            <v>Investeringsproject</v>
          </cell>
          <cell r="F183">
            <v>0</v>
          </cell>
          <cell r="G183">
            <v>9</v>
          </cell>
        </row>
        <row r="184">
          <cell r="B184">
            <v>2188</v>
          </cell>
          <cell r="C184">
            <v>2</v>
          </cell>
          <cell r="D184" t="str">
            <v>Overig</v>
          </cell>
          <cell r="E184" t="str">
            <v>Investeringsproject</v>
          </cell>
          <cell r="F184">
            <v>0</v>
          </cell>
          <cell r="G184">
            <v>2</v>
          </cell>
        </row>
        <row r="185">
          <cell r="B185">
            <v>2189</v>
          </cell>
          <cell r="C185">
            <v>4</v>
          </cell>
          <cell r="D185" t="str">
            <v>Overig</v>
          </cell>
          <cell r="E185" t="str">
            <v>Investeringsproject</v>
          </cell>
          <cell r="F185">
            <v>0</v>
          </cell>
          <cell r="G185">
            <v>4</v>
          </cell>
        </row>
        <row r="186">
          <cell r="B186">
            <v>2195</v>
          </cell>
          <cell r="C186">
            <v>93</v>
          </cell>
          <cell r="D186" t="str">
            <v>Overig</v>
          </cell>
          <cell r="E186" t="str">
            <v>Investeringsproject</v>
          </cell>
          <cell r="F186">
            <v>0</v>
          </cell>
          <cell r="G186">
            <v>93</v>
          </cell>
        </row>
        <row r="187">
          <cell r="B187">
            <v>2196</v>
          </cell>
          <cell r="C187">
            <v>130</v>
          </cell>
          <cell r="D187" t="str">
            <v>Overig</v>
          </cell>
          <cell r="E187" t="str">
            <v>Investeringsproject</v>
          </cell>
          <cell r="F187">
            <v>0</v>
          </cell>
          <cell r="G187">
            <v>130</v>
          </cell>
        </row>
        <row r="188">
          <cell r="B188">
            <v>2197</v>
          </cell>
          <cell r="C188">
            <v>7</v>
          </cell>
          <cell r="D188" t="str">
            <v>Overig</v>
          </cell>
          <cell r="E188" t="str">
            <v>Investeringsproject</v>
          </cell>
          <cell r="F188">
            <v>0</v>
          </cell>
          <cell r="G188">
            <v>7</v>
          </cell>
        </row>
        <row r="189">
          <cell r="B189">
            <v>2198</v>
          </cell>
          <cell r="C189">
            <v>16</v>
          </cell>
          <cell r="D189" t="str">
            <v>Overig</v>
          </cell>
          <cell r="E189" t="str">
            <v>Investeringsproject</v>
          </cell>
          <cell r="F189">
            <v>0</v>
          </cell>
          <cell r="G189">
            <v>16</v>
          </cell>
        </row>
        <row r="190">
          <cell r="B190">
            <v>2199</v>
          </cell>
          <cell r="C190">
            <v>15</v>
          </cell>
          <cell r="D190" t="str">
            <v>Overig</v>
          </cell>
          <cell r="E190" t="str">
            <v>Projecten Derden</v>
          </cell>
          <cell r="F190">
            <v>0</v>
          </cell>
          <cell r="G190">
            <v>15</v>
          </cell>
        </row>
        <row r="191">
          <cell r="B191">
            <v>2200</v>
          </cell>
          <cell r="C191">
            <v>8</v>
          </cell>
          <cell r="D191" t="str">
            <v>Overig</v>
          </cell>
          <cell r="E191" t="str">
            <v>Projecten Derden</v>
          </cell>
          <cell r="F191">
            <v>0</v>
          </cell>
          <cell r="G191">
            <v>8</v>
          </cell>
        </row>
        <row r="192">
          <cell r="B192">
            <v>2201</v>
          </cell>
          <cell r="C192">
            <v>96</v>
          </cell>
          <cell r="D192" t="str">
            <v>Overig</v>
          </cell>
          <cell r="E192" t="str">
            <v>Investeringsproject</v>
          </cell>
          <cell r="F192">
            <v>0</v>
          </cell>
          <cell r="G192">
            <v>96</v>
          </cell>
        </row>
        <row r="193">
          <cell r="B193">
            <v>2203</v>
          </cell>
          <cell r="C193">
            <v>48</v>
          </cell>
          <cell r="D193" t="str">
            <v>Overig</v>
          </cell>
          <cell r="E193" t="str">
            <v>Investeringsproject</v>
          </cell>
          <cell r="F193">
            <v>0</v>
          </cell>
          <cell r="G193">
            <v>48</v>
          </cell>
        </row>
        <row r="194">
          <cell r="B194">
            <v>2205</v>
          </cell>
          <cell r="C194">
            <v>25</v>
          </cell>
          <cell r="D194" t="str">
            <v>Overig</v>
          </cell>
          <cell r="E194" t="str">
            <v>Investeringsproject</v>
          </cell>
          <cell r="F194">
            <v>0</v>
          </cell>
          <cell r="G194">
            <v>25</v>
          </cell>
        </row>
        <row r="195">
          <cell r="B195">
            <v>2206</v>
          </cell>
          <cell r="C195">
            <v>12</v>
          </cell>
          <cell r="D195" t="str">
            <v>Overig</v>
          </cell>
          <cell r="E195" t="str">
            <v>Investeringsproject</v>
          </cell>
          <cell r="F195">
            <v>0</v>
          </cell>
          <cell r="G195">
            <v>12</v>
          </cell>
        </row>
        <row r="196">
          <cell r="B196">
            <v>100014</v>
          </cell>
          <cell r="D196" t="str">
            <v>110 kV</v>
          </cell>
          <cell r="E196" t="str">
            <v>Investeringsproject</v>
          </cell>
          <cell r="F196" t="e">
            <v>#N/A</v>
          </cell>
        </row>
        <row r="197">
          <cell r="B197">
            <v>100025</v>
          </cell>
          <cell r="D197" t="e">
            <v>#N/A</v>
          </cell>
          <cell r="E197" t="str">
            <v>Exploitatieproject</v>
          </cell>
          <cell r="F197" t="str">
            <v>Kwal. Verb.</v>
          </cell>
        </row>
        <row r="198">
          <cell r="B198">
            <v>120101</v>
          </cell>
          <cell r="D198" t="str">
            <v>380 kV</v>
          </cell>
          <cell r="E198" t="str">
            <v>Investeringsproject</v>
          </cell>
          <cell r="F198" t="str">
            <v>Cap. Uitbreiding</v>
          </cell>
        </row>
        <row r="199">
          <cell r="B199">
            <v>120121</v>
          </cell>
          <cell r="D199" t="str">
            <v>Overig</v>
          </cell>
          <cell r="E199" t="str">
            <v>Investeringsproject</v>
          </cell>
          <cell r="F199" t="str">
            <v>Cap. Uitbreiding</v>
          </cell>
        </row>
        <row r="200">
          <cell r="B200">
            <v>120130</v>
          </cell>
          <cell r="D200" t="str">
            <v>380 kV</v>
          </cell>
          <cell r="E200" t="str">
            <v>Investeringsproject</v>
          </cell>
          <cell r="F200" t="e">
            <v>#N/A</v>
          </cell>
        </row>
        <row r="201">
          <cell r="B201">
            <v>120140</v>
          </cell>
          <cell r="C201">
            <v>70</v>
          </cell>
          <cell r="D201" t="str">
            <v>380 kV</v>
          </cell>
          <cell r="E201" t="str">
            <v>Investeringsproject</v>
          </cell>
          <cell r="F201" t="e">
            <v>#N/A</v>
          </cell>
          <cell r="G201">
            <v>70</v>
          </cell>
        </row>
        <row r="202">
          <cell r="B202">
            <v>120150</v>
          </cell>
          <cell r="D202" t="str">
            <v>380 kV</v>
          </cell>
          <cell r="E202" t="str">
            <v>Investeringsproject</v>
          </cell>
          <cell r="F202" t="e">
            <v>#N/A</v>
          </cell>
        </row>
        <row r="203">
          <cell r="B203">
            <v>120151</v>
          </cell>
          <cell r="D203" t="str">
            <v>380 kV</v>
          </cell>
          <cell r="E203" t="str">
            <v>Investeringsproject</v>
          </cell>
          <cell r="F203" t="e">
            <v>#N/A</v>
          </cell>
        </row>
        <row r="204">
          <cell r="B204">
            <v>150000</v>
          </cell>
          <cell r="C204">
            <v>126</v>
          </cell>
          <cell r="D204" t="e">
            <v>#N/A</v>
          </cell>
          <cell r="E204" t="e">
            <v>#N/A</v>
          </cell>
          <cell r="F204" t="e">
            <v>#N/A</v>
          </cell>
          <cell r="G204">
            <v>126</v>
          </cell>
        </row>
        <row r="205">
          <cell r="B205">
            <v>150300</v>
          </cell>
          <cell r="C205">
            <v>1</v>
          </cell>
          <cell r="D205" t="e">
            <v>#N/A</v>
          </cell>
          <cell r="E205" t="str">
            <v>Investeringsproject</v>
          </cell>
          <cell r="F205" t="e">
            <v>#N/A</v>
          </cell>
          <cell r="G205">
            <v>1</v>
          </cell>
        </row>
        <row r="206">
          <cell r="B206">
            <v>210600</v>
          </cell>
          <cell r="D206" t="e">
            <v>#N/A</v>
          </cell>
          <cell r="E206" t="str">
            <v>Exploitatieproject</v>
          </cell>
          <cell r="F206" t="str">
            <v>Kwal. Verb.</v>
          </cell>
        </row>
        <row r="207">
          <cell r="B207">
            <v>214512</v>
          </cell>
          <cell r="D207" t="str">
            <v>380 kV</v>
          </cell>
          <cell r="E207" t="str">
            <v>Investeringsproject</v>
          </cell>
          <cell r="F207" t="str">
            <v>Cap. Uitbreiding</v>
          </cell>
        </row>
        <row r="208">
          <cell r="B208">
            <v>217370</v>
          </cell>
          <cell r="D208" t="str">
            <v>380 kV</v>
          </cell>
          <cell r="E208" t="str">
            <v>Investeringsproject</v>
          </cell>
          <cell r="F208" t="str">
            <v>Kwal. Verb.</v>
          </cell>
        </row>
        <row r="209">
          <cell r="B209">
            <v>217402</v>
          </cell>
          <cell r="D209" t="str">
            <v>380 kV</v>
          </cell>
          <cell r="E209" t="str">
            <v>Investeringsproject</v>
          </cell>
          <cell r="F209" t="str">
            <v>Cap. Uitbreiding</v>
          </cell>
        </row>
        <row r="210">
          <cell r="B210">
            <v>217441</v>
          </cell>
          <cell r="C210">
            <v>25</v>
          </cell>
          <cell r="D210" t="str">
            <v>380 kV</v>
          </cell>
          <cell r="E210" t="str">
            <v>Investeringsproject</v>
          </cell>
          <cell r="F210" t="str">
            <v>Cap. Uitbreiding</v>
          </cell>
          <cell r="G210">
            <v>25</v>
          </cell>
        </row>
        <row r="211">
          <cell r="B211">
            <v>217508</v>
          </cell>
          <cell r="C211">
            <v>81.75</v>
          </cell>
          <cell r="D211" t="str">
            <v>150 kV</v>
          </cell>
          <cell r="E211" t="str">
            <v>Investeringsproject</v>
          </cell>
          <cell r="F211" t="str">
            <v>Ren. + Verv</v>
          </cell>
          <cell r="G211">
            <v>81.75</v>
          </cell>
        </row>
        <row r="212">
          <cell r="B212">
            <v>217600</v>
          </cell>
          <cell r="D212" t="str">
            <v>150 kV</v>
          </cell>
          <cell r="E212" t="str">
            <v>Investeringsproject</v>
          </cell>
          <cell r="F212" t="str">
            <v>Cap. Uitbreiding</v>
          </cell>
        </row>
        <row r="213">
          <cell r="B213">
            <v>217925</v>
          </cell>
          <cell r="D213" t="str">
            <v>150 kV</v>
          </cell>
          <cell r="E213" t="str">
            <v>Investeringsproject</v>
          </cell>
          <cell r="F213" t="str">
            <v>Ren. + Verv</v>
          </cell>
        </row>
        <row r="214">
          <cell r="B214">
            <v>217927</v>
          </cell>
          <cell r="C214">
            <v>9</v>
          </cell>
          <cell r="D214" t="str">
            <v>150 kV</v>
          </cell>
          <cell r="E214" t="str">
            <v>Investeringsproject</v>
          </cell>
          <cell r="F214" t="str">
            <v>Ren. + Verv</v>
          </cell>
          <cell r="G214">
            <v>9</v>
          </cell>
        </row>
        <row r="215">
          <cell r="B215">
            <v>217928</v>
          </cell>
          <cell r="D215" t="str">
            <v>150 kV</v>
          </cell>
          <cell r="E215" t="str">
            <v>Investeringsproject</v>
          </cell>
          <cell r="F215" t="str">
            <v>Ren. + Verv</v>
          </cell>
        </row>
        <row r="216">
          <cell r="B216">
            <v>217940</v>
          </cell>
          <cell r="D216" t="str">
            <v>150 kV</v>
          </cell>
          <cell r="E216" t="str">
            <v>Projecten Derden</v>
          </cell>
          <cell r="F216" t="str">
            <v>Reconstructie</v>
          </cell>
        </row>
        <row r="217">
          <cell r="B217">
            <v>310001</v>
          </cell>
          <cell r="D217" t="str">
            <v>150 kV</v>
          </cell>
          <cell r="E217" t="str">
            <v>TenneXT</v>
          </cell>
          <cell r="F217" t="e">
            <v>#N/A</v>
          </cell>
        </row>
        <row r="218">
          <cell r="B218">
            <v>310002</v>
          </cell>
          <cell r="D218" t="str">
            <v>150 kV</v>
          </cell>
          <cell r="E218" t="str">
            <v>TenneXT</v>
          </cell>
          <cell r="F218" t="e">
            <v>#N/A</v>
          </cell>
        </row>
        <row r="219">
          <cell r="B219">
            <v>310003</v>
          </cell>
          <cell r="D219" t="str">
            <v>150 kV</v>
          </cell>
          <cell r="E219" t="str">
            <v>TenneXT</v>
          </cell>
          <cell r="F219" t="e">
            <v>#N/A</v>
          </cell>
        </row>
        <row r="220">
          <cell r="B220">
            <v>310005</v>
          </cell>
          <cell r="D220" t="str">
            <v>150 kV</v>
          </cell>
          <cell r="E220" t="str">
            <v>TenneXT</v>
          </cell>
          <cell r="F220" t="e">
            <v>#N/A</v>
          </cell>
        </row>
        <row r="221">
          <cell r="B221">
            <v>650000</v>
          </cell>
          <cell r="C221">
            <v>2248</v>
          </cell>
          <cell r="D221" t="str">
            <v>Overig</v>
          </cell>
          <cell r="E221" t="str">
            <v>Exploitatieproject</v>
          </cell>
          <cell r="F221">
            <v>0</v>
          </cell>
          <cell r="G221">
            <v>0</v>
          </cell>
        </row>
      </sheetData>
      <sheetData sheetId="4" refreshError="1"/>
      <sheetData sheetId="5">
        <row r="2">
          <cell r="A2">
            <v>2040</v>
          </cell>
          <cell r="B2" t="str">
            <v>Tot 31-12-2007 ONH Oost</v>
          </cell>
        </row>
        <row r="3">
          <cell r="A3">
            <v>2050</v>
          </cell>
          <cell r="B3" t="str">
            <v>Tot 31-12-2007 ONH Telematica</v>
          </cell>
        </row>
        <row r="4">
          <cell r="A4">
            <v>2150</v>
          </cell>
          <cell r="B4" t="str">
            <v>Tot 31-12-2007 Onderhoud</v>
          </cell>
        </row>
        <row r="5">
          <cell r="A5">
            <v>2170</v>
          </cell>
          <cell r="B5" t="str">
            <v>Tot 31-12-2007 Projecten</v>
          </cell>
        </row>
        <row r="6">
          <cell r="A6">
            <v>2180</v>
          </cell>
          <cell r="B6" t="str">
            <v>Tot 31-12-2007 Infra Ondersteuning</v>
          </cell>
        </row>
        <row r="7">
          <cell r="A7">
            <v>100000</v>
          </cell>
          <cell r="B7" t="str">
            <v>Raad van Bestuur</v>
          </cell>
        </row>
        <row r="8">
          <cell r="A8">
            <v>101000</v>
          </cell>
          <cell r="B8" t="str">
            <v>Secretariaat en Advies</v>
          </cell>
        </row>
        <row r="9">
          <cell r="A9">
            <v>102000</v>
          </cell>
          <cell r="B9" t="str">
            <v>Raad van Comissarissen</v>
          </cell>
        </row>
        <row r="10">
          <cell r="A10">
            <v>110000</v>
          </cell>
          <cell r="B10" t="str">
            <v>Corporate</v>
          </cell>
        </row>
        <row r="11">
          <cell r="A11">
            <v>111000</v>
          </cell>
          <cell r="B11" t="str">
            <v>Tot 1-9-2007 EnerQ (voorlopig)</v>
          </cell>
        </row>
        <row r="12">
          <cell r="A12">
            <v>112000</v>
          </cell>
          <cell r="B12" t="str">
            <v>Tot 1-9-2007 CertiQ (voorlopig)</v>
          </cell>
        </row>
        <row r="13">
          <cell r="A13">
            <v>120000</v>
          </cell>
          <cell r="B13" t="str">
            <v>Tot 31-12-2007 Markt en Regulering</v>
          </cell>
        </row>
        <row r="14">
          <cell r="A14">
            <v>130000</v>
          </cell>
          <cell r="B14" t="str">
            <v>Tot 31-12-2007 Concernzaken</v>
          </cell>
        </row>
        <row r="15">
          <cell r="A15">
            <v>131000</v>
          </cell>
          <cell r="B15" t="str">
            <v>Tot 31-12-2007 Communicatie</v>
          </cell>
        </row>
        <row r="16">
          <cell r="A16">
            <v>132000</v>
          </cell>
          <cell r="B16" t="str">
            <v>Tot 31-12-2007 Juridische Zaken</v>
          </cell>
        </row>
        <row r="17">
          <cell r="A17">
            <v>140000</v>
          </cell>
          <cell r="B17" t="str">
            <v>Tot 31-12-2007 Financien</v>
          </cell>
        </row>
        <row r="18">
          <cell r="A18">
            <v>150000</v>
          </cell>
          <cell r="B18" t="str">
            <v>Personeel en Organisatie</v>
          </cell>
        </row>
        <row r="19">
          <cell r="A19">
            <v>151000</v>
          </cell>
          <cell r="B19" t="str">
            <v>Facilitiaire zaken</v>
          </cell>
        </row>
        <row r="20">
          <cell r="A20">
            <v>151100</v>
          </cell>
          <cell r="B20" t="str">
            <v>Gebouwbeheer</v>
          </cell>
        </row>
        <row r="21">
          <cell r="A21">
            <v>151200</v>
          </cell>
          <cell r="B21" t="str">
            <v>FAZ-services</v>
          </cell>
        </row>
        <row r="22">
          <cell r="A22">
            <v>151300</v>
          </cell>
          <cell r="B22" t="str">
            <v>Documentaire informatievoorziening</v>
          </cell>
        </row>
        <row r="23">
          <cell r="A23">
            <v>151400</v>
          </cell>
          <cell r="B23" t="str">
            <v>Bedrijfsbureau</v>
          </cell>
        </row>
        <row r="24">
          <cell r="A24">
            <v>152000</v>
          </cell>
          <cell r="B24" t="str">
            <v>Ondernemingsraad</v>
          </cell>
        </row>
        <row r="25">
          <cell r="A25">
            <v>153000</v>
          </cell>
          <cell r="B25" t="str">
            <v>Mobiliteitsbureau</v>
          </cell>
        </row>
        <row r="26">
          <cell r="A26">
            <v>153100</v>
          </cell>
          <cell r="B26" t="str">
            <v>Sociaal Plan</v>
          </cell>
        </row>
        <row r="27">
          <cell r="A27">
            <v>153200</v>
          </cell>
          <cell r="B27" t="str">
            <v>Tot 30-11-2008 Stagiairs</v>
          </cell>
        </row>
        <row r="28">
          <cell r="A28">
            <v>153300</v>
          </cell>
          <cell r="B28" t="str">
            <v>Gepensioneerden</v>
          </cell>
        </row>
        <row r="29">
          <cell r="A29">
            <v>153400</v>
          </cell>
          <cell r="B29" t="str">
            <v>Suppletie/wachtgelders</v>
          </cell>
        </row>
        <row r="30">
          <cell r="A30">
            <v>160000</v>
          </cell>
          <cell r="B30" t="str">
            <v>Klant en Marktontwikkeling</v>
          </cell>
        </row>
        <row r="31">
          <cell r="A31">
            <v>200000</v>
          </cell>
          <cell r="B31" t="str">
            <v>Tot 31-12-2007 Transport en Infra</v>
          </cell>
        </row>
        <row r="32">
          <cell r="A32">
            <v>200001</v>
          </cell>
          <cell r="B32" t="str">
            <v>Financiën</v>
          </cell>
        </row>
        <row r="33">
          <cell r="A33">
            <v>210000</v>
          </cell>
          <cell r="B33" t="str">
            <v>Ownership, Business planning en Regulering</v>
          </cell>
        </row>
        <row r="34">
          <cell r="A34">
            <v>220000</v>
          </cell>
          <cell r="B34" t="str">
            <v>Inkoop</v>
          </cell>
        </row>
        <row r="35">
          <cell r="A35">
            <v>230000</v>
          </cell>
          <cell r="B35" t="str">
            <v>Treasury</v>
          </cell>
        </row>
        <row r="36">
          <cell r="A36">
            <v>231000</v>
          </cell>
          <cell r="B36" t="str">
            <v>Tot 31-12-2007 Ondersteuning Regio West</v>
          </cell>
        </row>
        <row r="37">
          <cell r="A37">
            <v>232000</v>
          </cell>
          <cell r="B37" t="str">
            <v>Tot 31-12-2007 Uitvoering Regio West</v>
          </cell>
        </row>
        <row r="38">
          <cell r="A38">
            <v>240000</v>
          </cell>
          <cell r="B38" t="str">
            <v>Control en Reporting</v>
          </cell>
        </row>
        <row r="39">
          <cell r="A39">
            <v>250000</v>
          </cell>
          <cell r="B39" t="str">
            <v>Financieel Service Centrum</v>
          </cell>
        </row>
        <row r="40">
          <cell r="A40">
            <v>260000</v>
          </cell>
          <cell r="B40" t="str">
            <v>Informatiemanagement Corporate</v>
          </cell>
        </row>
        <row r="41">
          <cell r="A41">
            <v>270000</v>
          </cell>
          <cell r="B41" t="str">
            <v>Risico- en Verzekeringsmanagement</v>
          </cell>
        </row>
        <row r="42">
          <cell r="A42">
            <v>280000</v>
          </cell>
          <cell r="B42" t="str">
            <v>Audit</v>
          </cell>
        </row>
        <row r="43">
          <cell r="A43">
            <v>290000</v>
          </cell>
          <cell r="B43" t="str">
            <v>Fiscale Zaken</v>
          </cell>
        </row>
        <row r="44">
          <cell r="A44">
            <v>300000</v>
          </cell>
          <cell r="B44" t="str">
            <v>Beveiliging en automatisering</v>
          </cell>
        </row>
        <row r="45">
          <cell r="A45">
            <v>320000</v>
          </cell>
          <cell r="B45" t="str">
            <v>Informatie en Automatisering</v>
          </cell>
        </row>
        <row r="46">
          <cell r="A46">
            <v>320100</v>
          </cell>
          <cell r="B46" t="str">
            <v>Tot 30-11-2008 Cluster beleid &amp; projecten</v>
          </cell>
        </row>
        <row r="47">
          <cell r="A47">
            <v>321000</v>
          </cell>
          <cell r="B47" t="str">
            <v>IT beheer</v>
          </cell>
        </row>
        <row r="48">
          <cell r="A48">
            <v>322000</v>
          </cell>
          <cell r="B48" t="str">
            <v>Informatievoorziening SB</v>
          </cell>
        </row>
        <row r="49">
          <cell r="A49">
            <v>323000</v>
          </cell>
          <cell r="B49" t="str">
            <v>Informatievoorziening TI, Staven en AM</v>
          </cell>
        </row>
        <row r="50">
          <cell r="A50">
            <v>400000</v>
          </cell>
          <cell r="B50" t="str">
            <v>Systeem en Besturing</v>
          </cell>
        </row>
        <row r="51">
          <cell r="A51">
            <v>410000</v>
          </cell>
          <cell r="B51" t="str">
            <v>Monitoring en Ontwikkeling</v>
          </cell>
        </row>
        <row r="52">
          <cell r="A52">
            <v>420000</v>
          </cell>
          <cell r="B52" t="str">
            <v>Tot 31-12-2008 Operationele Besturing</v>
          </cell>
        </row>
        <row r="53">
          <cell r="A53">
            <v>421000</v>
          </cell>
          <cell r="B53" t="str">
            <v>Tot 31-12-2008 Transportvoorziening</v>
          </cell>
        </row>
        <row r="54">
          <cell r="A54">
            <v>422000</v>
          </cell>
          <cell r="B54" t="str">
            <v>Tot 31-12-2008 Systeemvoorziening</v>
          </cell>
        </row>
        <row r="55">
          <cell r="A55">
            <v>423000</v>
          </cell>
          <cell r="B55" t="str">
            <v>Tot 31-12-2008 Procesondersteuning</v>
          </cell>
        </row>
        <row r="56">
          <cell r="A56">
            <v>430000</v>
          </cell>
          <cell r="B56" t="str">
            <v>Tot 31-12-2007 Informatie en Automatisering</v>
          </cell>
        </row>
        <row r="57">
          <cell r="A57">
            <v>431000</v>
          </cell>
          <cell r="B57" t="str">
            <v>Tot 31-12-2007 IT beheer</v>
          </cell>
        </row>
        <row r="58">
          <cell r="A58">
            <v>432000</v>
          </cell>
          <cell r="B58" t="str">
            <v>Tot 31-12-2007 Informatievoorziening</v>
          </cell>
        </row>
        <row r="59">
          <cell r="A59">
            <v>440000</v>
          </cell>
          <cell r="B59" t="str">
            <v>Tot 31-12-2008 Service Centrum</v>
          </cell>
        </row>
        <row r="60">
          <cell r="A60">
            <v>450000</v>
          </cell>
          <cell r="B60" t="str">
            <v>Procesondersteuning</v>
          </cell>
        </row>
        <row r="61">
          <cell r="A61">
            <v>460000</v>
          </cell>
          <cell r="B61" t="str">
            <v>Systeemvoorziening</v>
          </cell>
        </row>
        <row r="62">
          <cell r="A62">
            <v>470000</v>
          </cell>
          <cell r="B62" t="str">
            <v>Transportvoorziening</v>
          </cell>
        </row>
        <row r="63">
          <cell r="A63">
            <v>500000</v>
          </cell>
          <cell r="B63" t="str">
            <v>Asset Management</v>
          </cell>
        </row>
        <row r="64">
          <cell r="A64">
            <v>510000</v>
          </cell>
          <cell r="B64" t="str">
            <v>Risico- en Portfoliomanagement</v>
          </cell>
        </row>
        <row r="65">
          <cell r="A65">
            <v>520000</v>
          </cell>
          <cell r="B65" t="str">
            <v>Netstrategie</v>
          </cell>
        </row>
        <row r="66">
          <cell r="A66">
            <v>521000</v>
          </cell>
          <cell r="B66" t="str">
            <v>Netontwikkeling</v>
          </cell>
        </row>
        <row r="67">
          <cell r="A67">
            <v>522000</v>
          </cell>
          <cell r="B67" t="str">
            <v>Beheer en onderhoud</v>
          </cell>
        </row>
        <row r="68">
          <cell r="A68">
            <v>523000</v>
          </cell>
          <cell r="B68" t="str">
            <v>Ruimtelijke Ordening en Milieu</v>
          </cell>
        </row>
        <row r="69">
          <cell r="A69">
            <v>530000</v>
          </cell>
          <cell r="B69" t="str">
            <v>Programmamanagement</v>
          </cell>
        </row>
        <row r="70">
          <cell r="A70">
            <v>531000</v>
          </cell>
          <cell r="B70" t="str">
            <v>Vervallen 31-12-2007 SLA Management</v>
          </cell>
        </row>
        <row r="71">
          <cell r="A71">
            <v>532000</v>
          </cell>
          <cell r="B71" t="str">
            <v>Vervallen 31-12-2007 Programma- en projectontwikkeling</v>
          </cell>
        </row>
        <row r="72">
          <cell r="A72">
            <v>540000</v>
          </cell>
          <cell r="B72" t="str">
            <v>Asset Informatie Management</v>
          </cell>
        </row>
        <row r="73">
          <cell r="A73">
            <v>600000</v>
          </cell>
          <cell r="B73" t="str">
            <v>Transport en Infra</v>
          </cell>
        </row>
        <row r="74">
          <cell r="A74">
            <v>601000</v>
          </cell>
          <cell r="B74" t="str">
            <v>TI Control</v>
          </cell>
        </row>
        <row r="75">
          <cell r="A75">
            <v>602000</v>
          </cell>
          <cell r="B75" t="str">
            <v>Informatiemanagement</v>
          </cell>
        </row>
        <row r="76">
          <cell r="A76">
            <v>610000</v>
          </cell>
          <cell r="B76" t="str">
            <v>Operations</v>
          </cell>
        </row>
        <row r="77">
          <cell r="A77">
            <v>611000</v>
          </cell>
          <cell r="B77" t="str">
            <v>Telecom</v>
          </cell>
        </row>
        <row r="78">
          <cell r="A78">
            <v>620000</v>
          </cell>
          <cell r="B78" t="str">
            <v>Planologie en Grondzaken</v>
          </cell>
        </row>
        <row r="79">
          <cell r="A79">
            <v>621000</v>
          </cell>
          <cell r="B79" t="str">
            <v>Planologie</v>
          </cell>
        </row>
        <row r="80">
          <cell r="A80">
            <v>622000</v>
          </cell>
          <cell r="B80" t="str">
            <v>Grondzaken</v>
          </cell>
        </row>
        <row r="81">
          <cell r="A81">
            <v>630000</v>
          </cell>
          <cell r="B81" t="str">
            <v>Technologie</v>
          </cell>
        </row>
        <row r="82">
          <cell r="A82">
            <v>631000</v>
          </cell>
          <cell r="B82" t="str">
            <v>Technologie en Consultancy</v>
          </cell>
        </row>
        <row r="83">
          <cell r="A83">
            <v>632000</v>
          </cell>
          <cell r="B83" t="str">
            <v>Engineering</v>
          </cell>
        </row>
        <row r="84">
          <cell r="A84">
            <v>633000</v>
          </cell>
          <cell r="B84" t="str">
            <v>Technisch Documentatie Service Centrum</v>
          </cell>
        </row>
        <row r="85">
          <cell r="A85">
            <v>640000</v>
          </cell>
          <cell r="B85" t="str">
            <v>Regiomanagement</v>
          </cell>
        </row>
        <row r="86">
          <cell r="A86">
            <v>641000</v>
          </cell>
          <cell r="B86" t="str">
            <v>Regio West</v>
          </cell>
        </row>
        <row r="87">
          <cell r="A87">
            <v>641100</v>
          </cell>
          <cell r="B87" t="str">
            <v>Ondersteuning (West)</v>
          </cell>
        </row>
        <row r="88">
          <cell r="A88">
            <v>641200</v>
          </cell>
          <cell r="B88" t="str">
            <v>Uitvoering (West)</v>
          </cell>
        </row>
        <row r="89">
          <cell r="A89">
            <v>642000</v>
          </cell>
          <cell r="B89" t="str">
            <v>Regio Oost</v>
          </cell>
        </row>
        <row r="90">
          <cell r="A90">
            <v>642100</v>
          </cell>
          <cell r="B90" t="str">
            <v>Ondersteuning (Oost)</v>
          </cell>
        </row>
        <row r="91">
          <cell r="A91">
            <v>642200</v>
          </cell>
          <cell r="B91" t="str">
            <v>Uitvoering (Oost)</v>
          </cell>
        </row>
        <row r="92">
          <cell r="A92">
            <v>643000</v>
          </cell>
          <cell r="B92" t="str">
            <v>Regio Noord</v>
          </cell>
        </row>
        <row r="93">
          <cell r="A93">
            <v>643100</v>
          </cell>
          <cell r="B93" t="str">
            <v>Ondersteuning (Noord)</v>
          </cell>
        </row>
        <row r="94">
          <cell r="A94">
            <v>643200</v>
          </cell>
          <cell r="B94" t="str">
            <v>Verbindingen (Noord)</v>
          </cell>
        </row>
        <row r="95">
          <cell r="A95">
            <v>643300</v>
          </cell>
          <cell r="B95" t="str">
            <v>Ingenieursbureau (Noord)</v>
          </cell>
        </row>
        <row r="96">
          <cell r="A96">
            <v>643400</v>
          </cell>
          <cell r="B96" t="str">
            <v>Stations (Noord)</v>
          </cell>
        </row>
        <row r="97">
          <cell r="A97">
            <v>644000</v>
          </cell>
          <cell r="B97" t="str">
            <v>Regio Zuid</v>
          </cell>
        </row>
        <row r="98">
          <cell r="A98">
            <v>644100</v>
          </cell>
          <cell r="B98" t="str">
            <v>Ondersteuning (Zuid)</v>
          </cell>
        </row>
        <row r="99">
          <cell r="A99">
            <v>644200</v>
          </cell>
          <cell r="B99" t="str">
            <v>Verbindingen (Zuid)</v>
          </cell>
        </row>
        <row r="100">
          <cell r="A100">
            <v>644300</v>
          </cell>
          <cell r="B100" t="str">
            <v>Ingenieursbureau (Zuid)</v>
          </cell>
        </row>
        <row r="101">
          <cell r="A101">
            <v>644400</v>
          </cell>
          <cell r="B101" t="str">
            <v>Stations (Zuid)</v>
          </cell>
        </row>
        <row r="102">
          <cell r="A102">
            <v>650000</v>
          </cell>
          <cell r="B102" t="str">
            <v>Kwaliteit, Arbo &amp; Milieu</v>
          </cell>
        </row>
        <row r="103">
          <cell r="A103">
            <v>700000</v>
          </cell>
          <cell r="B103" t="str">
            <v>Corporate Development</v>
          </cell>
        </row>
        <row r="104">
          <cell r="A104">
            <v>710000</v>
          </cell>
          <cell r="B104" t="str">
            <v>Communicatie</v>
          </cell>
        </row>
        <row r="105">
          <cell r="A105">
            <v>720000</v>
          </cell>
          <cell r="B105" t="str">
            <v>Juridische Zaken</v>
          </cell>
        </row>
        <row r="106">
          <cell r="A106">
            <v>900000</v>
          </cell>
          <cell r="B106" t="str">
            <v>NorNed</v>
          </cell>
        </row>
        <row r="107">
          <cell r="A107">
            <v>900001</v>
          </cell>
          <cell r="B107" t="str">
            <v>BritNed</v>
          </cell>
        </row>
        <row r="108">
          <cell r="A108">
            <v>900002</v>
          </cell>
          <cell r="B108" t="str">
            <v>Randstad 380</v>
          </cell>
        </row>
        <row r="109">
          <cell r="A109">
            <v>900003</v>
          </cell>
          <cell r="B109" t="str">
            <v>Tot 31-12-2008 Exploitatie netten RNB's</v>
          </cell>
        </row>
      </sheetData>
      <sheetData sheetId="6">
        <row r="3">
          <cell r="D3">
            <v>2170</v>
          </cell>
          <cell r="E3" t="str">
            <v>TI</v>
          </cell>
        </row>
        <row r="4">
          <cell r="D4">
            <v>100000</v>
          </cell>
          <cell r="E4" t="str">
            <v>RvB</v>
          </cell>
        </row>
        <row r="5">
          <cell r="D5">
            <v>101000</v>
          </cell>
          <cell r="E5" t="str">
            <v>RvB</v>
          </cell>
        </row>
        <row r="6">
          <cell r="D6">
            <v>111000</v>
          </cell>
          <cell r="E6" t="str">
            <v>EnerQ</v>
          </cell>
        </row>
        <row r="7">
          <cell r="D7">
            <v>112000</v>
          </cell>
          <cell r="E7" t="str">
            <v>CertiQ</v>
          </cell>
        </row>
        <row r="8">
          <cell r="D8">
            <v>150000</v>
          </cell>
          <cell r="E8" t="str">
            <v>PO</v>
          </cell>
        </row>
        <row r="9">
          <cell r="D9">
            <v>151000</v>
          </cell>
          <cell r="E9" t="str">
            <v>PO FAZ</v>
          </cell>
        </row>
        <row r="10">
          <cell r="D10">
            <v>152000</v>
          </cell>
          <cell r="E10" t="str">
            <v>PO</v>
          </cell>
        </row>
        <row r="11">
          <cell r="D11">
            <v>153000</v>
          </cell>
          <cell r="E11" t="str">
            <v>PO</v>
          </cell>
        </row>
        <row r="12">
          <cell r="D12">
            <v>160000</v>
          </cell>
          <cell r="E12" t="str">
            <v>KMO</v>
          </cell>
        </row>
        <row r="13">
          <cell r="D13">
            <v>200000</v>
          </cell>
          <cell r="E13" t="str">
            <v>TI</v>
          </cell>
        </row>
        <row r="14">
          <cell r="D14">
            <v>200001</v>
          </cell>
          <cell r="E14" t="str">
            <v>FIN</v>
          </cell>
        </row>
        <row r="15">
          <cell r="D15">
            <v>210000</v>
          </cell>
          <cell r="E15" t="str">
            <v>OBR</v>
          </cell>
        </row>
        <row r="16">
          <cell r="D16">
            <v>220000</v>
          </cell>
          <cell r="E16" t="str">
            <v>Inkoop</v>
          </cell>
        </row>
        <row r="17">
          <cell r="D17">
            <v>240000</v>
          </cell>
          <cell r="E17" t="str">
            <v>FIN</v>
          </cell>
        </row>
        <row r="18">
          <cell r="D18">
            <v>250000</v>
          </cell>
          <cell r="E18" t="str">
            <v>FIN</v>
          </cell>
        </row>
        <row r="19">
          <cell r="D19">
            <v>260000</v>
          </cell>
          <cell r="E19" t="str">
            <v>IMC</v>
          </cell>
        </row>
        <row r="20">
          <cell r="D20">
            <v>320000</v>
          </cell>
          <cell r="E20" t="str">
            <v>IA</v>
          </cell>
        </row>
        <row r="21">
          <cell r="D21">
            <v>321000</v>
          </cell>
          <cell r="E21" t="str">
            <v>IA</v>
          </cell>
        </row>
        <row r="22">
          <cell r="D22">
            <v>322000</v>
          </cell>
          <cell r="E22" t="str">
            <v>IA</v>
          </cell>
        </row>
        <row r="23">
          <cell r="D23">
            <v>323000</v>
          </cell>
          <cell r="E23" t="str">
            <v>IA</v>
          </cell>
        </row>
        <row r="24">
          <cell r="D24">
            <v>400000</v>
          </cell>
          <cell r="E24" t="str">
            <v>SB</v>
          </cell>
        </row>
        <row r="25">
          <cell r="D25">
            <v>410000</v>
          </cell>
          <cell r="E25" t="str">
            <v>SB</v>
          </cell>
        </row>
        <row r="26">
          <cell r="D26">
            <v>420000</v>
          </cell>
          <cell r="E26" t="str">
            <v>SB</v>
          </cell>
        </row>
        <row r="27">
          <cell r="D27">
            <v>421000</v>
          </cell>
          <cell r="E27" t="str">
            <v>SB</v>
          </cell>
        </row>
        <row r="28">
          <cell r="D28">
            <v>422000</v>
          </cell>
          <cell r="E28" t="str">
            <v>SB</v>
          </cell>
        </row>
        <row r="29">
          <cell r="D29">
            <v>423000</v>
          </cell>
          <cell r="E29" t="str">
            <v>SB</v>
          </cell>
        </row>
        <row r="30">
          <cell r="D30">
            <v>440000</v>
          </cell>
          <cell r="E30" t="str">
            <v>SB</v>
          </cell>
        </row>
        <row r="31">
          <cell r="D31">
            <v>500000</v>
          </cell>
          <cell r="E31" t="str">
            <v>AM</v>
          </cell>
        </row>
        <row r="32">
          <cell r="D32">
            <v>510000</v>
          </cell>
          <cell r="E32" t="str">
            <v>AM</v>
          </cell>
        </row>
        <row r="33">
          <cell r="D33">
            <v>520000</v>
          </cell>
          <cell r="E33" t="str">
            <v>AM</v>
          </cell>
        </row>
        <row r="34">
          <cell r="D34">
            <v>522000</v>
          </cell>
          <cell r="E34" t="str">
            <v>AM</v>
          </cell>
        </row>
        <row r="35">
          <cell r="D35">
            <v>523000</v>
          </cell>
          <cell r="E35" t="str">
            <v>AM</v>
          </cell>
        </row>
        <row r="36">
          <cell r="D36">
            <v>530000</v>
          </cell>
          <cell r="E36" t="str">
            <v>AM</v>
          </cell>
        </row>
        <row r="37">
          <cell r="D37">
            <v>540000</v>
          </cell>
          <cell r="E37" t="str">
            <v>AM</v>
          </cell>
        </row>
        <row r="38">
          <cell r="D38">
            <v>600000</v>
          </cell>
          <cell r="E38" t="str">
            <v>TI</v>
          </cell>
        </row>
        <row r="39">
          <cell r="D39">
            <v>601000</v>
          </cell>
          <cell r="E39" t="str">
            <v>TI</v>
          </cell>
        </row>
        <row r="40">
          <cell r="D40">
            <v>602000</v>
          </cell>
          <cell r="E40" t="str">
            <v>TI</v>
          </cell>
        </row>
        <row r="41">
          <cell r="D41">
            <v>610000</v>
          </cell>
          <cell r="E41" t="str">
            <v>TI</v>
          </cell>
        </row>
        <row r="42">
          <cell r="D42">
            <v>611000</v>
          </cell>
          <cell r="E42" t="str">
            <v>TI</v>
          </cell>
        </row>
        <row r="43">
          <cell r="D43">
            <v>620000</v>
          </cell>
          <cell r="E43" t="str">
            <v>TI</v>
          </cell>
        </row>
        <row r="44">
          <cell r="D44">
            <v>621000</v>
          </cell>
          <cell r="E44" t="str">
            <v>TI</v>
          </cell>
        </row>
        <row r="45">
          <cell r="D45">
            <v>622000</v>
          </cell>
          <cell r="E45" t="str">
            <v>TI</v>
          </cell>
        </row>
        <row r="46">
          <cell r="D46">
            <v>630000</v>
          </cell>
          <cell r="E46" t="str">
            <v>TI</v>
          </cell>
        </row>
        <row r="47">
          <cell r="D47">
            <v>632000</v>
          </cell>
          <cell r="E47" t="str">
            <v>TI</v>
          </cell>
        </row>
        <row r="48">
          <cell r="D48">
            <v>633000</v>
          </cell>
          <cell r="E48" t="str">
            <v>TI</v>
          </cell>
        </row>
        <row r="49">
          <cell r="D49">
            <v>640000</v>
          </cell>
          <cell r="E49" t="str">
            <v>TI</v>
          </cell>
        </row>
        <row r="50">
          <cell r="D50">
            <v>641000</v>
          </cell>
          <cell r="E50" t="str">
            <v>TI</v>
          </cell>
        </row>
        <row r="51">
          <cell r="D51">
            <v>641100</v>
          </cell>
          <cell r="E51" t="str">
            <v>TI</v>
          </cell>
        </row>
        <row r="52">
          <cell r="D52">
            <v>641200</v>
          </cell>
          <cell r="E52" t="str">
            <v>TI</v>
          </cell>
        </row>
        <row r="53">
          <cell r="D53">
            <v>642000</v>
          </cell>
          <cell r="E53" t="str">
            <v>TI</v>
          </cell>
        </row>
        <row r="54">
          <cell r="D54">
            <v>642100</v>
          </cell>
          <cell r="E54" t="str">
            <v>TI</v>
          </cell>
        </row>
        <row r="55">
          <cell r="D55">
            <v>642200</v>
          </cell>
          <cell r="E55" t="str">
            <v>TI</v>
          </cell>
        </row>
        <row r="56">
          <cell r="D56">
            <v>643000</v>
          </cell>
          <cell r="E56" t="str">
            <v>TI</v>
          </cell>
        </row>
        <row r="57">
          <cell r="D57">
            <v>643100</v>
          </cell>
          <cell r="E57" t="str">
            <v>TI</v>
          </cell>
        </row>
        <row r="58">
          <cell r="D58">
            <v>643200</v>
          </cell>
          <cell r="E58" t="str">
            <v>TI</v>
          </cell>
        </row>
        <row r="59">
          <cell r="D59">
            <v>643300</v>
          </cell>
          <cell r="E59" t="str">
            <v>TI</v>
          </cell>
        </row>
        <row r="60">
          <cell r="D60">
            <v>643400</v>
          </cell>
          <cell r="E60" t="str">
            <v>TI</v>
          </cell>
        </row>
        <row r="61">
          <cell r="D61">
            <v>644000</v>
          </cell>
          <cell r="E61" t="str">
            <v>TI</v>
          </cell>
        </row>
        <row r="62">
          <cell r="D62">
            <v>644100</v>
          </cell>
          <cell r="E62" t="str">
            <v>TI</v>
          </cell>
        </row>
        <row r="63">
          <cell r="D63">
            <v>644200</v>
          </cell>
          <cell r="E63" t="str">
            <v>TI</v>
          </cell>
        </row>
        <row r="64">
          <cell r="D64">
            <v>644300</v>
          </cell>
          <cell r="E64" t="str">
            <v>TI</v>
          </cell>
        </row>
        <row r="65">
          <cell r="D65">
            <v>644400</v>
          </cell>
          <cell r="E65" t="str">
            <v>TI</v>
          </cell>
        </row>
        <row r="66">
          <cell r="D66">
            <v>650000</v>
          </cell>
          <cell r="E66" t="str">
            <v>TI</v>
          </cell>
        </row>
        <row r="67">
          <cell r="D67">
            <v>700000</v>
          </cell>
          <cell r="E67" t="str">
            <v>CDV</v>
          </cell>
        </row>
        <row r="68">
          <cell r="D68">
            <v>710000</v>
          </cell>
          <cell r="E68" t="str">
            <v>CDV</v>
          </cell>
        </row>
        <row r="69">
          <cell r="D69">
            <v>720000</v>
          </cell>
          <cell r="E69" t="str">
            <v>CDV</v>
          </cell>
        </row>
        <row r="70">
          <cell r="D70">
            <v>900002</v>
          </cell>
          <cell r="E70" t="str">
            <v>Randstad 380</v>
          </cell>
        </row>
      </sheetData>
      <sheetData sheetId="7" refreshError="1"/>
      <sheetData sheetId="8">
        <row r="2">
          <cell r="A2">
            <v>132207</v>
          </cell>
        </row>
        <row r="3">
          <cell r="A3">
            <v>132467</v>
          </cell>
        </row>
        <row r="4">
          <cell r="A4">
            <v>132114</v>
          </cell>
        </row>
        <row r="5">
          <cell r="A5">
            <v>132137</v>
          </cell>
        </row>
        <row r="6">
          <cell r="A6">
            <v>132061</v>
          </cell>
        </row>
        <row r="7">
          <cell r="A7">
            <v>132062</v>
          </cell>
        </row>
        <row r="8">
          <cell r="A8">
            <v>132288</v>
          </cell>
        </row>
        <row r="9">
          <cell r="A9">
            <v>132253</v>
          </cell>
        </row>
        <row r="10">
          <cell r="A10">
            <v>132788</v>
          </cell>
        </row>
        <row r="11">
          <cell r="A11">
            <v>132452</v>
          </cell>
        </row>
        <row r="12">
          <cell r="A12">
            <v>132397</v>
          </cell>
        </row>
        <row r="13">
          <cell r="A13">
            <v>132499</v>
          </cell>
        </row>
        <row r="14">
          <cell r="A14">
            <v>132085</v>
          </cell>
        </row>
        <row r="15">
          <cell r="A15">
            <v>134944</v>
          </cell>
        </row>
        <row r="16">
          <cell r="A16">
            <v>132286</v>
          </cell>
        </row>
        <row r="17">
          <cell r="A17">
            <v>132029</v>
          </cell>
        </row>
        <row r="18">
          <cell r="A18">
            <v>132339</v>
          </cell>
        </row>
        <row r="19">
          <cell r="A19">
            <v>132867</v>
          </cell>
        </row>
        <row r="20">
          <cell r="A20">
            <v>132280</v>
          </cell>
        </row>
        <row r="21">
          <cell r="A21">
            <v>132351</v>
          </cell>
        </row>
        <row r="22">
          <cell r="A22">
            <v>132270</v>
          </cell>
        </row>
        <row r="23">
          <cell r="A23">
            <v>132857</v>
          </cell>
        </row>
        <row r="24">
          <cell r="A24">
            <v>132549</v>
          </cell>
        </row>
        <row r="25">
          <cell r="A25">
            <v>132381</v>
          </cell>
        </row>
        <row r="26">
          <cell r="A26">
            <v>132059</v>
          </cell>
        </row>
        <row r="27">
          <cell r="A27">
            <v>132225</v>
          </cell>
        </row>
        <row r="28">
          <cell r="A28">
            <v>132068</v>
          </cell>
        </row>
        <row r="29">
          <cell r="A29">
            <v>132067</v>
          </cell>
        </row>
        <row r="30">
          <cell r="A30">
            <v>132044</v>
          </cell>
        </row>
        <row r="31">
          <cell r="A31">
            <v>132222</v>
          </cell>
        </row>
        <row r="32">
          <cell r="A32">
            <v>132629</v>
          </cell>
        </row>
        <row r="33">
          <cell r="A33">
            <v>132465</v>
          </cell>
        </row>
        <row r="34">
          <cell r="A34">
            <v>132811</v>
          </cell>
        </row>
        <row r="35">
          <cell r="A35">
            <v>132679</v>
          </cell>
        </row>
        <row r="36">
          <cell r="A36">
            <v>132466</v>
          </cell>
        </row>
        <row r="37">
          <cell r="A37">
            <v>132962</v>
          </cell>
        </row>
        <row r="38">
          <cell r="A38">
            <v>132937</v>
          </cell>
        </row>
        <row r="39">
          <cell r="A39">
            <v>132819</v>
          </cell>
        </row>
        <row r="40">
          <cell r="A40">
            <v>133141</v>
          </cell>
        </row>
        <row r="41">
          <cell r="A41">
            <v>132354</v>
          </cell>
        </row>
        <row r="42">
          <cell r="A42">
            <v>132890</v>
          </cell>
        </row>
        <row r="43">
          <cell r="A43">
            <v>132891</v>
          </cell>
        </row>
        <row r="44">
          <cell r="A44">
            <v>132893</v>
          </cell>
        </row>
        <row r="45">
          <cell r="A45">
            <v>132896</v>
          </cell>
        </row>
        <row r="46">
          <cell r="A46">
            <v>132790</v>
          </cell>
        </row>
        <row r="47">
          <cell r="A47">
            <v>132810</v>
          </cell>
        </row>
        <row r="48">
          <cell r="A48">
            <v>132804</v>
          </cell>
        </row>
        <row r="49">
          <cell r="A49">
            <v>132840</v>
          </cell>
        </row>
        <row r="50">
          <cell r="A50">
            <v>132976</v>
          </cell>
        </row>
        <row r="51">
          <cell r="A51">
            <v>133176</v>
          </cell>
        </row>
        <row r="52">
          <cell r="A52">
            <v>133177</v>
          </cell>
        </row>
        <row r="53">
          <cell r="A53">
            <v>133117</v>
          </cell>
        </row>
        <row r="54">
          <cell r="A54">
            <v>132650</v>
          </cell>
        </row>
        <row r="55">
          <cell r="A55">
            <v>132974</v>
          </cell>
        </row>
        <row r="56">
          <cell r="A56">
            <v>132966</v>
          </cell>
        </row>
        <row r="57">
          <cell r="A57">
            <v>132686</v>
          </cell>
        </row>
        <row r="58">
          <cell r="A58">
            <v>132118</v>
          </cell>
        </row>
        <row r="59">
          <cell r="A59">
            <v>132971</v>
          </cell>
        </row>
        <row r="60">
          <cell r="A60">
            <v>132865</v>
          </cell>
        </row>
        <row r="61">
          <cell r="A61">
            <v>133072</v>
          </cell>
        </row>
        <row r="62">
          <cell r="A62">
            <v>132873</v>
          </cell>
        </row>
        <row r="63">
          <cell r="A63">
            <v>132972</v>
          </cell>
        </row>
        <row r="64">
          <cell r="A64">
            <v>132929</v>
          </cell>
        </row>
        <row r="65">
          <cell r="A65">
            <v>132789</v>
          </cell>
        </row>
        <row r="66">
          <cell r="A66">
            <v>132758</v>
          </cell>
        </row>
        <row r="67">
          <cell r="A67">
            <v>132833</v>
          </cell>
        </row>
        <row r="68">
          <cell r="A68">
            <v>133197</v>
          </cell>
        </row>
        <row r="69">
          <cell r="A69">
            <v>133279</v>
          </cell>
        </row>
        <row r="70">
          <cell r="A70">
            <v>132605</v>
          </cell>
        </row>
        <row r="71">
          <cell r="A71">
            <v>132698</v>
          </cell>
        </row>
        <row r="72">
          <cell r="A72">
            <v>133218</v>
          </cell>
        </row>
        <row r="73">
          <cell r="A73">
            <v>132965</v>
          </cell>
        </row>
        <row r="74">
          <cell r="A74">
            <v>133107</v>
          </cell>
        </row>
        <row r="75">
          <cell r="A75">
            <v>133091</v>
          </cell>
        </row>
        <row r="76">
          <cell r="A76">
            <v>133149</v>
          </cell>
        </row>
        <row r="77">
          <cell r="A77">
            <v>133258</v>
          </cell>
        </row>
        <row r="78">
          <cell r="A78">
            <v>133259</v>
          </cell>
        </row>
        <row r="79">
          <cell r="A79">
            <v>133260</v>
          </cell>
        </row>
        <row r="80">
          <cell r="A80">
            <v>132991</v>
          </cell>
        </row>
        <row r="81">
          <cell r="A81">
            <v>133030</v>
          </cell>
        </row>
        <row r="82">
          <cell r="A82">
            <v>132760</v>
          </cell>
        </row>
        <row r="83">
          <cell r="A83">
            <v>132060</v>
          </cell>
        </row>
        <row r="84">
          <cell r="A84">
            <v>133029</v>
          </cell>
        </row>
        <row r="85">
          <cell r="A85">
            <v>133270</v>
          </cell>
        </row>
        <row r="86">
          <cell r="A86">
            <v>133363</v>
          </cell>
        </row>
        <row r="87">
          <cell r="A87">
            <v>134841</v>
          </cell>
        </row>
        <row r="88">
          <cell r="A88">
            <v>133470</v>
          </cell>
        </row>
        <row r="89">
          <cell r="A89">
            <v>132147</v>
          </cell>
        </row>
        <row r="90">
          <cell r="A90">
            <v>133122</v>
          </cell>
        </row>
        <row r="91">
          <cell r="A91">
            <v>133369</v>
          </cell>
        </row>
        <row r="92">
          <cell r="A92">
            <v>133462</v>
          </cell>
        </row>
        <row r="93">
          <cell r="A93">
            <v>133305</v>
          </cell>
        </row>
        <row r="94">
          <cell r="A94">
            <v>133398</v>
          </cell>
        </row>
        <row r="95">
          <cell r="A95">
            <v>133510</v>
          </cell>
        </row>
        <row r="96">
          <cell r="A96">
            <v>133511</v>
          </cell>
        </row>
        <row r="97">
          <cell r="A97">
            <v>133512</v>
          </cell>
        </row>
        <row r="98">
          <cell r="A98">
            <v>133187</v>
          </cell>
        </row>
        <row r="99">
          <cell r="A99">
            <v>132967</v>
          </cell>
        </row>
        <row r="100">
          <cell r="A100">
            <v>132973</v>
          </cell>
        </row>
        <row r="101">
          <cell r="A101">
            <v>133498</v>
          </cell>
        </row>
        <row r="102">
          <cell r="A102">
            <v>133513</v>
          </cell>
        </row>
        <row r="103">
          <cell r="A103">
            <v>133540</v>
          </cell>
        </row>
        <row r="104">
          <cell r="A104">
            <v>133424</v>
          </cell>
        </row>
        <row r="105">
          <cell r="A105">
            <v>133463</v>
          </cell>
        </row>
        <row r="106">
          <cell r="A106">
            <v>133105</v>
          </cell>
        </row>
        <row r="107">
          <cell r="A107">
            <v>133577</v>
          </cell>
        </row>
        <row r="108">
          <cell r="A108">
            <v>133326</v>
          </cell>
        </row>
        <row r="109">
          <cell r="A109">
            <v>133366</v>
          </cell>
        </row>
        <row r="110">
          <cell r="A110">
            <v>133368</v>
          </cell>
        </row>
        <row r="111">
          <cell r="A111">
            <v>133619</v>
          </cell>
        </row>
        <row r="112">
          <cell r="A112">
            <v>133618</v>
          </cell>
        </row>
        <row r="113">
          <cell r="A113">
            <v>133620</v>
          </cell>
        </row>
        <row r="114">
          <cell r="A114">
            <v>133544</v>
          </cell>
        </row>
        <row r="115">
          <cell r="A115">
            <v>133545</v>
          </cell>
        </row>
        <row r="116">
          <cell r="A116">
            <v>133361</v>
          </cell>
        </row>
        <row r="117">
          <cell r="A117">
            <v>133354</v>
          </cell>
        </row>
        <row r="118">
          <cell r="A118">
            <v>133262</v>
          </cell>
        </row>
        <row r="119">
          <cell r="A119">
            <v>133257</v>
          </cell>
        </row>
        <row r="120">
          <cell r="A120">
            <v>133299</v>
          </cell>
        </row>
        <row r="121">
          <cell r="A121">
            <v>133357</v>
          </cell>
        </row>
        <row r="122">
          <cell r="A122">
            <v>133630</v>
          </cell>
        </row>
        <row r="123">
          <cell r="A123">
            <v>133367</v>
          </cell>
        </row>
        <row r="124">
          <cell r="A124">
            <v>133493</v>
          </cell>
        </row>
        <row r="125">
          <cell r="A125">
            <v>133480</v>
          </cell>
        </row>
        <row r="126">
          <cell r="A126">
            <v>133441</v>
          </cell>
        </row>
        <row r="127">
          <cell r="A127">
            <v>133449</v>
          </cell>
        </row>
        <row r="128">
          <cell r="A128">
            <v>133220</v>
          </cell>
        </row>
        <row r="129">
          <cell r="A129">
            <v>133219</v>
          </cell>
        </row>
        <row r="130">
          <cell r="A130">
            <v>133479</v>
          </cell>
        </row>
        <row r="131">
          <cell r="A131">
            <v>133465</v>
          </cell>
        </row>
        <row r="132">
          <cell r="A132">
            <v>133727</v>
          </cell>
        </row>
        <row r="133">
          <cell r="A133">
            <v>133576</v>
          </cell>
        </row>
        <row r="134">
          <cell r="A134">
            <v>133537</v>
          </cell>
        </row>
        <row r="135">
          <cell r="A135">
            <v>132742</v>
          </cell>
        </row>
        <row r="136">
          <cell r="A136">
            <v>133475</v>
          </cell>
        </row>
        <row r="137">
          <cell r="A137">
            <v>133572</v>
          </cell>
        </row>
        <row r="138">
          <cell r="A138">
            <v>133682</v>
          </cell>
        </row>
        <row r="139">
          <cell r="A139">
            <v>133792</v>
          </cell>
        </row>
        <row r="140">
          <cell r="A140">
            <v>133321</v>
          </cell>
        </row>
        <row r="141">
          <cell r="A141">
            <v>133708</v>
          </cell>
        </row>
        <row r="142">
          <cell r="A142">
            <v>133869</v>
          </cell>
        </row>
        <row r="143">
          <cell r="A143">
            <v>133695</v>
          </cell>
        </row>
        <row r="144">
          <cell r="A144">
            <v>133748</v>
          </cell>
        </row>
        <row r="145">
          <cell r="A145">
            <v>133580</v>
          </cell>
        </row>
        <row r="146">
          <cell r="A146">
            <v>133677</v>
          </cell>
        </row>
        <row r="147">
          <cell r="A147">
            <v>133963</v>
          </cell>
        </row>
        <row r="148">
          <cell r="A148">
            <v>133778</v>
          </cell>
        </row>
        <row r="149">
          <cell r="A149">
            <v>134160</v>
          </cell>
        </row>
        <row r="150">
          <cell r="A150">
            <v>133935</v>
          </cell>
        </row>
        <row r="151">
          <cell r="A151">
            <v>133937</v>
          </cell>
        </row>
        <row r="152">
          <cell r="A152">
            <v>133743</v>
          </cell>
        </row>
        <row r="153">
          <cell r="A153">
            <v>133781</v>
          </cell>
        </row>
        <row r="154">
          <cell r="A154">
            <v>133787</v>
          </cell>
        </row>
        <row r="155">
          <cell r="A155">
            <v>133788</v>
          </cell>
        </row>
        <row r="156">
          <cell r="A156">
            <v>133789</v>
          </cell>
        </row>
        <row r="157">
          <cell r="A157">
            <v>133868</v>
          </cell>
        </row>
        <row r="158">
          <cell r="A158">
            <v>133964</v>
          </cell>
        </row>
        <row r="159">
          <cell r="A159">
            <v>133805</v>
          </cell>
        </row>
        <row r="160">
          <cell r="A160">
            <v>133852</v>
          </cell>
        </row>
        <row r="161">
          <cell r="A161">
            <v>133621</v>
          </cell>
        </row>
        <row r="162">
          <cell r="A162">
            <v>133791</v>
          </cell>
        </row>
        <row r="163">
          <cell r="A163">
            <v>133442</v>
          </cell>
        </row>
        <row r="164">
          <cell r="A164">
            <v>133637</v>
          </cell>
        </row>
        <row r="165">
          <cell r="A165">
            <v>133514</v>
          </cell>
        </row>
        <row r="166">
          <cell r="A166">
            <v>133870</v>
          </cell>
        </row>
        <row r="167">
          <cell r="A167">
            <v>134174</v>
          </cell>
        </row>
        <row r="168">
          <cell r="A168">
            <v>133159</v>
          </cell>
        </row>
        <row r="169">
          <cell r="A169">
            <v>134247</v>
          </cell>
        </row>
        <row r="170">
          <cell r="A170">
            <v>134221</v>
          </cell>
        </row>
        <row r="171">
          <cell r="A171">
            <v>134148</v>
          </cell>
        </row>
        <row r="172">
          <cell r="A172">
            <v>134078</v>
          </cell>
        </row>
        <row r="173">
          <cell r="A173">
            <v>133996</v>
          </cell>
        </row>
        <row r="174">
          <cell r="A174">
            <v>133938</v>
          </cell>
        </row>
        <row r="175">
          <cell r="A175">
            <v>134375</v>
          </cell>
        </row>
        <row r="176">
          <cell r="A176">
            <v>134376</v>
          </cell>
        </row>
        <row r="177">
          <cell r="A177">
            <v>134402</v>
          </cell>
        </row>
        <row r="178">
          <cell r="A178">
            <v>134403</v>
          </cell>
        </row>
        <row r="179">
          <cell r="A179">
            <v>134425</v>
          </cell>
        </row>
        <row r="180">
          <cell r="A180">
            <v>134413</v>
          </cell>
        </row>
        <row r="181">
          <cell r="A181">
            <v>134395</v>
          </cell>
        </row>
        <row r="182">
          <cell r="A182">
            <v>133689</v>
          </cell>
        </row>
        <row r="183">
          <cell r="A183">
            <v>134012</v>
          </cell>
        </row>
        <row r="184">
          <cell r="A184">
            <v>133932</v>
          </cell>
        </row>
        <row r="185">
          <cell r="A185">
            <v>134184</v>
          </cell>
        </row>
        <row r="186">
          <cell r="A186">
            <v>134224</v>
          </cell>
        </row>
        <row r="187">
          <cell r="A187">
            <v>133782</v>
          </cell>
        </row>
        <row r="188">
          <cell r="A188">
            <v>133546</v>
          </cell>
        </row>
        <row r="189">
          <cell r="A189">
            <v>133864</v>
          </cell>
        </row>
        <row r="190">
          <cell r="A190">
            <v>134207</v>
          </cell>
        </row>
        <row r="191">
          <cell r="A191">
            <v>133351</v>
          </cell>
        </row>
        <row r="192">
          <cell r="A192">
            <v>134246</v>
          </cell>
        </row>
        <row r="193">
          <cell r="A193">
            <v>134366</v>
          </cell>
        </row>
        <row r="194">
          <cell r="A194">
            <v>134377</v>
          </cell>
        </row>
        <row r="195">
          <cell r="A195">
            <v>134359</v>
          </cell>
        </row>
        <row r="196">
          <cell r="A196">
            <v>134361</v>
          </cell>
        </row>
        <row r="197">
          <cell r="A197">
            <v>134298</v>
          </cell>
        </row>
        <row r="198">
          <cell r="A198">
            <v>134393</v>
          </cell>
        </row>
        <row r="199">
          <cell r="A199">
            <v>134497</v>
          </cell>
        </row>
        <row r="200">
          <cell r="A200">
            <v>139084</v>
          </cell>
        </row>
        <row r="201">
          <cell r="A201">
            <v>134596</v>
          </cell>
        </row>
        <row r="202">
          <cell r="A202">
            <v>134200</v>
          </cell>
        </row>
        <row r="203">
          <cell r="A203">
            <v>134208</v>
          </cell>
        </row>
        <row r="204">
          <cell r="A204">
            <v>139306</v>
          </cell>
        </row>
        <row r="205">
          <cell r="A205">
            <v>134613</v>
          </cell>
        </row>
        <row r="206">
          <cell r="A206">
            <v>134288</v>
          </cell>
        </row>
        <row r="207">
          <cell r="A207">
            <v>134614</v>
          </cell>
        </row>
        <row r="208">
          <cell r="A208">
            <v>134615</v>
          </cell>
        </row>
        <row r="209">
          <cell r="A209">
            <v>134498</v>
          </cell>
        </row>
        <row r="210">
          <cell r="A210">
            <v>134499</v>
          </cell>
        </row>
        <row r="211">
          <cell r="A211">
            <v>134500</v>
          </cell>
        </row>
        <row r="212">
          <cell r="A212">
            <v>134501</v>
          </cell>
        </row>
        <row r="213">
          <cell r="A213">
            <v>134502</v>
          </cell>
        </row>
        <row r="214">
          <cell r="A214">
            <v>134426</v>
          </cell>
        </row>
        <row r="215">
          <cell r="A215">
            <v>134428</v>
          </cell>
        </row>
        <row r="216">
          <cell r="A216">
            <v>134540</v>
          </cell>
        </row>
        <row r="217">
          <cell r="A217">
            <v>134521</v>
          </cell>
        </row>
        <row r="218">
          <cell r="A218">
            <v>134609</v>
          </cell>
        </row>
        <row r="219">
          <cell r="A219">
            <v>134970</v>
          </cell>
        </row>
        <row r="220">
          <cell r="A220">
            <v>139072</v>
          </cell>
        </row>
        <row r="221">
          <cell r="A221">
            <v>139218</v>
          </cell>
        </row>
        <row r="222">
          <cell r="A222">
            <v>139323</v>
          </cell>
        </row>
        <row r="223">
          <cell r="A223">
            <v>134940</v>
          </cell>
        </row>
        <row r="224">
          <cell r="A224">
            <v>134942</v>
          </cell>
        </row>
        <row r="225">
          <cell r="A225">
            <v>134943</v>
          </cell>
        </row>
        <row r="226">
          <cell r="A226">
            <v>134952</v>
          </cell>
        </row>
        <row r="227">
          <cell r="A227">
            <v>134598</v>
          </cell>
        </row>
        <row r="228">
          <cell r="A228">
            <v>134964</v>
          </cell>
        </row>
        <row r="229">
          <cell r="A229">
            <v>134623</v>
          </cell>
        </row>
        <row r="230">
          <cell r="A230">
            <v>134853</v>
          </cell>
        </row>
        <row r="231">
          <cell r="A231">
            <v>135017</v>
          </cell>
        </row>
        <row r="232">
          <cell r="A232">
            <v>139234</v>
          </cell>
        </row>
        <row r="233">
          <cell r="A233">
            <v>139271</v>
          </cell>
        </row>
        <row r="234">
          <cell r="A234">
            <v>134965</v>
          </cell>
        </row>
        <row r="235">
          <cell r="A235">
            <v>135013</v>
          </cell>
        </row>
        <row r="236">
          <cell r="A236">
            <v>135018</v>
          </cell>
        </row>
        <row r="237">
          <cell r="A237">
            <v>134435</v>
          </cell>
        </row>
        <row r="238">
          <cell r="A238">
            <v>134479</v>
          </cell>
        </row>
        <row r="239">
          <cell r="A239">
            <v>134849</v>
          </cell>
        </row>
        <row r="240">
          <cell r="A240">
            <v>134843</v>
          </cell>
        </row>
        <row r="241">
          <cell r="A241">
            <v>133325</v>
          </cell>
        </row>
        <row r="242">
          <cell r="A242">
            <v>134218</v>
          </cell>
        </row>
        <row r="243">
          <cell r="A243">
            <v>133495</v>
          </cell>
        </row>
        <row r="244">
          <cell r="A244">
            <v>133569</v>
          </cell>
        </row>
        <row r="245">
          <cell r="A245">
            <v>133556</v>
          </cell>
        </row>
        <row r="246">
          <cell r="A246">
            <v>133712</v>
          </cell>
        </row>
        <row r="247">
          <cell r="A247">
            <v>133426</v>
          </cell>
        </row>
        <row r="248">
          <cell r="A248">
            <v>133425</v>
          </cell>
        </row>
        <row r="249">
          <cell r="A249">
            <v>132824</v>
          </cell>
        </row>
        <row r="250">
          <cell r="A250">
            <v>133066</v>
          </cell>
        </row>
        <row r="251">
          <cell r="A251">
            <v>132990</v>
          </cell>
        </row>
        <row r="252">
          <cell r="A252">
            <v>133070</v>
          </cell>
        </row>
        <row r="253">
          <cell r="A253">
            <v>132858</v>
          </cell>
        </row>
        <row r="254">
          <cell r="A254">
            <v>143359</v>
          </cell>
        </row>
        <row r="255">
          <cell r="A255">
            <v>132856</v>
          </cell>
        </row>
        <row r="256">
          <cell r="A256">
            <v>133032</v>
          </cell>
        </row>
        <row r="257">
          <cell r="A257">
            <v>139303</v>
          </cell>
        </row>
        <row r="258">
          <cell r="A258">
            <v>139658</v>
          </cell>
        </row>
        <row r="259">
          <cell r="A259">
            <v>139494</v>
          </cell>
        </row>
        <row r="260">
          <cell r="A260">
            <v>132680</v>
          </cell>
        </row>
        <row r="261">
          <cell r="A261">
            <v>133657</v>
          </cell>
        </row>
        <row r="262">
          <cell r="A262">
            <v>133822</v>
          </cell>
        </row>
        <row r="263">
          <cell r="A263">
            <v>134463</v>
          </cell>
        </row>
        <row r="264">
          <cell r="A264">
            <v>139269</v>
          </cell>
        </row>
        <row r="265">
          <cell r="A265">
            <v>139617</v>
          </cell>
        </row>
        <row r="266">
          <cell r="A266">
            <v>139633</v>
          </cell>
        </row>
        <row r="267">
          <cell r="A267">
            <v>139635</v>
          </cell>
        </row>
        <row r="268">
          <cell r="A268">
            <v>139634</v>
          </cell>
        </row>
        <row r="269">
          <cell r="A269">
            <v>139636</v>
          </cell>
        </row>
        <row r="270">
          <cell r="A270">
            <v>139244</v>
          </cell>
        </row>
        <row r="271">
          <cell r="A271">
            <v>132087</v>
          </cell>
        </row>
        <row r="272">
          <cell r="A272">
            <v>133978</v>
          </cell>
        </row>
        <row r="273">
          <cell r="A273">
            <v>139270</v>
          </cell>
        </row>
        <row r="274">
          <cell r="A274">
            <v>145765</v>
          </cell>
        </row>
      </sheetData>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houd"/>
      <sheetName val="Draaitabel"/>
      <sheetName val="Data"/>
      <sheetName val="Opex"/>
      <sheetName val="KP"/>
      <sheetName val="BO"/>
      <sheetName val="EXP"/>
      <sheetName val="Config"/>
      <sheetName val="PJB"/>
      <sheetName val="Oud"/>
      <sheetName val="Lijst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2">
          <cell r="A2">
            <v>2008</v>
          </cell>
          <cell r="B2" t="str">
            <v>/Q1</v>
          </cell>
          <cell r="C2">
            <v>50</v>
          </cell>
          <cell r="D2" t="str">
            <v>Ca</v>
          </cell>
          <cell r="E2" t="str">
            <v>Stud.</v>
          </cell>
          <cell r="F2" t="str">
            <v>Noord</v>
          </cell>
          <cell r="G2" t="str">
            <v>DeltaN</v>
          </cell>
          <cell r="H2" t="str">
            <v>AdR</v>
          </cell>
          <cell r="J2" t="str">
            <v>DFo</v>
          </cell>
          <cell r="L2" t="str">
            <v>RaZ</v>
          </cell>
          <cell r="P2" t="str">
            <v>tarief</v>
          </cell>
        </row>
        <row r="3">
          <cell r="A3">
            <v>2009</v>
          </cell>
          <cell r="B3" t="str">
            <v>/Q2</v>
          </cell>
          <cell r="C3">
            <v>110</v>
          </cell>
          <cell r="D3" t="str">
            <v>Kw</v>
          </cell>
          <cell r="E3" t="str">
            <v>Stud+</v>
          </cell>
          <cell r="F3" t="str">
            <v>Zuid</v>
          </cell>
          <cell r="G3" t="str">
            <v>Eneco</v>
          </cell>
          <cell r="H3" t="str">
            <v>BvH</v>
          </cell>
          <cell r="J3" t="str">
            <v>HSt</v>
          </cell>
          <cell r="L3" t="str">
            <v>RaN</v>
          </cell>
          <cell r="P3" t="str">
            <v>extern</v>
          </cell>
        </row>
        <row r="4">
          <cell r="A4">
            <v>2010</v>
          </cell>
          <cell r="B4" t="str">
            <v>/Q3</v>
          </cell>
          <cell r="C4">
            <v>150</v>
          </cell>
          <cell r="D4" t="str">
            <v>RVE</v>
          </cell>
          <cell r="E4" t="str">
            <v>BO</v>
          </cell>
          <cell r="F4" t="str">
            <v>West</v>
          </cell>
          <cell r="G4" t="str">
            <v>ENN</v>
          </cell>
          <cell r="H4" t="str">
            <v>CJa</v>
          </cell>
          <cell r="J4" t="str">
            <v>JVi</v>
          </cell>
          <cell r="L4" t="str">
            <v>NW380</v>
          </cell>
          <cell r="P4" t="str">
            <v>art. 41b</v>
          </cell>
        </row>
        <row r="5">
          <cell r="A5">
            <v>2011</v>
          </cell>
          <cell r="B5" t="str">
            <v>/Q4</v>
          </cell>
          <cell r="C5">
            <v>220</v>
          </cell>
          <cell r="D5" t="str">
            <v>Aa</v>
          </cell>
          <cell r="E5" t="str">
            <v>BO+</v>
          </cell>
          <cell r="F5" t="str">
            <v>Midden</v>
          </cell>
          <cell r="G5" t="str">
            <v>ENZ</v>
          </cell>
          <cell r="H5" t="str">
            <v>FvD</v>
          </cell>
          <cell r="J5" t="str">
            <v>JSl</v>
          </cell>
          <cell r="L5" t="str">
            <v>NW220</v>
          </cell>
          <cell r="P5" t="str">
            <v>art. 31.6</v>
          </cell>
        </row>
        <row r="6">
          <cell r="A6">
            <v>2012</v>
          </cell>
          <cell r="C6">
            <v>380</v>
          </cell>
          <cell r="D6" t="str">
            <v>Re</v>
          </cell>
          <cell r="E6" t="str">
            <v>Real.</v>
          </cell>
          <cell r="F6" t="str">
            <v>NL</v>
          </cell>
          <cell r="G6" t="str">
            <v>CN</v>
          </cell>
          <cell r="H6" t="str">
            <v>ESc</v>
          </cell>
          <cell r="J6" t="str">
            <v>PvD</v>
          </cell>
          <cell r="L6" t="str">
            <v>ZW</v>
          </cell>
          <cell r="P6" t="str">
            <v>tar/ext.</v>
          </cell>
        </row>
        <row r="7">
          <cell r="A7">
            <v>2013</v>
          </cell>
          <cell r="D7" t="str">
            <v>Tc</v>
          </cell>
          <cell r="E7" t="str">
            <v>Real.+</v>
          </cell>
          <cell r="F7" t="str">
            <v>AoE</v>
          </cell>
          <cell r="G7" t="str">
            <v>TenneT</v>
          </cell>
          <cell r="H7" t="str">
            <v>EWi</v>
          </cell>
          <cell r="J7" t="str">
            <v>LRö</v>
          </cell>
          <cell r="L7" t="str">
            <v>NOPw</v>
          </cell>
          <cell r="P7" t="str">
            <v>tar/41b</v>
          </cell>
        </row>
        <row r="8">
          <cell r="A8">
            <v>2014</v>
          </cell>
          <cell r="D8" t="str">
            <v>BvS</v>
          </cell>
          <cell r="E8" t="str">
            <v>OB</v>
          </cell>
          <cell r="G8" t="str">
            <v>TZH</v>
          </cell>
          <cell r="H8" t="str">
            <v>FWe</v>
          </cell>
          <cell r="J8" t="str">
            <v>OZw</v>
          </cell>
          <cell r="L8" t="str">
            <v>NOPt</v>
          </cell>
          <cell r="P8" t="str">
            <v>speciaal</v>
          </cell>
        </row>
        <row r="9">
          <cell r="A9">
            <v>2015</v>
          </cell>
          <cell r="D9" t="str">
            <v>CaR</v>
          </cell>
          <cell r="E9" t="str">
            <v>OB+</v>
          </cell>
          <cell r="H9" t="str">
            <v>GAa</v>
          </cell>
          <cell r="J9" t="str">
            <v>RJa</v>
          </cell>
          <cell r="L9" t="str">
            <v>EEM</v>
          </cell>
          <cell r="P9" t="str">
            <v>voorz. Am</v>
          </cell>
        </row>
        <row r="10">
          <cell r="A10">
            <v>2016</v>
          </cell>
          <cell r="D10" t="str">
            <v>CaZ</v>
          </cell>
          <cell r="E10" t="str">
            <v>PL</v>
          </cell>
          <cell r="H10" t="str">
            <v>HWe</v>
          </cell>
          <cell r="J10" t="str">
            <v>HKr</v>
          </cell>
          <cell r="L10" t="str">
            <v>MVL</v>
          </cell>
        </row>
        <row r="11">
          <cell r="A11">
            <v>2017</v>
          </cell>
          <cell r="D11" t="str">
            <v>CaN</v>
          </cell>
          <cell r="E11" t="str">
            <v>PL+</v>
          </cell>
          <cell r="H11" t="str">
            <v>JJo</v>
          </cell>
          <cell r="J11" t="str">
            <v>MAb</v>
          </cell>
          <cell r="L11" t="str">
            <v>BSL</v>
          </cell>
        </row>
        <row r="12">
          <cell r="A12">
            <v>2018</v>
          </cell>
          <cell r="E12" t="str">
            <v>IF</v>
          </cell>
          <cell r="H12" t="str">
            <v>JZw</v>
          </cell>
          <cell r="J12" t="str">
            <v>BEr</v>
          </cell>
          <cell r="L12" t="str">
            <v>MD</v>
          </cell>
        </row>
        <row r="13">
          <cell r="A13">
            <v>2019</v>
          </cell>
          <cell r="E13" t="str">
            <v>HOLD</v>
          </cell>
          <cell r="H13" t="str">
            <v>KKo</v>
          </cell>
          <cell r="J13" t="str">
            <v>EMo</v>
          </cell>
          <cell r="L13" t="str">
            <v>TZH *</v>
          </cell>
        </row>
        <row r="14">
          <cell r="A14">
            <v>2020</v>
          </cell>
          <cell r="H14" t="str">
            <v>WvA</v>
          </cell>
          <cell r="J14" t="str">
            <v>ABo</v>
          </cell>
          <cell r="L14" t="str">
            <v>CN *</v>
          </cell>
        </row>
        <row r="15">
          <cell r="A15">
            <v>2021</v>
          </cell>
          <cell r="H15" t="str">
            <v>MRu</v>
          </cell>
          <cell r="J15" t="str">
            <v>TMa</v>
          </cell>
          <cell r="L15" t="str">
            <v>ENN *</v>
          </cell>
        </row>
        <row r="16">
          <cell r="A16">
            <v>2022</v>
          </cell>
          <cell r="H16" t="str">
            <v>PJa</v>
          </cell>
          <cell r="L16" t="str">
            <v>ENZ *</v>
          </cell>
        </row>
        <row r="17">
          <cell r="A17">
            <v>2023</v>
          </cell>
          <cell r="H17" t="str">
            <v>RVe</v>
          </cell>
          <cell r="L17" t="str">
            <v>RMa</v>
          </cell>
        </row>
        <row r="18">
          <cell r="A18">
            <v>2024</v>
          </cell>
          <cell r="H18" t="str">
            <v>RvO</v>
          </cell>
          <cell r="L18" t="str">
            <v>Dor</v>
          </cell>
        </row>
        <row r="19">
          <cell r="A19">
            <v>2025</v>
          </cell>
          <cell r="H19" t="str">
            <v>SMe</v>
          </cell>
          <cell r="L19" t="str">
            <v>WVb</v>
          </cell>
        </row>
        <row r="20">
          <cell r="H20" t="str">
            <v>SWo</v>
          </cell>
          <cell r="L20" t="str">
            <v>Vis</v>
          </cell>
        </row>
        <row r="21">
          <cell r="H21" t="str">
            <v>JGu</v>
          </cell>
          <cell r="L21" t="str">
            <v>CBL</v>
          </cell>
        </row>
        <row r="22">
          <cell r="H22" t="str">
            <v>PvdR</v>
          </cell>
          <cell r="L22" t="str">
            <v>MdGtb</v>
          </cell>
        </row>
        <row r="23">
          <cell r="H23" t="str">
            <v>JHS</v>
          </cell>
          <cell r="L23" t="str">
            <v>DSL</v>
          </cell>
        </row>
        <row r="24">
          <cell r="H24" t="str">
            <v>ACr</v>
          </cell>
        </row>
        <row r="25">
          <cell r="H25" t="str">
            <v>FvE</v>
          </cell>
        </row>
        <row r="26">
          <cell r="L26" t="str">
            <v>Z</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resgegevens"/>
      <sheetName val="TAR_Tab 2_Tvoorstel besch afn"/>
    </sheetNames>
    <sheetDataSet>
      <sheetData sheetId="0"/>
      <sheetData sheetId="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ers"/>
      <sheetName val=" Entrytarieven 2009"/>
      <sheetName val="Exittarieven  2009"/>
      <sheetName val=" Connectiontarieven 2009"/>
      <sheetName val="Overige tarieven 2009"/>
      <sheetName val="Uitbreidingsinvestering"/>
    </sheetNames>
    <sheetDataSet>
      <sheetData sheetId="0">
        <row r="5">
          <cell r="E5">
            <v>3.2000000000000001E-2</v>
          </cell>
        </row>
      </sheetData>
      <sheetData sheetId="1"/>
      <sheetData sheetId="2"/>
      <sheetData sheetId="3"/>
      <sheetData sheetId="4"/>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itzoekpunten"/>
      <sheetName val="Berekening"/>
      <sheetName val="Correctie ONS"/>
      <sheetName val="Resultaten"/>
      <sheetName val="Database"/>
      <sheetName val="vierkant"/>
      <sheetName val="gegevens"/>
      <sheetName val="deal"/>
      <sheetName val="inkoop"/>
    </sheetNames>
    <sheetDataSet>
      <sheetData sheetId="0" refreshError="1"/>
      <sheetData sheetId="1"/>
      <sheetData sheetId="2" refreshError="1"/>
      <sheetData sheetId="3" refreshError="1"/>
      <sheetData sheetId="4">
        <row r="13">
          <cell r="D13">
            <v>1.1000000000000001</v>
          </cell>
        </row>
      </sheetData>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
      <sheetName val="Adresgegevens"/>
      <sheetName val="Toelichting"/>
      <sheetName val="Toegestane Omzet"/>
      <sheetName val="Tariefvoorstel en Controle"/>
    </sheetNames>
    <sheetDataSet>
      <sheetData sheetId="0"/>
      <sheetData sheetId="1"/>
      <sheetData sheetId="2"/>
      <sheetData sheetId="3">
        <row r="1">
          <cell r="M1" t="str">
            <v>DELT</v>
          </cell>
        </row>
      </sheetData>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ckpit"/>
      <sheetName val="mandje"/>
      <sheetName val="gegevens"/>
      <sheetName val="individueel"/>
      <sheetName val="fiscus"/>
      <sheetName val="Strategie"/>
      <sheetName val="MAATSTAF"/>
      <sheetName val="Blad1"/>
      <sheetName val="Cok"/>
      <sheetName val="Cok2"/>
      <sheetName val="Blad2"/>
    </sheetNames>
    <sheetDataSet>
      <sheetData sheetId="0">
        <row r="9">
          <cell r="B9">
            <v>0</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ulsheet"/>
      <sheetName val="uren specificatie 2008"/>
      <sheetName val="Lijsten"/>
    </sheetNames>
    <sheetDataSet>
      <sheetData sheetId="0" refreshError="1"/>
      <sheetData sheetId="1"/>
      <sheetData sheetId="2">
        <row r="3">
          <cell r="B3" t="str">
            <v>SB</v>
          </cell>
        </row>
        <row r="4">
          <cell r="B4" t="str">
            <v>AM</v>
          </cell>
        </row>
        <row r="5">
          <cell r="B5" t="str">
            <v>TI</v>
          </cell>
        </row>
        <row r="6">
          <cell r="B6" t="str">
            <v>IA</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hyperlink" Target="https://opendata.cbs.nl/statline/" TargetMode="External"/><Relationship Id="rId2" Type="http://schemas.openxmlformats.org/officeDocument/2006/relationships/hyperlink" Target="https://www.acm.nl/nl/publicaties/gewijzigd-methodebesluit-tennet-transporttaken-2017-2021" TargetMode="External"/><Relationship Id="rId1" Type="http://schemas.openxmlformats.org/officeDocument/2006/relationships/hyperlink" Target="https://support.office.com/nl-nl/article/de-invoegtoepassing-oplosser-laden-in-excel-612926fc-d53b-46b4-872c-e24772f078ca" TargetMode="External"/><Relationship Id="rId6" Type="http://schemas.openxmlformats.org/officeDocument/2006/relationships/printerSettings" Target="../printerSettings/printerSettings3.bin"/><Relationship Id="rId5" Type="http://schemas.openxmlformats.org/officeDocument/2006/relationships/hyperlink" Target="https://www.acm.nl/nl/publicaties/gewijzigd-methodebesluit-tennet-transport-2022-2026" TargetMode="External"/><Relationship Id="rId4" Type="http://schemas.openxmlformats.org/officeDocument/2006/relationships/hyperlink" Target="https://uitspraken.rechtspraak.nl/"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tabColor rgb="FFCCC8D9"/>
  </sheetPr>
  <dimension ref="B2:D37"/>
  <sheetViews>
    <sheetView showGridLines="0" tabSelected="1" zoomScale="85" zoomScaleNormal="85" workbookViewId="0">
      <pane ySplit="3" topLeftCell="A4" activePane="bottomLeft" state="frozen"/>
      <selection activeCell="O39" sqref="O39"/>
      <selection pane="bottomLeft"/>
    </sheetView>
  </sheetViews>
  <sheetFormatPr defaultColWidth="9.140625" defaultRowHeight="12.75"/>
  <cols>
    <col min="1" max="1" width="4.7109375" style="8" customWidth="1"/>
    <col min="2" max="2" width="39.85546875" style="8" customWidth="1"/>
    <col min="3" max="3" width="91.85546875" style="8" customWidth="1"/>
    <col min="4" max="16384" width="9.140625" style="8"/>
  </cols>
  <sheetData>
    <row r="2" spans="2:3" s="13" customFormat="1" ht="18">
      <c r="B2" s="13" t="s">
        <v>0</v>
      </c>
    </row>
    <row r="6" spans="2:3">
      <c r="B6" s="9"/>
    </row>
    <row r="13" spans="2:3" s="14" customFormat="1">
      <c r="B13" s="14" t="s">
        <v>1</v>
      </c>
    </row>
    <row r="15" spans="2:3">
      <c r="B15" s="15" t="s">
        <v>2</v>
      </c>
      <c r="C15" s="16" t="s">
        <v>491</v>
      </c>
    </row>
    <row r="16" spans="2:3">
      <c r="B16" s="15" t="s">
        <v>3</v>
      </c>
      <c r="C16" s="16" t="s">
        <v>562</v>
      </c>
    </row>
    <row r="17" spans="2:3">
      <c r="B17" s="15" t="s">
        <v>4</v>
      </c>
      <c r="C17" s="16" t="s">
        <v>486</v>
      </c>
    </row>
    <row r="18" spans="2:3">
      <c r="B18" s="15" t="s">
        <v>5</v>
      </c>
      <c r="C18" s="16" t="s">
        <v>492</v>
      </c>
    </row>
    <row r="19" spans="2:3">
      <c r="B19" s="15" t="s">
        <v>6</v>
      </c>
      <c r="C19" s="16" t="s">
        <v>486</v>
      </c>
    </row>
    <row r="20" spans="2:3">
      <c r="B20" s="15" t="s">
        <v>7</v>
      </c>
      <c r="C20" s="16" t="s">
        <v>493</v>
      </c>
    </row>
    <row r="21" spans="2:3">
      <c r="B21" s="15" t="s">
        <v>8</v>
      </c>
      <c r="C21" s="16" t="s">
        <v>561</v>
      </c>
    </row>
    <row r="22" spans="2:3">
      <c r="B22" s="15" t="s">
        <v>9</v>
      </c>
      <c r="C22" s="16" t="s">
        <v>486</v>
      </c>
    </row>
    <row r="25" spans="2:3" s="14" customFormat="1">
      <c r="B25" s="14" t="s">
        <v>10</v>
      </c>
    </row>
    <row r="27" spans="2:3">
      <c r="B27" s="15" t="s">
        <v>11</v>
      </c>
      <c r="C27" s="16" t="s">
        <v>236</v>
      </c>
    </row>
    <row r="28" spans="2:3">
      <c r="B28" s="16" t="s">
        <v>68</v>
      </c>
      <c r="C28" s="16" t="s">
        <v>236</v>
      </c>
    </row>
    <row r="29" spans="2:3" ht="25.5">
      <c r="B29" s="15" t="s">
        <v>12</v>
      </c>
      <c r="C29" s="16" t="s">
        <v>236</v>
      </c>
    </row>
    <row r="30" spans="2:3">
      <c r="B30" s="16" t="s">
        <v>67</v>
      </c>
      <c r="C30" s="16" t="s">
        <v>612</v>
      </c>
    </row>
    <row r="31" spans="2:3">
      <c r="B31" s="15" t="s">
        <v>13</v>
      </c>
      <c r="C31" s="16" t="s">
        <v>486</v>
      </c>
    </row>
    <row r="32" spans="2:3">
      <c r="B32" s="15" t="s">
        <v>9</v>
      </c>
      <c r="C32" s="16" t="s">
        <v>486</v>
      </c>
    </row>
    <row r="34" spans="2:4">
      <c r="B34" s="28"/>
      <c r="C34" s="28"/>
      <c r="D34" s="11"/>
    </row>
    <row r="35" spans="2:4" s="14" customFormat="1">
      <c r="B35" s="14" t="s">
        <v>14</v>
      </c>
    </row>
    <row r="37" spans="2:4">
      <c r="B37" s="129" t="s">
        <v>490</v>
      </c>
    </row>
  </sheetData>
  <pageMargins left="0.75" right="0.75" top="1" bottom="1" header="0.5" footer="0.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3">
    <tabColor rgb="FFFFFFCC"/>
  </sheetPr>
  <dimension ref="B2:T61"/>
  <sheetViews>
    <sheetView showGridLines="0" zoomScale="85" zoomScaleNormal="85" workbookViewId="0">
      <pane xSplit="4" ySplit="8" topLeftCell="E9" activePane="bottomRight" state="frozen"/>
      <selection activeCell="R6" sqref="R6"/>
      <selection pane="topRight" activeCell="R6" sqref="R6"/>
      <selection pane="bottomLeft" activeCell="R6" sqref="R6"/>
      <selection pane="bottomRight" activeCell="E9" sqref="E9"/>
    </sheetView>
  </sheetViews>
  <sheetFormatPr defaultColWidth="9.140625" defaultRowHeight="12.75"/>
  <cols>
    <col min="1" max="1" width="4.7109375" style="8" customWidth="1"/>
    <col min="2" max="2" width="65.7109375" style="8" customWidth="1"/>
    <col min="3" max="3" width="2.7109375" style="8" customWidth="1"/>
    <col min="4" max="4" width="13.7109375" style="8" customWidth="1"/>
    <col min="5" max="5" width="2.7109375" style="8" customWidth="1"/>
    <col min="6" max="6" width="13.7109375" style="8" customWidth="1"/>
    <col min="7" max="7" width="2.7109375" style="8" customWidth="1"/>
    <col min="8" max="9" width="13.7109375" style="8" customWidth="1"/>
    <col min="10" max="16" width="12.5703125" style="8" customWidth="1"/>
    <col min="17" max="17" width="2.7109375" style="8" customWidth="1"/>
    <col min="18" max="18" width="13.7109375" style="8" customWidth="1"/>
    <col min="19" max="19" width="2.7109375" style="8" customWidth="1"/>
    <col min="20" max="20" width="13.7109375" style="8" customWidth="1"/>
    <col min="21" max="21" width="2.7109375" style="8" customWidth="1"/>
    <col min="22" max="36" width="13.7109375" style="8" customWidth="1"/>
    <col min="37" max="16384" width="9.140625" style="8"/>
  </cols>
  <sheetData>
    <row r="2" spans="2:20" s="23" customFormat="1" ht="18">
      <c r="B2" s="23" t="s">
        <v>95</v>
      </c>
    </row>
    <row r="4" spans="2:20">
      <c r="B4" s="29" t="s">
        <v>56</v>
      </c>
      <c r="J4"/>
    </row>
    <row r="5" spans="2:20" ht="66.75" customHeight="1">
      <c r="B5" s="141" t="s">
        <v>289</v>
      </c>
      <c r="C5" s="141"/>
      <c r="D5" s="141"/>
      <c r="E5" s="42"/>
      <c r="F5" s="42"/>
    </row>
    <row r="7" spans="2:20" s="14" customFormat="1">
      <c r="B7" s="14" t="s">
        <v>45</v>
      </c>
      <c r="D7" s="14" t="s">
        <v>27</v>
      </c>
      <c r="F7" s="14" t="s">
        <v>28</v>
      </c>
      <c r="H7" s="109">
        <v>2018</v>
      </c>
      <c r="I7" s="109">
        <v>2019</v>
      </c>
      <c r="J7" s="109">
        <v>2020</v>
      </c>
      <c r="K7" s="109">
        <v>2021</v>
      </c>
      <c r="L7" s="109">
        <v>2022</v>
      </c>
      <c r="M7" s="109">
        <v>2023</v>
      </c>
      <c r="N7" s="109">
        <v>2024</v>
      </c>
      <c r="O7" s="109">
        <v>2025</v>
      </c>
      <c r="P7" s="109">
        <v>2026</v>
      </c>
      <c r="R7" s="14" t="s">
        <v>119</v>
      </c>
      <c r="T7" s="14" t="s">
        <v>47</v>
      </c>
    </row>
    <row r="10" spans="2:20" s="14" customFormat="1">
      <c r="B10" s="14" t="s">
        <v>48</v>
      </c>
    </row>
    <row r="12" spans="2:20">
      <c r="B12" s="7" t="s">
        <v>76</v>
      </c>
    </row>
    <row r="13" spans="2:20">
      <c r="B13" s="8" t="s">
        <v>87</v>
      </c>
      <c r="D13" s="8" t="s">
        <v>75</v>
      </c>
      <c r="F13" s="38"/>
      <c r="H13" s="43">
        <f>'2. Reguleringsparameters'!H21</f>
        <v>1.4E-2</v>
      </c>
      <c r="I13" s="43">
        <f>'2. Reguleringsparameters'!I21</f>
        <v>2.1000000000000001E-2</v>
      </c>
      <c r="J13" s="43">
        <f>'2. Reguleringsparameters'!J21</f>
        <v>2.8000000000000001E-2</v>
      </c>
      <c r="K13" s="43">
        <f>'2. Reguleringsparameters'!K21</f>
        <v>7.0000000000000001E-3</v>
      </c>
      <c r="L13" s="43">
        <f>'2. Reguleringsparameters'!L21</f>
        <v>1.7999999999999999E-2</v>
      </c>
      <c r="M13" s="43">
        <f>'2. Reguleringsparameters'!M21</f>
        <v>1.7999999999999999E-2</v>
      </c>
      <c r="N13" s="43">
        <f>'2. Reguleringsparameters'!N21</f>
        <v>1.7999999999999999E-2</v>
      </c>
      <c r="O13" s="43">
        <f>'2. Reguleringsparameters'!O21</f>
        <v>1.7999999999999999E-2</v>
      </c>
      <c r="P13" s="43">
        <f>'2. Reguleringsparameters'!P21</f>
        <v>1.7999999999999999E-2</v>
      </c>
    </row>
    <row r="15" spans="2:20">
      <c r="B15" s="7" t="s">
        <v>79</v>
      </c>
    </row>
    <row r="16" spans="2:20">
      <c r="B16" s="8" t="s">
        <v>79</v>
      </c>
      <c r="D16" s="8" t="s">
        <v>75</v>
      </c>
      <c r="F16" s="38"/>
      <c r="H16" s="43">
        <f>'2. Reguleringsparameters'!H32</f>
        <v>0</v>
      </c>
      <c r="I16" s="43">
        <f>'2. Reguleringsparameters'!I32</f>
        <v>0</v>
      </c>
      <c r="J16" s="43">
        <f>'2. Reguleringsparameters'!J32</f>
        <v>0</v>
      </c>
      <c r="K16" s="43">
        <f>'2. Reguleringsparameters'!K32</f>
        <v>0</v>
      </c>
      <c r="L16" s="43">
        <f>'2. Reguleringsparameters'!L32</f>
        <v>5.0000000000000001E-3</v>
      </c>
      <c r="M16" s="43">
        <f>'2. Reguleringsparameters'!M32</f>
        <v>5.0000000000000001E-3</v>
      </c>
      <c r="N16" s="43">
        <f>'2. Reguleringsparameters'!N32</f>
        <v>5.0000000000000001E-3</v>
      </c>
      <c r="O16" s="43">
        <f>'2. Reguleringsparameters'!O32</f>
        <v>5.0000000000000001E-3</v>
      </c>
      <c r="P16" s="43">
        <f>'2. Reguleringsparameters'!P32</f>
        <v>5.0000000000000001E-3</v>
      </c>
    </row>
    <row r="17" spans="2:16" s="48" customFormat="1">
      <c r="F17" s="64"/>
      <c r="H17" s="64"/>
      <c r="I17" s="64"/>
      <c r="J17" s="64"/>
      <c r="K17" s="64"/>
      <c r="L17" s="64"/>
      <c r="M17" s="64"/>
      <c r="N17" s="64"/>
      <c r="O17" s="64"/>
      <c r="P17" s="64"/>
    </row>
    <row r="18" spans="2:16">
      <c r="B18" s="7" t="s">
        <v>222</v>
      </c>
    </row>
    <row r="19" spans="2:16">
      <c r="B19" s="8" t="s">
        <v>169</v>
      </c>
      <c r="D19" s="8" t="s">
        <v>75</v>
      </c>
      <c r="H19" s="45"/>
      <c r="I19" s="45"/>
      <c r="J19" s="45"/>
      <c r="K19" s="45"/>
      <c r="L19" s="43">
        <f>'2. Reguleringsparameters'!L17</f>
        <v>3.3000000000000002E-2</v>
      </c>
      <c r="M19" s="43">
        <f>'2. Reguleringsparameters'!M17</f>
        <v>3.2000000000000001E-2</v>
      </c>
      <c r="N19" s="43">
        <f>'2. Reguleringsparameters'!N17</f>
        <v>3.6999999999999998E-2</v>
      </c>
      <c r="O19" s="43">
        <f>'2. Reguleringsparameters'!O17</f>
        <v>3.6999999999999998E-2</v>
      </c>
      <c r="P19" s="43">
        <f>'2. Reguleringsparameters'!P17</f>
        <v>3.6999999999999998E-2</v>
      </c>
    </row>
    <row r="20" spans="2:16">
      <c r="B20" s="7"/>
    </row>
    <row r="22" spans="2:16" s="14" customFormat="1">
      <c r="B22" s="14" t="s">
        <v>81</v>
      </c>
    </row>
    <row r="24" spans="2:16">
      <c r="B24" s="7" t="s">
        <v>219</v>
      </c>
    </row>
    <row r="25" spans="2:16">
      <c r="B25" s="39"/>
      <c r="F25" s="8" t="s">
        <v>77</v>
      </c>
      <c r="H25" s="8">
        <v>2018</v>
      </c>
      <c r="I25" s="8">
        <v>2019</v>
      </c>
      <c r="J25" s="8">
        <v>2020</v>
      </c>
      <c r="K25" s="8">
        <v>2021</v>
      </c>
      <c r="L25" s="8">
        <v>2022</v>
      </c>
      <c r="M25" s="8">
        <v>2023</v>
      </c>
      <c r="N25" s="8">
        <v>2024</v>
      </c>
      <c r="O25" s="8">
        <v>2025</v>
      </c>
      <c r="P25" s="8">
        <v>2026</v>
      </c>
    </row>
    <row r="26" spans="2:16">
      <c r="B26" s="8">
        <v>2018</v>
      </c>
      <c r="D26" s="8" t="s">
        <v>104</v>
      </c>
      <c r="F26" s="40">
        <f>1+H13</f>
        <v>1.014</v>
      </c>
      <c r="G26" s="110"/>
      <c r="H26" s="106">
        <v>1</v>
      </c>
      <c r="I26" s="40">
        <f>I27*$F27</f>
        <v>1.0209999999999999</v>
      </c>
      <c r="J26" s="40">
        <f t="shared" ref="J26:P32" si="0">J27*$F27</f>
        <v>1.049588</v>
      </c>
      <c r="K26" s="40">
        <f t="shared" si="0"/>
        <v>1.056935116</v>
      </c>
      <c r="L26" s="40">
        <f t="shared" si="0"/>
        <v>1.075959948088</v>
      </c>
      <c r="M26" s="40">
        <f t="shared" si="0"/>
        <v>1.0953272271535839</v>
      </c>
      <c r="N26" s="40">
        <f t="shared" si="0"/>
        <v>1.1150431172423485</v>
      </c>
      <c r="O26" s="40">
        <f t="shared" si="0"/>
        <v>1.1351138933527105</v>
      </c>
      <c r="P26" s="40">
        <f t="shared" si="0"/>
        <v>1.1555459434330595</v>
      </c>
    </row>
    <row r="27" spans="2:16">
      <c r="B27" s="8">
        <v>2019</v>
      </c>
      <c r="D27" s="8" t="s">
        <v>104</v>
      </c>
      <c r="F27" s="40">
        <f>1+I13</f>
        <v>1.0209999999999999</v>
      </c>
      <c r="G27" s="110"/>
      <c r="H27" s="111"/>
      <c r="I27" s="106">
        <v>1</v>
      </c>
      <c r="J27" s="40">
        <f>J28*$F28</f>
        <v>1.028</v>
      </c>
      <c r="K27" s="40">
        <f t="shared" si="0"/>
        <v>1.035196</v>
      </c>
      <c r="L27" s="40">
        <f t="shared" si="0"/>
        <v>1.0538295280000001</v>
      </c>
      <c r="M27" s="40">
        <f t="shared" si="0"/>
        <v>1.0727984595039999</v>
      </c>
      <c r="N27" s="40">
        <f t="shared" si="0"/>
        <v>1.092108831775072</v>
      </c>
      <c r="O27" s="40">
        <f t="shared" si="0"/>
        <v>1.1117667907470232</v>
      </c>
      <c r="P27" s="40">
        <f t="shared" si="0"/>
        <v>1.1317785929804698</v>
      </c>
    </row>
    <row r="28" spans="2:16">
      <c r="B28" s="8">
        <v>2020</v>
      </c>
      <c r="D28" s="8" t="s">
        <v>104</v>
      </c>
      <c r="F28" s="40">
        <f>1+J13</f>
        <v>1.028</v>
      </c>
      <c r="G28" s="110"/>
      <c r="H28" s="111"/>
      <c r="I28" s="111"/>
      <c r="J28" s="106">
        <v>1</v>
      </c>
      <c r="K28" s="40">
        <f>K29*$F29</f>
        <v>1.0069999999999999</v>
      </c>
      <c r="L28" s="40">
        <f t="shared" si="0"/>
        <v>1.025126</v>
      </c>
      <c r="M28" s="40">
        <f t="shared" si="0"/>
        <v>1.0435782679999999</v>
      </c>
      <c r="N28" s="40">
        <f t="shared" si="0"/>
        <v>1.062362676824</v>
      </c>
      <c r="O28" s="40">
        <f t="shared" si="0"/>
        <v>1.081485205006832</v>
      </c>
      <c r="P28" s="40">
        <f t="shared" si="0"/>
        <v>1.1009519386969551</v>
      </c>
    </row>
    <row r="29" spans="2:16">
      <c r="B29" s="8">
        <v>2021</v>
      </c>
      <c r="D29" s="8" t="s">
        <v>104</v>
      </c>
      <c r="F29" s="40">
        <f>1+K13</f>
        <v>1.0069999999999999</v>
      </c>
      <c r="G29" s="110"/>
      <c r="H29" s="111"/>
      <c r="I29" s="111"/>
      <c r="J29" s="111"/>
      <c r="K29" s="106">
        <v>1</v>
      </c>
      <c r="L29" s="40">
        <f>L30*$F30</f>
        <v>1.018</v>
      </c>
      <c r="M29" s="40">
        <f t="shared" si="0"/>
        <v>1.036324</v>
      </c>
      <c r="N29" s="40">
        <f t="shared" si="0"/>
        <v>1.0549778320000001</v>
      </c>
      <c r="O29" s="40">
        <f t="shared" si="0"/>
        <v>1.0739674329760001</v>
      </c>
      <c r="P29" s="40">
        <f t="shared" si="0"/>
        <v>1.0932988467695681</v>
      </c>
    </row>
    <row r="30" spans="2:16">
      <c r="B30" s="8">
        <v>2022</v>
      </c>
      <c r="D30" s="8" t="s">
        <v>104</v>
      </c>
      <c r="F30" s="40">
        <f>1+L13</f>
        <v>1.018</v>
      </c>
      <c r="G30" s="110"/>
      <c r="H30" s="111"/>
      <c r="I30" s="111"/>
      <c r="J30" s="111"/>
      <c r="K30" s="111"/>
      <c r="L30" s="106">
        <v>1</v>
      </c>
      <c r="M30" s="40">
        <f>M31*$F31</f>
        <v>1.018</v>
      </c>
      <c r="N30" s="40">
        <f t="shared" si="0"/>
        <v>1.036324</v>
      </c>
      <c r="O30" s="40">
        <f t="shared" si="0"/>
        <v>1.0549778320000001</v>
      </c>
      <c r="P30" s="40">
        <f t="shared" si="0"/>
        <v>1.0739674329760001</v>
      </c>
    </row>
    <row r="31" spans="2:16">
      <c r="B31" s="8">
        <v>2023</v>
      </c>
      <c r="D31" s="8" t="s">
        <v>104</v>
      </c>
      <c r="F31" s="40">
        <f>1+M13</f>
        <v>1.018</v>
      </c>
      <c r="G31" s="110"/>
      <c r="H31" s="111"/>
      <c r="I31" s="111"/>
      <c r="J31" s="111"/>
      <c r="K31" s="111"/>
      <c r="L31" s="111"/>
      <c r="M31" s="106">
        <v>1</v>
      </c>
      <c r="N31" s="40">
        <f>N32*$F32</f>
        <v>1.018</v>
      </c>
      <c r="O31" s="40">
        <f t="shared" si="0"/>
        <v>1.036324</v>
      </c>
      <c r="P31" s="40">
        <f t="shared" si="0"/>
        <v>1.0549778320000001</v>
      </c>
    </row>
    <row r="32" spans="2:16">
      <c r="B32" s="8">
        <v>2024</v>
      </c>
      <c r="D32" s="8" t="s">
        <v>104</v>
      </c>
      <c r="F32" s="40">
        <f>1+N13</f>
        <v>1.018</v>
      </c>
      <c r="G32" s="110"/>
      <c r="H32" s="111"/>
      <c r="I32" s="111"/>
      <c r="J32" s="111"/>
      <c r="K32" s="111"/>
      <c r="L32" s="111"/>
      <c r="M32" s="111"/>
      <c r="N32" s="106">
        <v>1</v>
      </c>
      <c r="O32" s="40">
        <f>O33*$F33</f>
        <v>1.018</v>
      </c>
      <c r="P32" s="40">
        <f t="shared" si="0"/>
        <v>1.036324</v>
      </c>
    </row>
    <row r="33" spans="2:16">
      <c r="B33" s="8">
        <v>2025</v>
      </c>
      <c r="D33" s="8" t="s">
        <v>104</v>
      </c>
      <c r="F33" s="40">
        <f>1+O13</f>
        <v>1.018</v>
      </c>
      <c r="G33" s="110"/>
      <c r="H33" s="111"/>
      <c r="I33" s="111"/>
      <c r="J33" s="111"/>
      <c r="K33" s="111"/>
      <c r="L33" s="111"/>
      <c r="M33" s="111"/>
      <c r="N33" s="111"/>
      <c r="O33" s="106">
        <v>1</v>
      </c>
      <c r="P33" s="40">
        <f>P34*$F34</f>
        <v>1.018</v>
      </c>
    </row>
    <row r="34" spans="2:16">
      <c r="B34" s="8">
        <v>2026</v>
      </c>
      <c r="D34" s="8" t="s">
        <v>104</v>
      </c>
      <c r="F34" s="40">
        <f>1+P13</f>
        <v>1.018</v>
      </c>
      <c r="G34" s="110"/>
      <c r="H34" s="111"/>
      <c r="I34" s="111"/>
      <c r="J34" s="111"/>
      <c r="K34" s="111"/>
      <c r="L34" s="111"/>
      <c r="M34" s="111"/>
      <c r="N34" s="111"/>
      <c r="O34" s="111"/>
      <c r="P34" s="106">
        <v>1</v>
      </c>
    </row>
    <row r="37" spans="2:16" s="14" customFormat="1">
      <c r="B37" s="14" t="s">
        <v>82</v>
      </c>
    </row>
    <row r="39" spans="2:16">
      <c r="B39" s="7" t="s">
        <v>218</v>
      </c>
    </row>
    <row r="40" spans="2:16">
      <c r="B40" s="39"/>
      <c r="F40" s="8" t="s">
        <v>257</v>
      </c>
      <c r="H40" s="8">
        <v>218</v>
      </c>
      <c r="I40" s="8">
        <v>2019</v>
      </c>
      <c r="J40" s="8">
        <v>2020</v>
      </c>
      <c r="K40" s="8">
        <v>2021</v>
      </c>
      <c r="L40" s="8">
        <v>2022</v>
      </c>
      <c r="M40" s="8">
        <v>2023</v>
      </c>
      <c r="N40" s="8">
        <v>2024</v>
      </c>
      <c r="O40" s="8">
        <v>2025</v>
      </c>
      <c r="P40" s="8">
        <v>2026</v>
      </c>
    </row>
    <row r="41" spans="2:16">
      <c r="B41" s="8">
        <v>2018</v>
      </c>
      <c r="D41" s="8" t="s">
        <v>205</v>
      </c>
      <c r="F41" s="40">
        <f>1-H16</f>
        <v>1</v>
      </c>
      <c r="H41" s="8">
        <v>1</v>
      </c>
      <c r="I41" s="40">
        <f>I42*$F42</f>
        <v>1</v>
      </c>
      <c r="J41" s="40">
        <f t="shared" ref="J41:P47" si="1">J42*$F42</f>
        <v>1</v>
      </c>
      <c r="K41" s="40">
        <f t="shared" si="1"/>
        <v>1</v>
      </c>
      <c r="L41" s="40">
        <f t="shared" si="1"/>
        <v>0.995</v>
      </c>
      <c r="M41" s="40">
        <f t="shared" si="1"/>
        <v>0.99002500000000004</v>
      </c>
      <c r="N41" s="40">
        <f t="shared" si="1"/>
        <v>0.98507487500000002</v>
      </c>
      <c r="O41" s="40">
        <f t="shared" si="1"/>
        <v>0.98014950062500006</v>
      </c>
      <c r="P41" s="40">
        <f t="shared" si="1"/>
        <v>0.97524875312187509</v>
      </c>
    </row>
    <row r="42" spans="2:16">
      <c r="B42" s="8">
        <v>2019</v>
      </c>
      <c r="D42" s="8" t="s">
        <v>205</v>
      </c>
      <c r="F42" s="40">
        <f>1-I16</f>
        <v>1</v>
      </c>
      <c r="H42" s="36"/>
      <c r="I42" s="8">
        <v>1</v>
      </c>
      <c r="J42" s="40">
        <f t="shared" si="1"/>
        <v>1</v>
      </c>
      <c r="K42" s="40">
        <f t="shared" si="1"/>
        <v>1</v>
      </c>
      <c r="L42" s="40">
        <f t="shared" si="1"/>
        <v>0.995</v>
      </c>
      <c r="M42" s="40">
        <f t="shared" si="1"/>
        <v>0.99002500000000004</v>
      </c>
      <c r="N42" s="40">
        <f t="shared" si="1"/>
        <v>0.98507487500000002</v>
      </c>
      <c r="O42" s="40">
        <f t="shared" si="1"/>
        <v>0.98014950062500006</v>
      </c>
      <c r="P42" s="40">
        <f t="shared" si="1"/>
        <v>0.97524875312187509</v>
      </c>
    </row>
    <row r="43" spans="2:16">
      <c r="B43" s="8">
        <v>2020</v>
      </c>
      <c r="D43" s="8" t="s">
        <v>205</v>
      </c>
      <c r="F43" s="40">
        <f>1-J16</f>
        <v>1</v>
      </c>
      <c r="H43" s="36"/>
      <c r="I43" s="36"/>
      <c r="J43" s="8">
        <v>1</v>
      </c>
      <c r="K43" s="40">
        <f>K44*$F44</f>
        <v>1</v>
      </c>
      <c r="L43" s="40">
        <f t="shared" si="1"/>
        <v>0.995</v>
      </c>
      <c r="M43" s="40">
        <f t="shared" si="1"/>
        <v>0.99002500000000004</v>
      </c>
      <c r="N43" s="40">
        <f t="shared" si="1"/>
        <v>0.98507487500000002</v>
      </c>
      <c r="O43" s="40">
        <f t="shared" si="1"/>
        <v>0.98014950062500006</v>
      </c>
      <c r="P43" s="40">
        <f t="shared" si="1"/>
        <v>0.97524875312187509</v>
      </c>
    </row>
    <row r="44" spans="2:16">
      <c r="B44" s="8">
        <v>2021</v>
      </c>
      <c r="D44" s="8" t="s">
        <v>205</v>
      </c>
      <c r="F44" s="40">
        <f>1-K16</f>
        <v>1</v>
      </c>
      <c r="H44" s="36"/>
      <c r="I44" s="36"/>
      <c r="J44" s="36"/>
      <c r="K44" s="8">
        <v>1</v>
      </c>
      <c r="L44" s="40">
        <f>L45*$F45</f>
        <v>0.995</v>
      </c>
      <c r="M44" s="40">
        <f t="shared" si="1"/>
        <v>0.99002500000000004</v>
      </c>
      <c r="N44" s="40">
        <f t="shared" si="1"/>
        <v>0.98507487500000002</v>
      </c>
      <c r="O44" s="40">
        <f t="shared" si="1"/>
        <v>0.98014950062500006</v>
      </c>
      <c r="P44" s="40">
        <f t="shared" si="1"/>
        <v>0.97524875312187509</v>
      </c>
    </row>
    <row r="45" spans="2:16">
      <c r="B45" s="8">
        <v>2022</v>
      </c>
      <c r="D45" s="8" t="s">
        <v>205</v>
      </c>
      <c r="F45" s="40">
        <f>1-L16</f>
        <v>0.995</v>
      </c>
      <c r="H45" s="36"/>
      <c r="I45" s="36"/>
      <c r="J45" s="36"/>
      <c r="K45" s="36"/>
      <c r="L45" s="8">
        <v>1</v>
      </c>
      <c r="M45" s="40">
        <f>M46*$F46</f>
        <v>0.995</v>
      </c>
      <c r="N45" s="40">
        <f t="shared" si="1"/>
        <v>0.99002500000000004</v>
      </c>
      <c r="O45" s="40">
        <f t="shared" si="1"/>
        <v>0.98507487500000002</v>
      </c>
      <c r="P45" s="40">
        <f t="shared" si="1"/>
        <v>0.98014950062500006</v>
      </c>
    </row>
    <row r="46" spans="2:16">
      <c r="B46" s="8">
        <v>2023</v>
      </c>
      <c r="D46" s="8" t="s">
        <v>205</v>
      </c>
      <c r="F46" s="40">
        <f>1-M16</f>
        <v>0.995</v>
      </c>
      <c r="H46" s="36"/>
      <c r="I46" s="36"/>
      <c r="J46" s="36"/>
      <c r="K46" s="36"/>
      <c r="L46" s="36"/>
      <c r="M46" s="8">
        <v>1</v>
      </c>
      <c r="N46" s="40">
        <f>N47*$F47</f>
        <v>0.995</v>
      </c>
      <c r="O46" s="40">
        <f t="shared" si="1"/>
        <v>0.99002500000000004</v>
      </c>
      <c r="P46" s="40">
        <f t="shared" si="1"/>
        <v>0.98507487500000002</v>
      </c>
    </row>
    <row r="47" spans="2:16">
      <c r="B47" s="8">
        <v>2024</v>
      </c>
      <c r="D47" s="8" t="s">
        <v>205</v>
      </c>
      <c r="F47" s="40">
        <f>1-N16</f>
        <v>0.995</v>
      </c>
      <c r="H47" s="36"/>
      <c r="I47" s="36"/>
      <c r="J47" s="36"/>
      <c r="K47" s="36"/>
      <c r="L47" s="36"/>
      <c r="M47" s="36"/>
      <c r="N47" s="8">
        <v>1</v>
      </c>
      <c r="O47" s="40">
        <f>O48*$F48</f>
        <v>0.995</v>
      </c>
      <c r="P47" s="40">
        <f t="shared" si="1"/>
        <v>0.99002500000000004</v>
      </c>
    </row>
    <row r="48" spans="2:16">
      <c r="B48" s="8">
        <v>2025</v>
      </c>
      <c r="D48" s="8" t="s">
        <v>205</v>
      </c>
      <c r="F48" s="40">
        <f>1-O16</f>
        <v>0.995</v>
      </c>
      <c r="H48" s="36"/>
      <c r="I48" s="36"/>
      <c r="J48" s="36"/>
      <c r="K48" s="36"/>
      <c r="L48" s="36"/>
      <c r="M48" s="36"/>
      <c r="N48" s="36"/>
      <c r="O48" s="8">
        <v>1</v>
      </c>
      <c r="P48" s="40">
        <f>P49*$F49</f>
        <v>0.995</v>
      </c>
    </row>
    <row r="49" spans="2:16">
      <c r="B49" s="8">
        <v>2026</v>
      </c>
      <c r="D49" s="8" t="s">
        <v>205</v>
      </c>
      <c r="F49" s="40">
        <f>1-P16</f>
        <v>0.995</v>
      </c>
      <c r="H49" s="36"/>
      <c r="I49" s="36"/>
      <c r="J49" s="36"/>
      <c r="K49" s="36"/>
      <c r="L49" s="36"/>
      <c r="M49" s="36"/>
      <c r="N49" s="36"/>
      <c r="O49" s="36"/>
      <c r="P49" s="8">
        <v>1</v>
      </c>
    </row>
    <row r="53" spans="2:16" s="1" customFormat="1">
      <c r="B53" s="1" t="s">
        <v>220</v>
      </c>
    </row>
    <row r="55" spans="2:16">
      <c r="B55" s="103" t="s">
        <v>223</v>
      </c>
    </row>
    <row r="56" spans="2:16">
      <c r="B56" s="39"/>
      <c r="F56" s="8" t="s">
        <v>221</v>
      </c>
      <c r="J56" s="39"/>
      <c r="L56" s="8">
        <v>2022</v>
      </c>
      <c r="M56" s="8">
        <v>2023</v>
      </c>
      <c r="N56" s="8">
        <v>2024</v>
      </c>
      <c r="O56" s="8">
        <v>2025</v>
      </c>
      <c r="P56" s="8">
        <v>2026</v>
      </c>
    </row>
    <row r="57" spans="2:16">
      <c r="B57" s="8">
        <v>2022</v>
      </c>
      <c r="D57" s="8" t="s">
        <v>104</v>
      </c>
      <c r="F57" s="40">
        <f>1+L19</f>
        <v>1.0329999999999999</v>
      </c>
      <c r="L57" s="8">
        <f>1</f>
        <v>1</v>
      </c>
      <c r="M57" s="40">
        <f>M58*$F58</f>
        <v>1.032</v>
      </c>
      <c r="N57" s="40">
        <f>N58*$F58</f>
        <v>1.070184</v>
      </c>
      <c r="O57" s="40">
        <f>O58*$F58</f>
        <v>1.1097808079999998</v>
      </c>
      <c r="P57" s="40">
        <f>P58*$F58</f>
        <v>1.1508426978959998</v>
      </c>
    </row>
    <row r="58" spans="2:16">
      <c r="B58" s="8">
        <v>2023</v>
      </c>
      <c r="D58" s="8" t="s">
        <v>104</v>
      </c>
      <c r="F58" s="40">
        <f>1+M19</f>
        <v>1.032</v>
      </c>
      <c r="L58" s="36"/>
      <c r="M58" s="8">
        <f>1</f>
        <v>1</v>
      </c>
      <c r="N58" s="40">
        <f>N59*$F59</f>
        <v>1.0369999999999999</v>
      </c>
      <c r="O58" s="40">
        <f>O59*$F59</f>
        <v>1.0753689999999998</v>
      </c>
      <c r="P58" s="40">
        <f>P59*$F59</f>
        <v>1.1151576529999998</v>
      </c>
    </row>
    <row r="59" spans="2:16">
      <c r="B59" s="8">
        <v>2024</v>
      </c>
      <c r="D59" s="8" t="s">
        <v>104</v>
      </c>
      <c r="F59" s="40">
        <f>1+N19</f>
        <v>1.0369999999999999</v>
      </c>
      <c r="L59" s="36"/>
      <c r="M59" s="36"/>
      <c r="N59" s="8">
        <f>1</f>
        <v>1</v>
      </c>
      <c r="O59" s="40">
        <f>O60*$F60</f>
        <v>1.0369999999999999</v>
      </c>
      <c r="P59" s="40">
        <f>P60*$F60</f>
        <v>1.0753689999999998</v>
      </c>
    </row>
    <row r="60" spans="2:16">
      <c r="B60" s="8">
        <v>2025</v>
      </c>
      <c r="D60" s="8" t="s">
        <v>104</v>
      </c>
      <c r="F60" s="40">
        <f>1+O19</f>
        <v>1.0369999999999999</v>
      </c>
      <c r="L60" s="36"/>
      <c r="M60" s="36"/>
      <c r="N60" s="36"/>
      <c r="O60" s="8">
        <f>1</f>
        <v>1</v>
      </c>
      <c r="P60" s="40">
        <f>P61*$F61</f>
        <v>1.0369999999999999</v>
      </c>
    </row>
    <row r="61" spans="2:16">
      <c r="B61" s="8">
        <v>2026</v>
      </c>
      <c r="D61" s="8" t="s">
        <v>104</v>
      </c>
      <c r="F61" s="40">
        <f>1+P19</f>
        <v>1.0369999999999999</v>
      </c>
      <c r="L61" s="36"/>
      <c r="M61" s="36"/>
      <c r="N61" s="36"/>
      <c r="O61" s="36"/>
      <c r="P61" s="8">
        <f>1</f>
        <v>1</v>
      </c>
    </row>
  </sheetData>
  <mergeCells count="1">
    <mergeCell ref="B5:D5"/>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4">
    <tabColor rgb="FFFFFFCC"/>
  </sheetPr>
  <dimension ref="B2:N56"/>
  <sheetViews>
    <sheetView showGridLines="0" zoomScale="85" zoomScaleNormal="85" workbookViewId="0">
      <pane xSplit="4" ySplit="8" topLeftCell="E9" activePane="bottomRight" state="frozen"/>
      <selection activeCell="R6" sqref="R6"/>
      <selection pane="topRight" activeCell="R6" sqref="R6"/>
      <selection pane="bottomLeft" activeCell="R6" sqref="R6"/>
      <selection pane="bottomRight" activeCell="E9" sqref="E9"/>
    </sheetView>
  </sheetViews>
  <sheetFormatPr defaultColWidth="9.140625" defaultRowHeight="12.75"/>
  <cols>
    <col min="1" max="1" width="4.7109375" style="8" customWidth="1"/>
    <col min="2" max="2" width="75.7109375" style="8" customWidth="1"/>
    <col min="3" max="3" width="2.7109375" style="8" customWidth="1"/>
    <col min="4" max="4" width="13.7109375" style="8" customWidth="1"/>
    <col min="5" max="5" width="2.7109375" style="8" customWidth="1"/>
    <col min="6" max="6" width="16.7109375" style="8" customWidth="1"/>
    <col min="7" max="7" width="3" style="8" bestFit="1" customWidth="1"/>
    <col min="8" max="12" width="16.7109375" style="8" customWidth="1"/>
    <col min="13" max="13" width="2.7109375" style="8" customWidth="1"/>
    <col min="14" max="14" width="16.7109375" style="25" customWidth="1"/>
    <col min="15" max="15" width="4.7109375" style="8" customWidth="1"/>
    <col min="16" max="16384" width="9.140625" style="8"/>
  </cols>
  <sheetData>
    <row r="2" spans="2:14" s="2" customFormat="1" ht="18">
      <c r="B2" s="2" t="s">
        <v>120</v>
      </c>
    </row>
    <row r="4" spans="2:14">
      <c r="B4" s="29" t="s">
        <v>56</v>
      </c>
    </row>
    <row r="5" spans="2:14" ht="74.25" customHeight="1">
      <c r="B5" s="141" t="s">
        <v>298</v>
      </c>
      <c r="C5" s="141"/>
    </row>
    <row r="7" spans="2:14" s="1" customFormat="1">
      <c r="B7" s="1" t="s">
        <v>45</v>
      </c>
      <c r="D7" s="1" t="s">
        <v>27</v>
      </c>
      <c r="F7" s="1" t="s">
        <v>28</v>
      </c>
      <c r="H7" s="1">
        <v>2022</v>
      </c>
      <c r="I7" s="1">
        <v>2023</v>
      </c>
      <c r="J7" s="1">
        <v>2024</v>
      </c>
      <c r="K7" s="1">
        <v>2025</v>
      </c>
      <c r="L7" s="1">
        <v>2026</v>
      </c>
      <c r="N7" s="1" t="s">
        <v>119</v>
      </c>
    </row>
    <row r="10" spans="2:14" s="1" customFormat="1">
      <c r="B10" s="1" t="s">
        <v>48</v>
      </c>
    </row>
    <row r="12" spans="2:14">
      <c r="B12" s="29" t="s">
        <v>88</v>
      </c>
    </row>
    <row r="13" spans="2:14">
      <c r="B13" s="8" t="s">
        <v>473</v>
      </c>
      <c r="D13" s="8" t="s">
        <v>75</v>
      </c>
      <c r="H13" s="116">
        <f>'2. Reguleringsparameters'!L15</f>
        <v>2.4E-2</v>
      </c>
      <c r="I13" s="116">
        <f>'2. Reguleringsparameters'!M15</f>
        <v>2.3E-2</v>
      </c>
      <c r="J13" s="116">
        <f>'2. Reguleringsparameters'!N15</f>
        <v>2.8000000000000001E-2</v>
      </c>
      <c r="K13" s="116">
        <f>'2. Reguleringsparameters'!O15</f>
        <v>2.8000000000000001E-2</v>
      </c>
      <c r="L13" s="116">
        <f>'2. Reguleringsparameters'!P15</f>
        <v>2.8000000000000001E-2</v>
      </c>
    </row>
    <row r="14" spans="2:14">
      <c r="H14" s="55"/>
      <c r="I14" s="55"/>
      <c r="J14" s="55"/>
      <c r="K14" s="55"/>
      <c r="L14" s="55"/>
    </row>
    <row r="15" spans="2:14">
      <c r="B15" s="7" t="s">
        <v>242</v>
      </c>
      <c r="H15" s="55"/>
      <c r="I15" s="55"/>
      <c r="J15" s="55"/>
      <c r="K15" s="55"/>
      <c r="L15" s="55"/>
    </row>
    <row r="16" spans="2:14">
      <c r="B16" s="8" t="s">
        <v>264</v>
      </c>
      <c r="D16" s="8" t="s">
        <v>75</v>
      </c>
      <c r="F16" s="117">
        <f>'2. Reguleringsparameters'!F41</f>
        <v>1</v>
      </c>
      <c r="H16" s="55"/>
      <c r="I16" s="55"/>
      <c r="J16" s="55"/>
      <c r="K16" s="55"/>
      <c r="L16" s="55"/>
    </row>
    <row r="17" spans="2:12">
      <c r="H17" s="55"/>
      <c r="I17" s="55"/>
      <c r="J17" s="55"/>
      <c r="K17" s="55"/>
      <c r="L17" s="55"/>
    </row>
    <row r="18" spans="2:12">
      <c r="B18" s="7" t="s">
        <v>121</v>
      </c>
      <c r="F18" s="48"/>
      <c r="G18" s="48"/>
      <c r="H18" s="48"/>
      <c r="I18" s="48"/>
      <c r="J18" s="48"/>
      <c r="K18" s="49"/>
      <c r="L18" s="49"/>
    </row>
    <row r="19" spans="2:12">
      <c r="B19" s="8" t="s">
        <v>111</v>
      </c>
      <c r="D19" s="8" t="s">
        <v>80</v>
      </c>
      <c r="F19" s="48"/>
      <c r="G19" s="48"/>
      <c r="H19" s="34">
        <f>'3. GAW model'!L15</f>
        <v>91851114.842521295</v>
      </c>
      <c r="I19" s="34">
        <f>'3. GAW model'!M15</f>
        <v>92419829.829167292</v>
      </c>
      <c r="J19" s="34">
        <f>'3. GAW model'!N15</f>
        <v>92159328.35934785</v>
      </c>
      <c r="K19" s="34">
        <f>'3. GAW model'!O15</f>
        <v>92333385.163519576</v>
      </c>
      <c r="L19" s="34">
        <f>'3. GAW model'!P15</f>
        <v>43788968.535590015</v>
      </c>
    </row>
    <row r="20" spans="2:12">
      <c r="B20" s="8" t="s">
        <v>112</v>
      </c>
      <c r="D20" s="8" t="s">
        <v>80</v>
      </c>
      <c r="F20" s="48"/>
      <c r="G20" s="48"/>
      <c r="H20" s="34">
        <f>'3. GAW model'!L16</f>
        <v>1593554583.9909317</v>
      </c>
      <c r="I20" s="34">
        <f>'3. GAW model'!M16</f>
        <v>1515476745.4176815</v>
      </c>
      <c r="J20" s="34">
        <f>'3. GAW model'!N16</f>
        <v>1436956707.7670937</v>
      </c>
      <c r="K20" s="34">
        <f>'3. GAW model'!O16</f>
        <v>1357555932.9734786</v>
      </c>
      <c r="L20" s="34">
        <f>'3. GAW model'!P16</f>
        <v>1325984967.8346488</v>
      </c>
    </row>
    <row r="21" spans="2:12">
      <c r="B21" s="8" t="s">
        <v>272</v>
      </c>
      <c r="D21" s="8" t="s">
        <v>80</v>
      </c>
      <c r="F21" s="48"/>
      <c r="G21" s="48"/>
      <c r="H21" s="34">
        <f>'3. GAW model'!L17</f>
        <v>7334471.3939507464</v>
      </c>
      <c r="I21" s="34">
        <f>'3. GAW model'!M17</f>
        <v>7303675.2058256818</v>
      </c>
      <c r="J21" s="34">
        <f>'3. GAW model'!N17</f>
        <v>7252723.3806415042</v>
      </c>
      <c r="K21" s="34">
        <f>'3. GAW model'!O17</f>
        <v>7106170.9986589514</v>
      </c>
      <c r="L21" s="34">
        <f>'3. GAW model'!P17</f>
        <v>5160907.6578129688</v>
      </c>
    </row>
    <row r="22" spans="2:12">
      <c r="B22" s="8" t="s">
        <v>113</v>
      </c>
      <c r="D22" s="8" t="s">
        <v>80</v>
      </c>
      <c r="F22" s="48"/>
      <c r="G22" s="48"/>
      <c r="H22" s="34">
        <f>'3. GAW model'!L18</f>
        <v>316953472.35924375</v>
      </c>
      <c r="I22" s="34">
        <f>'3. GAW model'!M18</f>
        <v>312502378.40465128</v>
      </c>
      <c r="J22" s="34">
        <f>'3. GAW model'!N18</f>
        <v>308062176.4296515</v>
      </c>
      <c r="K22" s="34">
        <f>'3. GAW model'!O18</f>
        <v>303728565.01885933</v>
      </c>
      <c r="L22" s="34">
        <f>'3. GAW model'!P18</f>
        <v>301301214.44621629</v>
      </c>
    </row>
    <row r="23" spans="2:12">
      <c r="B23" s="8" t="s">
        <v>476</v>
      </c>
      <c r="D23" s="8" t="s">
        <v>80</v>
      </c>
      <c r="F23" s="48"/>
      <c r="G23" s="48"/>
      <c r="H23" s="34">
        <f>'3. GAW model'!L19</f>
        <v>7656071.8244040236</v>
      </c>
      <c r="I23" s="34">
        <f>'3. GAW model'!M19</f>
        <v>7724976.4708236568</v>
      </c>
      <c r="J23" s="34">
        <f>'3. GAW model'!N19</f>
        <v>7471442.3596959189</v>
      </c>
      <c r="K23" s="34">
        <f>'3. GAW model'!O19</f>
        <v>6560786.0525548644</v>
      </c>
      <c r="L23" s="34">
        <f>'3. GAW model'!P19</f>
        <v>6619833.127027858</v>
      </c>
    </row>
    <row r="24" spans="2:12">
      <c r="B24" s="8" t="s">
        <v>477</v>
      </c>
      <c r="D24" s="8" t="s">
        <v>80</v>
      </c>
      <c r="F24" s="48"/>
      <c r="G24" s="48"/>
      <c r="H24" s="34">
        <f>'3. GAW model'!L20</f>
        <v>232612937.01180607</v>
      </c>
      <c r="I24" s="34">
        <f>'3. GAW model'!M20</f>
        <v>226981476.97408861</v>
      </c>
      <c r="J24" s="34">
        <f>'3. GAW model'!N20</f>
        <v>221552867.90715945</v>
      </c>
      <c r="K24" s="34">
        <f>'3. GAW model'!O20</f>
        <v>216986057.66576904</v>
      </c>
      <c r="L24" s="34">
        <f>'3. GAW model'!P20</f>
        <v>212319099.05773306</v>
      </c>
    </row>
    <row r="25" spans="2:12">
      <c r="B25" s="8" t="s">
        <v>478</v>
      </c>
      <c r="D25" s="8" t="s">
        <v>80</v>
      </c>
      <c r="F25" s="48"/>
      <c r="G25" s="48"/>
      <c r="H25" s="34">
        <f>'3. GAW model'!L21</f>
        <v>723064.62560992781</v>
      </c>
      <c r="I25" s="34">
        <f>'3. GAW model'!M21</f>
        <v>729572.20724041725</v>
      </c>
      <c r="J25" s="34">
        <f>'3. GAW model'!N21</f>
        <v>736138.35710558074</v>
      </c>
      <c r="K25" s="34">
        <f>'3. GAW model'!O21</f>
        <v>742763.60231953091</v>
      </c>
      <c r="L25" s="34">
        <f>'3. GAW model'!P21</f>
        <v>749448.47474040661</v>
      </c>
    </row>
    <row r="26" spans="2:12">
      <c r="B26" s="8" t="s">
        <v>479</v>
      </c>
      <c r="D26" s="8" t="s">
        <v>80</v>
      </c>
      <c r="F26" s="48"/>
      <c r="G26" s="48"/>
      <c r="H26" s="34">
        <f>'3. GAW model'!L22</f>
        <v>26572625.214475397</v>
      </c>
      <c r="I26" s="34">
        <f>'3. GAW model'!M22</f>
        <v>26082206.634165261</v>
      </c>
      <c r="J26" s="34">
        <f>'3. GAW model'!N22</f>
        <v>25580808.136767168</v>
      </c>
      <c r="K26" s="34">
        <f>'3. GAW model'!O22</f>
        <v>25068271.807678536</v>
      </c>
      <c r="L26" s="34">
        <f>'3. GAW model'!P22</f>
        <v>24544437.77920723</v>
      </c>
    </row>
    <row r="27" spans="2:12">
      <c r="F27" s="48"/>
      <c r="G27" s="48"/>
      <c r="H27" s="48"/>
      <c r="I27" s="48"/>
      <c r="J27" s="48"/>
      <c r="K27" s="48"/>
      <c r="L27" s="48"/>
    </row>
    <row r="28" spans="2:12">
      <c r="B28" s="7" t="s">
        <v>122</v>
      </c>
      <c r="F28" s="48"/>
      <c r="G28" s="48"/>
      <c r="H28" s="48"/>
      <c r="I28" s="48"/>
      <c r="J28" s="48"/>
      <c r="K28" s="48"/>
      <c r="L28" s="48"/>
    </row>
    <row r="29" spans="2:12">
      <c r="B29" s="8" t="s">
        <v>114</v>
      </c>
      <c r="D29" s="8" t="s">
        <v>80</v>
      </c>
      <c r="F29" s="48"/>
      <c r="G29" s="48"/>
      <c r="H29" s="34">
        <f>'3. GAW model'!L26</f>
        <v>108052988.99631904</v>
      </c>
      <c r="I29" s="34">
        <f>'3. GAW model'!M26</f>
        <v>108477037.51986828</v>
      </c>
      <c r="J29" s="34">
        <f>'3. GAW model'!N26</f>
        <v>104508195.84862889</v>
      </c>
      <c r="K29" s="34">
        <f>'3. GAW model'!O26</f>
        <v>88815353.497609496</v>
      </c>
      <c r="L29" s="34">
        <f>'3. GAW model'!P26</f>
        <v>82131106.10614346</v>
      </c>
    </row>
    <row r="30" spans="2:12">
      <c r="B30" s="8" t="s">
        <v>143</v>
      </c>
      <c r="D30" s="8" t="s">
        <v>80</v>
      </c>
      <c r="F30" s="48"/>
      <c r="G30" s="48"/>
      <c r="H30" s="34">
        <f>'3. GAW model'!L27</f>
        <v>1825011873.621788</v>
      </c>
      <c r="I30" s="34">
        <f>'3. GAW model'!M27</f>
        <v>1732959942.9645152</v>
      </c>
      <c r="J30" s="34">
        <f>'3. GAW model'!N27</f>
        <v>1644048386.6025686</v>
      </c>
      <c r="K30" s="34">
        <f>'3. GAW model'!O27</f>
        <v>1570029468.5843813</v>
      </c>
      <c r="L30" s="34">
        <f>'3. GAW model'!P27</f>
        <v>1502028627.6954982</v>
      </c>
    </row>
    <row r="31" spans="2:12">
      <c r="B31" s="8" t="s">
        <v>144</v>
      </c>
      <c r="D31" s="8" t="s">
        <v>80</v>
      </c>
      <c r="F31" s="48"/>
      <c r="G31" s="48"/>
      <c r="H31" s="34">
        <f>'3. GAW model'!L28</f>
        <v>11254489.916840849</v>
      </c>
      <c r="I31" s="34">
        <f>'3. GAW model'!M28</f>
        <v>11024097.279684626</v>
      </c>
      <c r="J31" s="34">
        <f>'3. GAW model'!N28</f>
        <v>10677458.12047017</v>
      </c>
      <c r="K31" s="34">
        <f>'3. GAW model'!O28</f>
        <v>9260872.0300318729</v>
      </c>
      <c r="L31" s="34">
        <f>'3. GAW model'!P28</f>
        <v>7397483.8894698303</v>
      </c>
    </row>
    <row r="32" spans="2:12">
      <c r="B32" s="8" t="s">
        <v>116</v>
      </c>
      <c r="D32" s="8" t="s">
        <v>80</v>
      </c>
      <c r="F32" s="48"/>
      <c r="G32" s="48"/>
      <c r="H32" s="34">
        <f>'3. GAW model'!L29</f>
        <v>224327201.32193375</v>
      </c>
      <c r="I32" s="34">
        <f>'3. GAW model'!M29</f>
        <v>215322048.85414675</v>
      </c>
      <c r="J32" s="34">
        <f>'3. GAW model'!N29</f>
        <v>206582489.17336366</v>
      </c>
      <c r="K32" s="34">
        <f>'3. GAW model'!O29</f>
        <v>199180859.54589206</v>
      </c>
      <c r="L32" s="34">
        <f>'3. GAW model'!P29</f>
        <v>193576003.39233527</v>
      </c>
    </row>
    <row r="33" spans="2:14">
      <c r="F33" s="48"/>
      <c r="G33" s="48"/>
      <c r="H33" s="48"/>
      <c r="I33" s="48"/>
      <c r="J33" s="48"/>
      <c r="K33" s="49"/>
      <c r="L33" s="49"/>
    </row>
    <row r="34" spans="2:14" s="1" customFormat="1">
      <c r="B34" s="1" t="s">
        <v>202</v>
      </c>
    </row>
    <row r="35" spans="2:14">
      <c r="F35" s="48"/>
      <c r="G35" s="48"/>
      <c r="H35" s="48"/>
      <c r="I35" s="48"/>
      <c r="J35" s="48"/>
      <c r="K35" s="48"/>
      <c r="L35" s="48"/>
    </row>
    <row r="36" spans="2:14">
      <c r="B36" s="7" t="s">
        <v>118</v>
      </c>
      <c r="F36" s="48"/>
      <c r="G36" s="48"/>
      <c r="H36" s="48"/>
      <c r="I36" s="48"/>
      <c r="J36" s="48"/>
      <c r="K36" s="48"/>
      <c r="L36" s="48"/>
    </row>
    <row r="37" spans="2:14">
      <c r="B37" s="8" t="s">
        <v>141</v>
      </c>
      <c r="D37" s="8" t="s">
        <v>80</v>
      </c>
      <c r="F37" s="48"/>
      <c r="G37" s="48"/>
      <c r="H37" s="35">
        <f>H$13*H20</f>
        <v>38245310.015782364</v>
      </c>
      <c r="I37" s="35">
        <f>I$13*I20</f>
        <v>34855965.144606672</v>
      </c>
      <c r="J37" s="35">
        <f>J$13*J20</f>
        <v>40234787.817478627</v>
      </c>
      <c r="K37" s="35">
        <f>K$13*K20</f>
        <v>38011566.123257399</v>
      </c>
      <c r="L37" s="35">
        <f>L$13*L20</f>
        <v>37127579.099370167</v>
      </c>
      <c r="N37" s="25">
        <v>7</v>
      </c>
    </row>
    <row r="38" spans="2:14">
      <c r="B38" s="8" t="s">
        <v>273</v>
      </c>
      <c r="D38" s="8" t="s">
        <v>80</v>
      </c>
      <c r="F38" s="48"/>
      <c r="G38" s="48"/>
      <c r="H38" s="35">
        <f>H$13*H22</f>
        <v>7606883.3366218498</v>
      </c>
      <c r="I38" s="35">
        <f>I$13*I22</f>
        <v>7187554.7033069795</v>
      </c>
      <c r="J38" s="35">
        <f>J$13*J22</f>
        <v>8625740.9400302414</v>
      </c>
      <c r="K38" s="35">
        <f>K$13*K22</f>
        <v>8504399.8205280621</v>
      </c>
      <c r="L38" s="35">
        <f>L$13*L22</f>
        <v>8436434.0044940561</v>
      </c>
      <c r="N38" s="25">
        <v>7</v>
      </c>
    </row>
    <row r="39" spans="2:14">
      <c r="B39" s="8" t="s">
        <v>480</v>
      </c>
      <c r="D39" s="8" t="s">
        <v>80</v>
      </c>
      <c r="F39" s="48"/>
      <c r="G39" s="48"/>
      <c r="H39" s="35">
        <f>H$13*H24</f>
        <v>5582710.4882833455</v>
      </c>
      <c r="I39" s="35">
        <f t="shared" ref="I39:L39" si="0">I$13*I24</f>
        <v>5220573.9704040382</v>
      </c>
      <c r="J39" s="35">
        <f t="shared" si="0"/>
        <v>6203480.301400465</v>
      </c>
      <c r="K39" s="35">
        <f t="shared" si="0"/>
        <v>6075609.6146415332</v>
      </c>
      <c r="L39" s="35">
        <f t="shared" si="0"/>
        <v>5944934.7736165253</v>
      </c>
      <c r="N39" s="25">
        <v>7</v>
      </c>
    </row>
    <row r="40" spans="2:14">
      <c r="B40" s="8" t="s">
        <v>481</v>
      </c>
      <c r="D40" s="8" t="s">
        <v>80</v>
      </c>
      <c r="F40" s="48"/>
      <c r="G40" s="48"/>
      <c r="H40" s="35">
        <f>H$13*H26</f>
        <v>637743.00514740951</v>
      </c>
      <c r="I40" s="35">
        <f t="shared" ref="I40:L40" si="1">I$13*I26</f>
        <v>599890.75258580095</v>
      </c>
      <c r="J40" s="35">
        <f t="shared" si="1"/>
        <v>716262.62782948068</v>
      </c>
      <c r="K40" s="35">
        <f t="shared" si="1"/>
        <v>701911.61061499896</v>
      </c>
      <c r="L40" s="35">
        <f t="shared" si="1"/>
        <v>687244.25781780249</v>
      </c>
      <c r="N40" s="25">
        <v>7</v>
      </c>
    </row>
    <row r="41" spans="2:14">
      <c r="F41" s="48"/>
      <c r="G41" s="48"/>
      <c r="H41" s="48"/>
      <c r="I41" s="48"/>
      <c r="J41" s="48"/>
      <c r="K41" s="48"/>
      <c r="L41" s="48"/>
    </row>
    <row r="42" spans="2:14">
      <c r="B42" s="7" t="s">
        <v>117</v>
      </c>
      <c r="F42" s="48"/>
      <c r="G42" s="48"/>
      <c r="H42" s="48"/>
      <c r="I42" s="48"/>
      <c r="J42" s="48"/>
      <c r="K42" s="48"/>
      <c r="L42" s="48"/>
    </row>
    <row r="43" spans="2:14">
      <c r="B43" s="8" t="s">
        <v>142</v>
      </c>
      <c r="D43" s="8" t="s">
        <v>80</v>
      </c>
      <c r="F43" s="48"/>
      <c r="G43" s="48"/>
      <c r="H43" s="31">
        <f>H19+H37</f>
        <v>130096424.85830367</v>
      </c>
      <c r="I43" s="31">
        <f>I19+I37</f>
        <v>127275794.97377396</v>
      </c>
      <c r="J43" s="31">
        <f>J19+J37</f>
        <v>132394116.17682648</v>
      </c>
      <c r="K43" s="31">
        <f>K19+K37</f>
        <v>130344951.28677697</v>
      </c>
      <c r="L43" s="31">
        <f>L19+L37</f>
        <v>80916547.634960175</v>
      </c>
      <c r="N43" s="25">
        <v>7</v>
      </c>
    </row>
    <row r="44" spans="2:14">
      <c r="B44" s="8" t="s">
        <v>274</v>
      </c>
      <c r="D44" s="8" t="s">
        <v>80</v>
      </c>
      <c r="F44" s="48"/>
      <c r="G44" s="48"/>
      <c r="H44" s="31">
        <f>H21+H38</f>
        <v>14941354.730572596</v>
      </c>
      <c r="I44" s="31">
        <f>I21+I38</f>
        <v>14491229.909132661</v>
      </c>
      <c r="J44" s="31">
        <f>J21+J38</f>
        <v>15878464.320671745</v>
      </c>
      <c r="K44" s="31">
        <f>K21+K38</f>
        <v>15610570.819187013</v>
      </c>
      <c r="L44" s="31">
        <f>L21+L38</f>
        <v>13597341.662307024</v>
      </c>
      <c r="N44" s="25">
        <v>7</v>
      </c>
    </row>
    <row r="45" spans="2:14">
      <c r="B45" s="8" t="s">
        <v>282</v>
      </c>
      <c r="D45" s="8" t="s">
        <v>80</v>
      </c>
      <c r="F45" s="48"/>
      <c r="G45" s="48"/>
      <c r="H45" s="31">
        <f>$F$16*(H23+H39)+H25+H40</f>
        <v>14599589.943444706</v>
      </c>
      <c r="I45" s="31">
        <f t="shared" ref="I45:L45" si="2">$F$16*(I23+I39)+I25+I40</f>
        <v>14275013.401053913</v>
      </c>
      <c r="J45" s="31">
        <f t="shared" si="2"/>
        <v>15127323.646031445</v>
      </c>
      <c r="K45" s="31">
        <f t="shared" si="2"/>
        <v>14081070.880130926</v>
      </c>
      <c r="L45" s="31">
        <f t="shared" si="2"/>
        <v>14001460.633202594</v>
      </c>
      <c r="N45" s="25">
        <v>7</v>
      </c>
    </row>
    <row r="46" spans="2:14">
      <c r="F46" s="48"/>
      <c r="G46" s="48"/>
      <c r="H46" s="48"/>
      <c r="I46" s="48"/>
      <c r="J46" s="48"/>
      <c r="K46" s="48"/>
      <c r="L46" s="48"/>
    </row>
    <row r="47" spans="2:14" s="1" customFormat="1">
      <c r="B47" s="1" t="s">
        <v>259</v>
      </c>
    </row>
    <row r="48" spans="2:14">
      <c r="F48" s="48"/>
      <c r="G48" s="48"/>
      <c r="H48" s="48"/>
      <c r="I48" s="48"/>
      <c r="J48" s="48"/>
      <c r="K48" s="48"/>
      <c r="L48" s="48"/>
    </row>
    <row r="49" spans="2:14">
      <c r="B49" s="7" t="s">
        <v>118</v>
      </c>
      <c r="F49" s="48"/>
      <c r="G49" s="48"/>
      <c r="H49" s="48"/>
      <c r="I49" s="48"/>
      <c r="J49" s="48"/>
      <c r="K49" s="48"/>
      <c r="L49" s="48"/>
    </row>
    <row r="50" spans="2:14">
      <c r="B50" s="8" t="s">
        <v>137</v>
      </c>
      <c r="D50" s="8" t="s">
        <v>80</v>
      </c>
      <c r="F50" s="48"/>
      <c r="G50" s="48"/>
      <c r="H50" s="35">
        <f>H30*H$13</f>
        <v>43800284.966922916</v>
      </c>
      <c r="I50" s="35">
        <f t="shared" ref="I50:L50" si="3">I30*I$13</f>
        <v>39858078.688183852</v>
      </c>
      <c r="J50" s="35">
        <f t="shared" si="3"/>
        <v>46033354.82487192</v>
      </c>
      <c r="K50" s="35">
        <f t="shared" si="3"/>
        <v>43960825.120362677</v>
      </c>
      <c r="L50" s="35">
        <f t="shared" si="3"/>
        <v>42056801.575473949</v>
      </c>
      <c r="N50" s="25">
        <v>7</v>
      </c>
    </row>
    <row r="51" spans="2:14">
      <c r="B51" s="8" t="s">
        <v>138</v>
      </c>
      <c r="D51" s="8" t="s">
        <v>80</v>
      </c>
      <c r="F51" s="48"/>
      <c r="G51" s="48"/>
      <c r="H51" s="35">
        <f>H32*H$13</f>
        <v>5383852.8317264104</v>
      </c>
      <c r="I51" s="35">
        <f>I32*I$13</f>
        <v>4952407.1236453755</v>
      </c>
      <c r="J51" s="35">
        <f>J32*J$13</f>
        <v>5784309.6968541825</v>
      </c>
      <c r="K51" s="35">
        <f>K32*K$13</f>
        <v>5577064.067284978</v>
      </c>
      <c r="L51" s="35">
        <f>L32*L$13</f>
        <v>5420128.0949853873</v>
      </c>
      <c r="N51" s="25">
        <v>7</v>
      </c>
    </row>
    <row r="52" spans="2:14">
      <c r="F52" s="48"/>
      <c r="G52" s="48"/>
      <c r="H52" s="48"/>
      <c r="I52" s="48"/>
      <c r="J52" s="48"/>
      <c r="K52" s="48"/>
      <c r="L52" s="48"/>
    </row>
    <row r="53" spans="2:14">
      <c r="B53" s="7" t="s">
        <v>117</v>
      </c>
      <c r="F53" s="48"/>
      <c r="G53" s="48"/>
      <c r="H53" s="48"/>
      <c r="I53" s="48"/>
      <c r="J53" s="48"/>
      <c r="K53" s="48"/>
      <c r="L53" s="48"/>
    </row>
    <row r="54" spans="2:14">
      <c r="B54" s="8" t="s">
        <v>139</v>
      </c>
      <c r="D54" s="8" t="s">
        <v>80</v>
      </c>
      <c r="F54" s="48"/>
      <c r="G54" s="48"/>
      <c r="H54" s="31">
        <f>H29+H50</f>
        <v>151853273.96324196</v>
      </c>
      <c r="I54" s="31">
        <f t="shared" ref="I54:L54" si="4">I29+I50</f>
        <v>148335116.20805213</v>
      </c>
      <c r="J54" s="31">
        <f t="shared" si="4"/>
        <v>150541550.67350081</v>
      </c>
      <c r="K54" s="31">
        <f t="shared" si="4"/>
        <v>132776178.61797217</v>
      </c>
      <c r="L54" s="31">
        <f t="shared" si="4"/>
        <v>124187907.68161741</v>
      </c>
      <c r="N54" s="25">
        <v>7</v>
      </c>
    </row>
    <row r="55" spans="2:14">
      <c r="B55" s="8" t="s">
        <v>140</v>
      </c>
      <c r="D55" s="8" t="s">
        <v>80</v>
      </c>
      <c r="F55" s="48"/>
      <c r="G55" s="48"/>
      <c r="H55" s="31">
        <f>H31+H51</f>
        <v>16638342.748567261</v>
      </c>
      <c r="I55" s="31">
        <f>I31+I51</f>
        <v>15976504.403330002</v>
      </c>
      <c r="J55" s="31">
        <f>J31+J51</f>
        <v>16461767.817324352</v>
      </c>
      <c r="K55" s="31">
        <f>K31+K51</f>
        <v>14837936.09731685</v>
      </c>
      <c r="L55" s="31">
        <f>L31+L51</f>
        <v>12817611.984455217</v>
      </c>
      <c r="N55" s="25">
        <v>7</v>
      </c>
    </row>
    <row r="56" spans="2:14">
      <c r="F56" s="48"/>
      <c r="G56" s="48"/>
      <c r="H56" s="48"/>
      <c r="I56" s="48"/>
      <c r="J56" s="48"/>
      <c r="K56" s="48"/>
      <c r="L56" s="48"/>
    </row>
  </sheetData>
  <mergeCells count="1">
    <mergeCell ref="B5:C5"/>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15">
    <tabColor rgb="FFFFFFCC"/>
  </sheetPr>
  <dimension ref="A2:R85"/>
  <sheetViews>
    <sheetView showGridLines="0" zoomScale="85" zoomScaleNormal="85" workbookViewId="0">
      <pane xSplit="4" ySplit="11" topLeftCell="E12" activePane="bottomRight" state="frozen"/>
      <selection activeCell="R6" sqref="R6"/>
      <selection pane="topRight" activeCell="R6" sqref="R6"/>
      <selection pane="bottomLeft" activeCell="R6" sqref="R6"/>
      <selection pane="bottomRight" activeCell="E12" sqref="E12"/>
    </sheetView>
  </sheetViews>
  <sheetFormatPr defaultColWidth="9.140625" defaultRowHeight="12.75"/>
  <cols>
    <col min="1" max="1" width="4.7109375" style="8" customWidth="1"/>
    <col min="2" max="2" width="75.7109375" style="8" customWidth="1"/>
    <col min="3" max="3" width="2.7109375" style="8" customWidth="1"/>
    <col min="4" max="4" width="13.7109375" style="8" customWidth="1"/>
    <col min="5" max="5" width="2.7109375" style="8" customWidth="1"/>
    <col min="6" max="6" width="16.7109375" style="8" customWidth="1"/>
    <col min="7" max="7" width="2.7109375" style="8" customWidth="1"/>
    <col min="8" max="16" width="16.7109375" style="8" customWidth="1"/>
    <col min="17" max="17" width="2.7109375" style="8" customWidth="1"/>
    <col min="18" max="18" width="16.7109375" style="25" customWidth="1"/>
    <col min="19" max="19" width="4.7109375" style="8" customWidth="1"/>
    <col min="20" max="16384" width="9.140625" style="8"/>
  </cols>
  <sheetData>
    <row r="2" spans="2:18" s="2" customFormat="1" ht="18">
      <c r="B2" s="2" t="s">
        <v>290</v>
      </c>
    </row>
    <row r="4" spans="2:18">
      <c r="B4" s="29" t="s">
        <v>56</v>
      </c>
    </row>
    <row r="5" spans="2:18" ht="75.75" customHeight="1">
      <c r="B5" s="141" t="s">
        <v>237</v>
      </c>
      <c r="C5" s="141"/>
    </row>
    <row r="6" spans="2:18">
      <c r="B6" s="44"/>
      <c r="C6" s="44"/>
    </row>
    <row r="7" spans="2:18">
      <c r="B7" s="62" t="s">
        <v>30</v>
      </c>
      <c r="C7" s="44"/>
    </row>
    <row r="8" spans="2:18" ht="52.5" customHeight="1">
      <c r="B8" s="141" t="s">
        <v>217</v>
      </c>
      <c r="C8" s="141"/>
    </row>
    <row r="9" spans="2:18" ht="12.75" customHeight="1"/>
    <row r="10" spans="2:18" s="1" customFormat="1">
      <c r="B10" s="1" t="s">
        <v>45</v>
      </c>
      <c r="D10" s="1" t="s">
        <v>27</v>
      </c>
      <c r="F10" s="1" t="s">
        <v>28</v>
      </c>
      <c r="H10" s="1">
        <v>2018</v>
      </c>
      <c r="I10" s="1">
        <v>2019</v>
      </c>
      <c r="J10" s="1">
        <v>2020</v>
      </c>
      <c r="K10" s="1">
        <v>2021</v>
      </c>
      <c r="L10" s="1">
        <v>2022</v>
      </c>
      <c r="M10" s="1">
        <v>2023</v>
      </c>
      <c r="N10" s="1">
        <v>2024</v>
      </c>
      <c r="O10" s="1">
        <v>2025</v>
      </c>
      <c r="P10" s="1">
        <v>2026</v>
      </c>
      <c r="R10" s="1" t="s">
        <v>119</v>
      </c>
    </row>
    <row r="13" spans="2:18" s="1" customFormat="1">
      <c r="B13" s="1" t="s">
        <v>48</v>
      </c>
    </row>
    <row r="15" spans="2:18">
      <c r="B15" s="29" t="s">
        <v>88</v>
      </c>
    </row>
    <row r="16" spans="2:18">
      <c r="B16" s="8" t="s">
        <v>473</v>
      </c>
      <c r="D16" s="8" t="s">
        <v>75</v>
      </c>
      <c r="H16" s="56"/>
      <c r="I16" s="56"/>
      <c r="J16" s="56"/>
      <c r="K16" s="56"/>
      <c r="L16" s="116">
        <f>'2. Reguleringsparameters'!L15</f>
        <v>2.4E-2</v>
      </c>
      <c r="M16" s="116">
        <f>'2. Reguleringsparameters'!M15</f>
        <v>2.3E-2</v>
      </c>
      <c r="N16" s="116">
        <f>'2. Reguleringsparameters'!N15</f>
        <v>2.8000000000000001E-2</v>
      </c>
      <c r="O16" s="116">
        <f>'2. Reguleringsparameters'!O15</f>
        <v>2.8000000000000001E-2</v>
      </c>
      <c r="P16" s="116">
        <f>'2. Reguleringsparameters'!P15</f>
        <v>2.8000000000000001E-2</v>
      </c>
    </row>
    <row r="17" spans="1:18">
      <c r="B17" s="8" t="s">
        <v>474</v>
      </c>
      <c r="D17" s="8" t="s">
        <v>75</v>
      </c>
      <c r="H17" s="56"/>
      <c r="I17" s="56"/>
      <c r="J17" s="56"/>
      <c r="K17" s="56"/>
      <c r="L17" s="116">
        <f>'2. Reguleringsparameters'!L16</f>
        <v>2.1999999999999999E-2</v>
      </c>
      <c r="M17" s="116">
        <f>'2. Reguleringsparameters'!M16</f>
        <v>2.1999999999999999E-2</v>
      </c>
      <c r="N17" s="116">
        <f>'2. Reguleringsparameters'!N16</f>
        <v>2.7E-2</v>
      </c>
      <c r="O17" s="116">
        <f>'2. Reguleringsparameters'!O16</f>
        <v>2.7E-2</v>
      </c>
      <c r="P17" s="116">
        <f>'2. Reguleringsparameters'!P16</f>
        <v>2.7E-2</v>
      </c>
    </row>
    <row r="19" spans="1:18">
      <c r="B19" s="7" t="s">
        <v>121</v>
      </c>
      <c r="F19" s="48"/>
      <c r="H19" s="48"/>
      <c r="I19" s="48"/>
      <c r="J19" s="48"/>
      <c r="K19" s="48"/>
      <c r="L19" s="48"/>
      <c r="M19" s="48"/>
      <c r="N19" s="48"/>
      <c r="O19" s="48"/>
      <c r="P19" s="48"/>
    </row>
    <row r="20" spans="1:18">
      <c r="B20" s="8" t="s">
        <v>251</v>
      </c>
      <c r="D20" s="8" t="s">
        <v>80</v>
      </c>
      <c r="F20" s="48"/>
      <c r="H20" s="56"/>
      <c r="I20" s="56"/>
      <c r="J20" s="56"/>
      <c r="K20" s="56"/>
      <c r="L20" s="54">
        <f>'3. GAW model'!L33</f>
        <v>2266153.7304028017</v>
      </c>
      <c r="M20" s="54">
        <f>'3. GAW model'!M33</f>
        <v>3817809.3553878237</v>
      </c>
      <c r="N20" s="54">
        <f>'3. GAW model'!N33</f>
        <v>5403198.450714333</v>
      </c>
      <c r="O20" s="54">
        <f>'3. GAW model'!O33</f>
        <v>7022879.8298504399</v>
      </c>
      <c r="P20" s="54">
        <f>'3. GAW model'!P33</f>
        <v>8484624.9184843637</v>
      </c>
    </row>
    <row r="21" spans="1:18">
      <c r="B21" s="8" t="s">
        <v>248</v>
      </c>
      <c r="D21" s="8" t="s">
        <v>80</v>
      </c>
      <c r="F21" s="48"/>
      <c r="H21" s="56"/>
      <c r="I21" s="56"/>
      <c r="J21" s="56"/>
      <c r="K21" s="56"/>
      <c r="L21" s="54">
        <f>'3. GAW model'!L34</f>
        <v>72212745.667681336</v>
      </c>
      <c r="M21" s="54">
        <f>'3. GAW model'!M34</f>
        <v>107220819.55866069</v>
      </c>
      <c r="N21" s="54">
        <f>'3. GAW model'!N34</f>
        <v>141451428.77312377</v>
      </c>
      <c r="O21" s="54">
        <f>'3. GAW model'!O34</f>
        <v>174869646.56131387</v>
      </c>
      <c r="P21" s="54">
        <f>'3. GAW model'!P34</f>
        <v>207632542.54970348</v>
      </c>
    </row>
    <row r="22" spans="1:18">
      <c r="B22" s="8" t="s">
        <v>250</v>
      </c>
      <c r="D22" s="8" t="s">
        <v>80</v>
      </c>
      <c r="F22" s="48"/>
      <c r="H22" s="56"/>
      <c r="I22" s="56"/>
      <c r="J22" s="56"/>
      <c r="K22" s="56"/>
      <c r="L22" s="54">
        <f>'3. GAW model'!L35</f>
        <v>995447.98512739839</v>
      </c>
      <c r="M22" s="54">
        <f>'3. GAW model'!M35</f>
        <v>1677040.0787177959</v>
      </c>
      <c r="N22" s="54">
        <f>'3. GAW model'!N35</f>
        <v>2373450.1939773676</v>
      </c>
      <c r="O22" s="54">
        <f>'3. GAW model'!O35</f>
        <v>3084923.7995755291</v>
      </c>
      <c r="P22" s="54">
        <f>'3. GAW model'!P35</f>
        <v>3663289.0798481647</v>
      </c>
    </row>
    <row r="23" spans="1:18">
      <c r="B23" s="8" t="s">
        <v>249</v>
      </c>
      <c r="D23" s="8" t="s">
        <v>80</v>
      </c>
      <c r="F23" s="48"/>
      <c r="H23" s="56"/>
      <c r="I23" s="56"/>
      <c r="J23" s="56"/>
      <c r="K23" s="56"/>
      <c r="L23" s="54">
        <f>'3. GAW model'!L36</f>
        <v>35481808.709653236</v>
      </c>
      <c r="M23" s="54">
        <f>'3. GAW model'!M36</f>
        <v>52802077.056788333</v>
      </c>
      <c r="N23" s="54">
        <f>'3. GAW model'!N36</f>
        <v>69822950.324211851</v>
      </c>
      <c r="O23" s="54">
        <f>'3. GAW model'!O36</f>
        <v>86529783.487997502</v>
      </c>
      <c r="P23" s="54">
        <f>'3. GAW model'!P36</f>
        <v>103056011.72378334</v>
      </c>
    </row>
    <row r="24" spans="1:18" s="48" customFormat="1">
      <c r="A24" s="8"/>
      <c r="L24" s="50"/>
      <c r="M24" s="50"/>
      <c r="N24" s="50"/>
      <c r="O24" s="50"/>
      <c r="P24" s="50"/>
      <c r="R24" s="61"/>
    </row>
    <row r="25" spans="1:18">
      <c r="B25" s="8" t="s">
        <v>110</v>
      </c>
      <c r="D25" s="8" t="s">
        <v>80</v>
      </c>
      <c r="H25" s="56"/>
      <c r="J25" s="34">
        <f>'3. GAW model'!J40</f>
        <v>2352577687.9437237</v>
      </c>
      <c r="K25" s="56"/>
      <c r="L25" s="56"/>
      <c r="M25" s="56"/>
      <c r="N25" s="56"/>
      <c r="O25" s="56"/>
      <c r="P25" s="56"/>
    </row>
    <row r="26" spans="1:18">
      <c r="H26" s="48"/>
    </row>
    <row r="27" spans="1:18" s="52" customFormat="1">
      <c r="A27" s="8"/>
      <c r="B27" s="52" t="s">
        <v>130</v>
      </c>
      <c r="D27" s="8" t="s">
        <v>80</v>
      </c>
      <c r="H27" s="56"/>
      <c r="J27" s="56"/>
      <c r="K27" s="56"/>
      <c r="L27" s="34">
        <f>'3. GAW model'!L16</f>
        <v>1593554583.9909317</v>
      </c>
      <c r="M27" s="34">
        <f>'3. GAW model'!M16</f>
        <v>1515476745.4176815</v>
      </c>
      <c r="N27" s="34">
        <f>'3. GAW model'!N16</f>
        <v>1436956707.7670937</v>
      </c>
      <c r="O27" s="34">
        <f>'3. GAW model'!O16</f>
        <v>1357555932.9734786</v>
      </c>
      <c r="P27" s="34">
        <f>'3. GAW model'!P16</f>
        <v>1325984967.8346488</v>
      </c>
      <c r="R27" s="57"/>
    </row>
    <row r="28" spans="1:18" s="52" customFormat="1">
      <c r="A28" s="8"/>
      <c r="B28" s="52" t="s">
        <v>275</v>
      </c>
      <c r="D28" s="8" t="s">
        <v>80</v>
      </c>
      <c r="H28" s="48"/>
      <c r="J28" s="56"/>
      <c r="K28" s="56"/>
      <c r="L28" s="34">
        <f>'3. GAW model'!L18</f>
        <v>316953472.35924375</v>
      </c>
      <c r="M28" s="34">
        <f>'3. GAW model'!M18</f>
        <v>312502378.40465128</v>
      </c>
      <c r="N28" s="34">
        <f>'3. GAW model'!N18</f>
        <v>308062176.4296515</v>
      </c>
      <c r="O28" s="34">
        <f>'3. GAW model'!O18</f>
        <v>303728565.01885933</v>
      </c>
      <c r="P28" s="34">
        <f>'3. GAW model'!P18</f>
        <v>301301214.44621629</v>
      </c>
      <c r="R28" s="57"/>
    </row>
    <row r="29" spans="1:18" s="52" customFormat="1">
      <c r="A29" s="8"/>
      <c r="B29" s="52" t="s">
        <v>483</v>
      </c>
      <c r="D29" s="8" t="s">
        <v>80</v>
      </c>
      <c r="H29" s="48"/>
      <c r="J29" s="56"/>
      <c r="K29" s="56"/>
      <c r="L29" s="34">
        <f>'3. GAW model'!L20</f>
        <v>232612937.01180607</v>
      </c>
      <c r="M29" s="34">
        <f>'3. GAW model'!M20</f>
        <v>226981476.97408861</v>
      </c>
      <c r="N29" s="34">
        <f>'3. GAW model'!N20</f>
        <v>221552867.90715945</v>
      </c>
      <c r="O29" s="34">
        <f>'3. GAW model'!O20</f>
        <v>216986057.66576904</v>
      </c>
      <c r="P29" s="34">
        <f>'3. GAW model'!P20</f>
        <v>212319099.05773306</v>
      </c>
      <c r="R29" s="57"/>
    </row>
    <row r="30" spans="1:18" s="52" customFormat="1">
      <c r="A30" s="8"/>
      <c r="B30" s="52" t="s">
        <v>482</v>
      </c>
      <c r="D30" s="8" t="s">
        <v>80</v>
      </c>
      <c r="H30" s="48"/>
      <c r="J30" s="56"/>
      <c r="K30" s="56"/>
      <c r="L30" s="34">
        <f>'3. GAW model'!L22</f>
        <v>26572625.214475397</v>
      </c>
      <c r="M30" s="34">
        <f>'3. GAW model'!M22</f>
        <v>26082206.634165261</v>
      </c>
      <c r="N30" s="34">
        <f>'3. GAW model'!N22</f>
        <v>25580808.136767168</v>
      </c>
      <c r="O30" s="34">
        <f>'3. GAW model'!O22</f>
        <v>25068271.807678536</v>
      </c>
      <c r="P30" s="34">
        <f>'3. GAW model'!P22</f>
        <v>24544437.77920723</v>
      </c>
      <c r="R30" s="57"/>
    </row>
    <row r="31" spans="1:18" s="52" customFormat="1">
      <c r="A31" s="8"/>
      <c r="H31" s="56"/>
      <c r="R31" s="57"/>
    </row>
    <row r="32" spans="1:18">
      <c r="B32" s="7" t="s">
        <v>122</v>
      </c>
      <c r="F32" s="48"/>
      <c r="H32" s="48"/>
      <c r="J32" s="48"/>
      <c r="K32" s="48"/>
      <c r="L32" s="48"/>
      <c r="M32" s="48"/>
      <c r="N32" s="48"/>
      <c r="O32" s="48"/>
      <c r="P32" s="48"/>
    </row>
    <row r="33" spans="1:18">
      <c r="B33" s="8" t="s">
        <v>252</v>
      </c>
      <c r="D33" s="8" t="s">
        <v>80</v>
      </c>
      <c r="F33" s="48"/>
      <c r="H33" s="56"/>
      <c r="J33" s="56"/>
      <c r="K33" s="56"/>
      <c r="L33" s="34">
        <f>'3. GAW model'!L44</f>
        <v>8893193.2643618844</v>
      </c>
      <c r="M33" s="34">
        <f>'3. GAW model'!M44</f>
        <v>14982441.830156792</v>
      </c>
      <c r="N33" s="34">
        <f>'3. GAW model'!N44</f>
        <v>21204072.531902872</v>
      </c>
      <c r="O33" s="34">
        <f>'3. GAW model'!O44</f>
        <v>27560278.352407973</v>
      </c>
      <c r="P33" s="34">
        <f>'3. GAW model'!P44</f>
        <v>33438650.239358876</v>
      </c>
    </row>
    <row r="34" spans="1:18" s="52" customFormat="1">
      <c r="A34" s="8"/>
      <c r="B34" s="8" t="s">
        <v>253</v>
      </c>
      <c r="C34" s="8"/>
      <c r="D34" s="8" t="s">
        <v>80</v>
      </c>
      <c r="H34" s="48"/>
      <c r="J34" s="56"/>
      <c r="K34" s="56"/>
      <c r="L34" s="34">
        <f>'3. GAW model'!L45</f>
        <v>373144387.34356242</v>
      </c>
      <c r="M34" s="34">
        <f>'3. GAW model'!M45</f>
        <v>556881548.62711048</v>
      </c>
      <c r="N34" s="34">
        <f>'3. GAW model'!N45</f>
        <v>738572828.09029698</v>
      </c>
      <c r="O34" s="34">
        <f>'3. GAW model'!O45</f>
        <v>918097798.17526853</v>
      </c>
      <c r="P34" s="34">
        <f>'3. GAW model'!P45</f>
        <v>1095947776.8844848</v>
      </c>
      <c r="R34" s="57"/>
    </row>
    <row r="35" spans="1:18" s="52" customFormat="1">
      <c r="A35" s="8"/>
      <c r="B35" s="8" t="s">
        <v>254</v>
      </c>
      <c r="C35" s="8"/>
      <c r="D35" s="8" t="s">
        <v>80</v>
      </c>
      <c r="H35" s="56"/>
      <c r="J35" s="56"/>
      <c r="K35" s="56"/>
      <c r="L35" s="34">
        <f>'3. GAW model'!L46</f>
        <v>2396108.8460695189</v>
      </c>
      <c r="M35" s="34">
        <f>'3. GAW model'!M46</f>
        <v>4036745.89518061</v>
      </c>
      <c r="N35" s="34">
        <f>'3. GAW model'!N46</f>
        <v>5713050.8981508976</v>
      </c>
      <c r="O35" s="34">
        <f>'3. GAW model'!O46</f>
        <v>7425614.7142307051</v>
      </c>
      <c r="P35" s="34">
        <f>'3. GAW model'!P46</f>
        <v>8703648.6128957365</v>
      </c>
      <c r="R35" s="57"/>
    </row>
    <row r="36" spans="1:18" s="52" customFormat="1">
      <c r="A36" s="8"/>
      <c r="B36" s="8" t="s">
        <v>255</v>
      </c>
      <c r="C36" s="8"/>
      <c r="D36" s="8" t="s">
        <v>80</v>
      </c>
      <c r="H36" s="48"/>
      <c r="J36" s="56"/>
      <c r="K36" s="56"/>
      <c r="L36" s="34">
        <f>'3. GAW model'!L47</f>
        <v>59215629.093850881</v>
      </c>
      <c r="M36" s="34">
        <f>'3. GAW model'!M47</f>
        <v>87380505.041328818</v>
      </c>
      <c r="N36" s="34">
        <f>'3. GAW model'!N47</f>
        <v>114531402.5434081</v>
      </c>
      <c r="O36" s="34">
        <f>'3. GAW model'!O47</f>
        <v>140628215.13989246</v>
      </c>
      <c r="P36" s="34">
        <f>'3. GAW model'!P47</f>
        <v>166101332.28400001</v>
      </c>
      <c r="R36" s="57"/>
    </row>
    <row r="37" spans="1:18" s="58" customFormat="1">
      <c r="A37" s="8"/>
      <c r="B37" s="48"/>
      <c r="C37" s="48"/>
      <c r="D37" s="48"/>
      <c r="H37" s="56"/>
      <c r="L37" s="60"/>
      <c r="M37" s="60"/>
      <c r="N37" s="60"/>
      <c r="O37" s="60"/>
      <c r="P37" s="60"/>
      <c r="R37" s="59"/>
    </row>
    <row r="38" spans="1:18" s="52" customFormat="1">
      <c r="B38" s="8" t="s">
        <v>109</v>
      </c>
      <c r="C38" s="8"/>
      <c r="D38" s="8" t="s">
        <v>80</v>
      </c>
      <c r="H38" s="48"/>
      <c r="J38" s="34">
        <f>'3. GAW model'!J51</f>
        <v>2248149453.7422318</v>
      </c>
      <c r="K38" s="56"/>
      <c r="L38" s="56"/>
      <c r="M38" s="56"/>
      <c r="N38" s="56"/>
      <c r="O38" s="56"/>
      <c r="P38" s="56"/>
      <c r="Q38" s="101"/>
      <c r="R38" s="102"/>
    </row>
    <row r="39" spans="1:18" s="52" customFormat="1">
      <c r="Q39" s="101"/>
      <c r="R39" s="102"/>
    </row>
    <row r="40" spans="1:18" s="52" customFormat="1">
      <c r="B40" s="52" t="s">
        <v>133</v>
      </c>
      <c r="D40" s="8" t="s">
        <v>80</v>
      </c>
      <c r="H40" s="56"/>
      <c r="I40" s="56"/>
      <c r="J40" s="56"/>
      <c r="K40" s="56"/>
      <c r="L40" s="34">
        <f>'3. GAW model'!L27</f>
        <v>1825011873.621788</v>
      </c>
      <c r="M40" s="34">
        <f>'3. GAW model'!M27</f>
        <v>1732959942.9645152</v>
      </c>
      <c r="N40" s="34">
        <f>'3. GAW model'!N27</f>
        <v>1644048386.6025686</v>
      </c>
      <c r="O40" s="34">
        <f>'3. GAW model'!O27</f>
        <v>1570029468.5843813</v>
      </c>
      <c r="P40" s="34">
        <f>'3. GAW model'!P27</f>
        <v>1502028627.6954982</v>
      </c>
      <c r="Q40" s="101"/>
      <c r="R40" s="102"/>
    </row>
    <row r="41" spans="1:18" s="52" customFormat="1">
      <c r="B41" s="52" t="s">
        <v>134</v>
      </c>
      <c r="D41" s="8" t="s">
        <v>80</v>
      </c>
      <c r="H41" s="56"/>
      <c r="I41" s="56"/>
      <c r="J41" s="56"/>
      <c r="K41" s="56"/>
      <c r="L41" s="34">
        <f>'3. GAW model'!L29</f>
        <v>224327201.32193375</v>
      </c>
      <c r="M41" s="34">
        <f>'3. GAW model'!M29</f>
        <v>215322048.85414675</v>
      </c>
      <c r="N41" s="34">
        <f>'3. GAW model'!N29</f>
        <v>206582489.17336366</v>
      </c>
      <c r="O41" s="34">
        <f>'3. GAW model'!O29</f>
        <v>199180859.54589206</v>
      </c>
      <c r="P41" s="34">
        <f>'3. GAW model'!P29</f>
        <v>193576003.39233527</v>
      </c>
      <c r="Q41" s="101"/>
      <c r="R41" s="102"/>
    </row>
    <row r="42" spans="1:18">
      <c r="F42" s="48"/>
      <c r="H42" s="48"/>
      <c r="I42" s="48"/>
      <c r="J42" s="48"/>
      <c r="K42" s="48"/>
      <c r="L42" s="48"/>
      <c r="M42" s="48"/>
      <c r="N42" s="48"/>
      <c r="O42" s="49"/>
      <c r="P42" s="49"/>
      <c r="Q42" s="24"/>
      <c r="R42" s="100"/>
    </row>
    <row r="43" spans="1:18" s="1" customFormat="1">
      <c r="B43" s="1" t="s">
        <v>128</v>
      </c>
    </row>
    <row r="44" spans="1:18">
      <c r="F44" s="48"/>
      <c r="H44" s="48"/>
      <c r="I44" s="48"/>
      <c r="J44" s="48"/>
      <c r="K44" s="48"/>
      <c r="L44" s="48"/>
      <c r="M44" s="48"/>
      <c r="N44" s="48"/>
      <c r="O44" s="49"/>
      <c r="P44" s="49"/>
      <c r="Q44" s="24"/>
      <c r="R44" s="100"/>
    </row>
    <row r="45" spans="1:18">
      <c r="B45" s="8" t="s">
        <v>129</v>
      </c>
      <c r="D45" s="8" t="s">
        <v>80</v>
      </c>
      <c r="H45" s="48"/>
      <c r="J45" s="35">
        <f>J25+J38</f>
        <v>4600727141.685955</v>
      </c>
      <c r="K45" s="56"/>
      <c r="L45" s="56"/>
      <c r="M45" s="56"/>
      <c r="N45" s="56"/>
      <c r="O45" s="56"/>
      <c r="P45" s="56"/>
      <c r="Q45" s="24"/>
    </row>
    <row r="46" spans="1:18">
      <c r="B46" s="8" t="s">
        <v>127</v>
      </c>
      <c r="D46" s="8" t="s">
        <v>80</v>
      </c>
      <c r="F46" s="48"/>
      <c r="H46" s="56"/>
      <c r="I46" s="56"/>
      <c r="J46" s="56"/>
      <c r="K46" s="56"/>
      <c r="L46" s="35">
        <f>SUM(L27:L30,L40:L41)</f>
        <v>4219032693.5201788</v>
      </c>
      <c r="M46" s="35">
        <f t="shared" ref="M46:P46" si="0">SUM(M27:M30,M40:M41)</f>
        <v>4029324799.249249</v>
      </c>
      <c r="N46" s="35">
        <f t="shared" si="0"/>
        <v>3842783436.0166044</v>
      </c>
      <c r="O46" s="35">
        <f t="shared" si="0"/>
        <v>3672549155.5960593</v>
      </c>
      <c r="P46" s="35">
        <f t="shared" si="0"/>
        <v>3559754350.2056394</v>
      </c>
      <c r="Q46" s="24"/>
      <c r="R46" s="25">
        <v>9</v>
      </c>
    </row>
    <row r="47" spans="1:18">
      <c r="B47" s="8" t="s">
        <v>126</v>
      </c>
      <c r="D47" s="8" t="s">
        <v>80</v>
      </c>
      <c r="F47" s="48"/>
      <c r="H47" s="56"/>
      <c r="I47" s="56"/>
      <c r="J47" s="56"/>
      <c r="K47" s="56"/>
      <c r="L47" s="35">
        <f>L21+L23+L34+L36</f>
        <v>540054570.81474781</v>
      </c>
      <c r="M47" s="35">
        <f>M21+M23+M34+M36</f>
        <v>804284950.28388822</v>
      </c>
      <c r="N47" s="35">
        <f>N21+N23+N34+N36</f>
        <v>1064378609.7310407</v>
      </c>
      <c r="O47" s="35">
        <f>O21+O23+O34+O36</f>
        <v>1320125443.3644724</v>
      </c>
      <c r="P47" s="35">
        <f>P21+P23+P34+P36</f>
        <v>1572737663.4419715</v>
      </c>
      <c r="Q47" s="24"/>
      <c r="R47" s="25">
        <v>9</v>
      </c>
    </row>
    <row r="48" spans="1:18">
      <c r="B48" s="8" t="s">
        <v>125</v>
      </c>
      <c r="D48" s="8" t="s">
        <v>80</v>
      </c>
      <c r="F48" s="48"/>
      <c r="H48" s="56"/>
      <c r="I48" s="56"/>
      <c r="J48" s="56"/>
      <c r="K48" s="56"/>
      <c r="L48" s="35">
        <f>MAX(0,L46+L47-$J45)</f>
        <v>158360122.64897156</v>
      </c>
      <c r="M48" s="35">
        <f>MAX(0,M46+M47-$J45)</f>
        <v>232882607.84718227</v>
      </c>
      <c r="N48" s="35">
        <f>MAX(0,N46+N47-$J45)</f>
        <v>306434904.06169033</v>
      </c>
      <c r="O48" s="35">
        <f>MAX(0,O46+O47-$J45)</f>
        <v>391947457.27457619</v>
      </c>
      <c r="P48" s="35">
        <f>MAX(0,P46+P47-$J45)</f>
        <v>531764871.96165562</v>
      </c>
      <c r="Q48" s="24"/>
      <c r="R48" s="25">
        <v>9</v>
      </c>
    </row>
    <row r="49" spans="2:18">
      <c r="B49" s="8" t="s">
        <v>124</v>
      </c>
      <c r="D49" s="8" t="s">
        <v>75</v>
      </c>
      <c r="F49" s="48"/>
      <c r="H49" s="56"/>
      <c r="I49" s="56"/>
      <c r="J49" s="56"/>
      <c r="K49" s="56"/>
      <c r="L49" s="99">
        <f>L48/L47</f>
        <v>0.29322985343881669</v>
      </c>
      <c r="M49" s="99">
        <f>M48/M47</f>
        <v>0.28955236295914993</v>
      </c>
      <c r="N49" s="99">
        <f>N48/N47</f>
        <v>0.28790028403438489</v>
      </c>
      <c r="O49" s="99">
        <f>O48/O47</f>
        <v>0.2969016764616389</v>
      </c>
      <c r="P49" s="99">
        <f>P48/P47</f>
        <v>0.3381141587198187</v>
      </c>
      <c r="Q49" s="24"/>
      <c r="R49" s="25">
        <v>9</v>
      </c>
    </row>
    <row r="50" spans="2:18">
      <c r="B50" s="8" t="s">
        <v>123</v>
      </c>
      <c r="D50" s="8" t="s">
        <v>75</v>
      </c>
      <c r="F50" s="48"/>
      <c r="H50" s="56"/>
      <c r="I50" s="56"/>
      <c r="J50" s="56"/>
      <c r="K50" s="56"/>
      <c r="L50" s="99">
        <f>1-L49</f>
        <v>0.70677014656118331</v>
      </c>
      <c r="M50" s="99">
        <f>1-M49</f>
        <v>0.71044763704085012</v>
      </c>
      <c r="N50" s="99">
        <f>1-N49</f>
        <v>0.71209971596561505</v>
      </c>
      <c r="O50" s="99">
        <f>1-O49</f>
        <v>0.7030983235383611</v>
      </c>
      <c r="P50" s="99">
        <f>1-P49</f>
        <v>0.66188584128018135</v>
      </c>
      <c r="Q50" s="24"/>
      <c r="R50" s="25">
        <v>10</v>
      </c>
    </row>
    <row r="51" spans="2:18">
      <c r="F51" s="48"/>
      <c r="H51" s="48"/>
      <c r="I51" s="48"/>
      <c r="J51" s="48"/>
      <c r="K51" s="48"/>
      <c r="L51" s="48"/>
      <c r="M51" s="48"/>
      <c r="N51" s="48"/>
      <c r="O51" s="49"/>
      <c r="P51" s="49"/>
      <c r="Q51" s="24"/>
    </row>
    <row r="52" spans="2:18" s="1" customFormat="1">
      <c r="B52" s="1" t="s">
        <v>303</v>
      </c>
    </row>
    <row r="53" spans="2:18">
      <c r="F53" s="48"/>
      <c r="H53" s="48"/>
      <c r="I53" s="48"/>
      <c r="J53" s="48"/>
      <c r="K53" s="48"/>
      <c r="L53" s="48"/>
      <c r="M53" s="48"/>
      <c r="N53" s="48"/>
      <c r="O53" s="48"/>
      <c r="P53" s="48"/>
      <c r="Q53" s="24"/>
    </row>
    <row r="54" spans="2:18">
      <c r="B54" s="7" t="s">
        <v>300</v>
      </c>
      <c r="F54" s="48"/>
      <c r="H54" s="48"/>
      <c r="I54" s="48"/>
      <c r="J54" s="48"/>
      <c r="K54" s="48"/>
      <c r="L54" s="48"/>
      <c r="M54" s="48"/>
      <c r="N54" s="48"/>
      <c r="O54" s="48"/>
      <c r="P54" s="48"/>
      <c r="Q54" s="24"/>
    </row>
    <row r="55" spans="2:18">
      <c r="B55" s="8" t="s">
        <v>301</v>
      </c>
      <c r="D55" s="8" t="s">
        <v>80</v>
      </c>
      <c r="F55" s="48"/>
      <c r="H55" s="56"/>
      <c r="I55" s="56"/>
      <c r="J55" s="56"/>
      <c r="K55" s="56"/>
      <c r="L55" s="35">
        <f>L21*L49*L17+L21*L50*L16</f>
        <v>1690756.0303672547</v>
      </c>
      <c r="M55" s="35">
        <f t="shared" ref="M55:P55" si="1">M21*M49*M17+M21*M50*M16</f>
        <v>2435032.808187569</v>
      </c>
      <c r="N55" s="35">
        <f t="shared" si="1"/>
        <v>3919916.0991266137</v>
      </c>
      <c r="O55" s="35">
        <f t="shared" si="1"/>
        <v>4844431.0124904802</v>
      </c>
      <c r="P55" s="35">
        <f t="shared" si="1"/>
        <v>5743507.6889446471</v>
      </c>
      <c r="Q55" s="24"/>
      <c r="R55" s="25">
        <v>8</v>
      </c>
    </row>
    <row r="56" spans="2:18">
      <c r="B56" s="8" t="s">
        <v>302</v>
      </c>
      <c r="D56" s="8" t="s">
        <v>80</v>
      </c>
      <c r="F56" s="48"/>
      <c r="H56" s="56"/>
      <c r="I56" s="56"/>
      <c r="J56" s="56"/>
      <c r="K56" s="56"/>
      <c r="L56" s="35">
        <f>L23*L49*L17+L23*L50*L16</f>
        <v>830754.75789632625</v>
      </c>
      <c r="M56" s="35">
        <f t="shared" ref="M56:P56" si="2">M23*M49*M17+M23*M50*M16</f>
        <v>1199158.8061251875</v>
      </c>
      <c r="N56" s="35">
        <f t="shared" si="2"/>
        <v>1934940.5618474726</v>
      </c>
      <c r="O56" s="35">
        <f t="shared" si="2"/>
        <v>2397143.0998824812</v>
      </c>
      <c r="P56" s="35">
        <f t="shared" si="2"/>
        <v>2850723.6315609268</v>
      </c>
      <c r="Q56" s="24"/>
      <c r="R56" s="25">
        <v>8</v>
      </c>
    </row>
    <row r="57" spans="2:18">
      <c r="F57" s="48"/>
      <c r="H57" s="48"/>
      <c r="I57" s="48"/>
      <c r="J57" s="48"/>
      <c r="K57" s="48"/>
      <c r="L57" s="48"/>
      <c r="M57" s="48"/>
      <c r="N57" s="48"/>
      <c r="O57" s="48"/>
      <c r="P57" s="48"/>
      <c r="Q57" s="24"/>
    </row>
    <row r="58" spans="2:18">
      <c r="B58" s="7" t="s">
        <v>299</v>
      </c>
      <c r="Q58" s="24"/>
    </row>
    <row r="59" spans="2:18">
      <c r="B59" s="8" t="s">
        <v>131</v>
      </c>
      <c r="D59" s="8" t="s">
        <v>80</v>
      </c>
      <c r="H59" s="56"/>
      <c r="I59" s="56"/>
      <c r="J59" s="56"/>
      <c r="K59" s="56"/>
      <c r="L59" s="31">
        <f>L20+L55</f>
        <v>3956909.7607700564</v>
      </c>
      <c r="M59" s="31">
        <f>M20+M55</f>
        <v>6252842.1635753922</v>
      </c>
      <c r="N59" s="31">
        <f>N20+N55</f>
        <v>9323114.5498409458</v>
      </c>
      <c r="O59" s="31">
        <f>O20+O55</f>
        <v>11867310.84234092</v>
      </c>
      <c r="P59" s="31">
        <f>P20+P55</f>
        <v>14228132.607429011</v>
      </c>
      <c r="Q59" s="24"/>
      <c r="R59" s="25">
        <v>8</v>
      </c>
    </row>
    <row r="60" spans="2:18">
      <c r="B60" s="8" t="s">
        <v>132</v>
      </c>
      <c r="D60" s="8" t="s">
        <v>80</v>
      </c>
      <c r="H60" s="56"/>
      <c r="I60" s="56"/>
      <c r="J60" s="56"/>
      <c r="K60" s="56"/>
      <c r="L60" s="31">
        <f>L22+L56</f>
        <v>1826202.7430237248</v>
      </c>
      <c r="M60" s="31">
        <f>M22+M56</f>
        <v>2876198.8848429834</v>
      </c>
      <c r="N60" s="31">
        <f>N22+N56</f>
        <v>4308390.7558248397</v>
      </c>
      <c r="O60" s="31">
        <f>O22+O56</f>
        <v>5482066.8994580097</v>
      </c>
      <c r="P60" s="31">
        <f>P22+P56</f>
        <v>6514012.7114090919</v>
      </c>
      <c r="Q60" s="24"/>
      <c r="R60" s="25">
        <v>8</v>
      </c>
    </row>
    <row r="61" spans="2:18" ht="12.75" customHeight="1">
      <c r="Q61" s="24"/>
    </row>
    <row r="62" spans="2:18" s="1" customFormat="1" ht="12.75" customHeight="1">
      <c r="B62" s="1" t="s">
        <v>304</v>
      </c>
    </row>
    <row r="63" spans="2:18" ht="12.75" customHeight="1">
      <c r="F63" s="48"/>
      <c r="H63" s="48"/>
      <c r="I63" s="48"/>
      <c r="J63" s="48"/>
      <c r="K63" s="48"/>
      <c r="L63" s="48"/>
      <c r="M63" s="48"/>
      <c r="N63" s="48"/>
      <c r="O63" s="48"/>
      <c r="P63" s="48"/>
      <c r="Q63" s="24"/>
    </row>
    <row r="64" spans="2:18" ht="12.75" customHeight="1">
      <c r="B64" s="7" t="s">
        <v>300</v>
      </c>
      <c r="F64" s="48"/>
      <c r="H64" s="48"/>
      <c r="I64" s="48"/>
      <c r="J64" s="48"/>
      <c r="K64" s="48"/>
      <c r="L64" s="48"/>
      <c r="M64" s="48"/>
      <c r="N64" s="48"/>
      <c r="O64" s="48"/>
      <c r="P64" s="48"/>
      <c r="Q64" s="24"/>
    </row>
    <row r="65" spans="2:18" ht="12.75" customHeight="1">
      <c r="B65" s="8" t="s">
        <v>305</v>
      </c>
      <c r="D65" s="8" t="s">
        <v>80</v>
      </c>
      <c r="F65" s="48"/>
      <c r="H65" s="56"/>
      <c r="I65" s="56"/>
      <c r="J65" s="56"/>
      <c r="K65" s="56"/>
      <c r="L65" s="35">
        <f>L34*L49*L17+L34*L50*L16</f>
        <v>8736631.1482209601</v>
      </c>
      <c r="M65" s="35">
        <f t="shared" ref="M65:P65" si="3">M34*M49*M17+M34*M50*M16</f>
        <v>12647029.250130212</v>
      </c>
      <c r="N65" s="35">
        <f t="shared" si="3"/>
        <v>20467403.85954104</v>
      </c>
      <c r="O65" s="35">
        <f t="shared" si="3"/>
        <v>25434153.573473543</v>
      </c>
      <c r="P65" s="35">
        <f t="shared" si="3"/>
        <v>30315982.292183422</v>
      </c>
      <c r="Q65" s="24"/>
      <c r="R65" s="25">
        <v>8</v>
      </c>
    </row>
    <row r="66" spans="2:18" ht="12.75" customHeight="1">
      <c r="B66" s="8" t="s">
        <v>306</v>
      </c>
      <c r="D66" s="8" t="s">
        <v>80</v>
      </c>
      <c r="F66" s="48"/>
      <c r="H66" s="56"/>
      <c r="I66" s="56"/>
      <c r="J66" s="56"/>
      <c r="K66" s="56"/>
      <c r="L66" s="35">
        <f>L36*L17*L49+L36*L16*L50</f>
        <v>1386447.5177714669</v>
      </c>
      <c r="M66" s="35">
        <f>M36*M17*M49+M36*M16*M50</f>
        <v>1984450.3842392822</v>
      </c>
      <c r="N66" s="35">
        <f>N36*N17*N49+N36*N16*N50</f>
        <v>3173905.6478923229</v>
      </c>
      <c r="O66" s="35">
        <f>O36*O17*O49+O36*O16*O50</f>
        <v>3895837.2710841466</v>
      </c>
      <c r="P66" s="35">
        <f>P36*P17*P49+P36*P16*P50</f>
        <v>4594676.091724555</v>
      </c>
      <c r="Q66" s="24"/>
      <c r="R66" s="25">
        <v>8</v>
      </c>
    </row>
    <row r="67" spans="2:18" ht="12.75" customHeight="1">
      <c r="F67" s="48"/>
      <c r="H67" s="48"/>
      <c r="I67" s="48"/>
      <c r="J67" s="48"/>
      <c r="K67" s="48"/>
      <c r="L67" s="64"/>
      <c r="M67" s="48"/>
      <c r="N67" s="48"/>
      <c r="O67" s="48"/>
      <c r="P67" s="48"/>
      <c r="Q67" s="24"/>
    </row>
    <row r="68" spans="2:18" ht="12.75" customHeight="1">
      <c r="B68" s="7" t="s">
        <v>299</v>
      </c>
      <c r="Q68" s="24"/>
    </row>
    <row r="69" spans="2:18" ht="12.75" customHeight="1">
      <c r="B69" s="8" t="s">
        <v>135</v>
      </c>
      <c r="D69" s="8" t="s">
        <v>80</v>
      </c>
      <c r="H69" s="48"/>
      <c r="I69" s="48"/>
      <c r="J69" s="48"/>
      <c r="K69" s="48"/>
      <c r="L69" s="31">
        <f>L33+L65</f>
        <v>17629824.412582844</v>
      </c>
      <c r="M69" s="31">
        <f t="shared" ref="M69:P69" si="4">M33+M65</f>
        <v>27629471.080287002</v>
      </c>
      <c r="N69" s="31">
        <f t="shared" si="4"/>
        <v>41671476.391443908</v>
      </c>
      <c r="O69" s="31">
        <f t="shared" si="4"/>
        <v>52994431.92588152</v>
      </c>
      <c r="P69" s="31">
        <f t="shared" si="4"/>
        <v>63754632.531542301</v>
      </c>
      <c r="Q69" s="24"/>
      <c r="R69" s="25">
        <v>8</v>
      </c>
    </row>
    <row r="70" spans="2:18" ht="12.75" customHeight="1">
      <c r="B70" s="8" t="s">
        <v>136</v>
      </c>
      <c r="D70" s="8" t="s">
        <v>80</v>
      </c>
      <c r="L70" s="31">
        <f>L35+L66</f>
        <v>3782556.363840986</v>
      </c>
      <c r="M70" s="31">
        <f>M35+M66</f>
        <v>6021196.2794198925</v>
      </c>
      <c r="N70" s="31">
        <f>N35+N66</f>
        <v>8886956.5460432209</v>
      </c>
      <c r="O70" s="31">
        <f>O35+O66</f>
        <v>11321451.985314852</v>
      </c>
      <c r="P70" s="31">
        <f>P35+P66</f>
        <v>13298324.704620291</v>
      </c>
      <c r="Q70" s="24"/>
      <c r="R70" s="25">
        <v>8</v>
      </c>
    </row>
    <row r="71" spans="2:18" ht="12.75" customHeight="1">
      <c r="H71" s="56"/>
      <c r="I71" s="56"/>
      <c r="J71" s="56"/>
      <c r="K71" s="56"/>
      <c r="Q71" s="24"/>
      <c r="R71" s="100"/>
    </row>
    <row r="72" spans="2:18" ht="12.75" customHeight="1">
      <c r="Q72" s="24"/>
      <c r="R72" s="100"/>
    </row>
    <row r="73" spans="2:18" ht="12.75" customHeight="1">
      <c r="Q73" s="24"/>
      <c r="R73" s="100"/>
    </row>
    <row r="74" spans="2:18" ht="12.75" customHeight="1"/>
    <row r="75" spans="2:18" ht="12.75" customHeight="1"/>
    <row r="76" spans="2:18" ht="12.75" customHeight="1"/>
    <row r="77" spans="2:18" ht="12.75" customHeight="1"/>
    <row r="78" spans="2:18" ht="12.75" customHeight="1"/>
    <row r="79" spans="2:18" ht="12.75" customHeight="1"/>
    <row r="80" spans="2:18" ht="12.75" customHeight="1"/>
    <row r="81" ht="12.75" customHeight="1"/>
    <row r="82" ht="12.75" customHeight="1"/>
    <row r="83" ht="12.75" customHeight="1"/>
    <row r="84" ht="12.75" customHeight="1"/>
    <row r="85" ht="12.75" customHeight="1"/>
  </sheetData>
  <mergeCells count="2">
    <mergeCell ref="B5:C5"/>
    <mergeCell ref="B8:C8"/>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16">
    <tabColor rgb="FFFFFFCC"/>
  </sheetPr>
  <dimension ref="A2:R224"/>
  <sheetViews>
    <sheetView showGridLines="0" zoomScale="85" zoomScaleNormal="85" workbookViewId="0">
      <pane xSplit="4" ySplit="11" topLeftCell="E12" activePane="bottomRight" state="frozen"/>
      <selection activeCell="R6" sqref="R6"/>
      <selection pane="topRight" activeCell="R6" sqref="R6"/>
      <selection pane="bottomLeft" activeCell="R6" sqref="R6"/>
      <selection pane="bottomRight" activeCell="E12" sqref="E12"/>
    </sheetView>
  </sheetViews>
  <sheetFormatPr defaultColWidth="9.140625" defaultRowHeight="12.75"/>
  <cols>
    <col min="1" max="1" width="4.7109375" style="8" customWidth="1"/>
    <col min="2" max="2" width="90.42578125" style="8" customWidth="1"/>
    <col min="3" max="3" width="2.7109375" style="8" customWidth="1"/>
    <col min="4" max="4" width="13.7109375" style="8" customWidth="1"/>
    <col min="5" max="5" width="2.7109375" style="8" customWidth="1"/>
    <col min="6" max="6" width="13.7109375" style="8" customWidth="1"/>
    <col min="7" max="7" width="2.7109375" style="8" customWidth="1"/>
    <col min="8" max="16" width="16.7109375" style="8" customWidth="1"/>
    <col min="17" max="17" width="2.7109375" style="8" customWidth="1"/>
    <col min="18" max="18" width="16.7109375" style="8" customWidth="1"/>
    <col min="19" max="32" width="13.7109375" style="8" customWidth="1"/>
    <col min="33" max="16384" width="9.140625" style="8"/>
  </cols>
  <sheetData>
    <row r="2" spans="1:18" s="23" customFormat="1" ht="18">
      <c r="B2" s="23" t="s">
        <v>108</v>
      </c>
    </row>
    <row r="4" spans="1:18">
      <c r="B4" s="29" t="s">
        <v>56</v>
      </c>
    </row>
    <row r="5" spans="1:18" ht="78" customHeight="1">
      <c r="A5" s="42"/>
      <c r="B5" s="141" t="s">
        <v>362</v>
      </c>
      <c r="C5" s="141"/>
      <c r="D5" s="141"/>
      <c r="E5" s="42"/>
      <c r="F5" s="42"/>
    </row>
    <row r="6" spans="1:18" ht="12.75" customHeight="1">
      <c r="A6" s="42"/>
      <c r="B6" s="44"/>
      <c r="C6" s="44"/>
      <c r="D6" s="42"/>
      <c r="E6" s="42"/>
      <c r="F6" s="42"/>
    </row>
    <row r="7" spans="1:18" ht="12.75" customHeight="1">
      <c r="A7" s="42"/>
      <c r="B7" s="62" t="s">
        <v>30</v>
      </c>
      <c r="C7" s="44"/>
      <c r="D7" s="42"/>
      <c r="E7" s="42"/>
      <c r="F7" s="42"/>
    </row>
    <row r="8" spans="1:18" ht="77.25" customHeight="1">
      <c r="A8" s="42"/>
      <c r="B8" s="141" t="s">
        <v>475</v>
      </c>
      <c r="C8" s="141"/>
      <c r="D8" s="141"/>
      <c r="E8" s="42"/>
      <c r="F8" s="42"/>
    </row>
    <row r="9" spans="1:18">
      <c r="A9" s="42"/>
      <c r="B9" s="42"/>
      <c r="C9" s="42"/>
      <c r="D9" s="42"/>
      <c r="E9" s="42"/>
      <c r="F9" s="42"/>
    </row>
    <row r="10" spans="1:18" s="14" customFormat="1">
      <c r="B10" s="14" t="s">
        <v>45</v>
      </c>
      <c r="D10" s="14" t="s">
        <v>27</v>
      </c>
      <c r="F10" s="14" t="s">
        <v>28</v>
      </c>
      <c r="H10" s="113">
        <v>2018</v>
      </c>
      <c r="I10" s="113">
        <v>2019</v>
      </c>
      <c r="J10" s="113">
        <v>2020</v>
      </c>
      <c r="K10" s="113">
        <v>2021</v>
      </c>
      <c r="L10" s="113">
        <v>2022</v>
      </c>
      <c r="M10" s="113">
        <v>2023</v>
      </c>
      <c r="N10" s="113">
        <v>2024</v>
      </c>
      <c r="O10" s="113">
        <v>2025</v>
      </c>
      <c r="P10" s="113">
        <v>2026</v>
      </c>
      <c r="R10" s="114" t="s">
        <v>119</v>
      </c>
    </row>
    <row r="13" spans="1:18" s="14" customFormat="1">
      <c r="B13" s="14" t="s">
        <v>48</v>
      </c>
    </row>
    <row r="15" spans="1:18">
      <c r="B15" s="7" t="s">
        <v>99</v>
      </c>
    </row>
    <row r="16" spans="1:18">
      <c r="B16" s="8" t="s">
        <v>96</v>
      </c>
      <c r="D16" s="8" t="s">
        <v>104</v>
      </c>
      <c r="L16" s="127">
        <f>'5. Berekening op parameters'!L26</f>
        <v>1.075959948088</v>
      </c>
      <c r="M16" s="127">
        <f>'5. Berekening op parameters'!M26</f>
        <v>1.0953272271535839</v>
      </c>
      <c r="N16" s="127">
        <f>'5. Berekening op parameters'!N26</f>
        <v>1.1150431172423485</v>
      </c>
      <c r="O16" s="127">
        <f>'5. Berekening op parameters'!O26</f>
        <v>1.1351138933527105</v>
      </c>
      <c r="P16" s="127">
        <f>'5. Berekening op parameters'!P26</f>
        <v>1.1555459434330595</v>
      </c>
    </row>
    <row r="17" spans="2:16">
      <c r="B17" s="8" t="s">
        <v>97</v>
      </c>
      <c r="D17" s="8" t="s">
        <v>104</v>
      </c>
      <c r="L17" s="127">
        <f>'5. Berekening op parameters'!L27</f>
        <v>1.0538295280000001</v>
      </c>
      <c r="M17" s="127">
        <f>'5. Berekening op parameters'!M27</f>
        <v>1.0727984595039999</v>
      </c>
      <c r="N17" s="127">
        <f>'5. Berekening op parameters'!N27</f>
        <v>1.092108831775072</v>
      </c>
      <c r="O17" s="127">
        <f>'5. Berekening op parameters'!O27</f>
        <v>1.1117667907470232</v>
      </c>
      <c r="P17" s="127">
        <f>'5. Berekening op parameters'!P27</f>
        <v>1.1317785929804698</v>
      </c>
    </row>
    <row r="18" spans="2:16">
      <c r="B18" s="8" t="s">
        <v>98</v>
      </c>
      <c r="D18" s="8" t="s">
        <v>104</v>
      </c>
      <c r="L18" s="127">
        <f>'5. Berekening op parameters'!L28</f>
        <v>1.025126</v>
      </c>
      <c r="M18" s="127">
        <f>'5. Berekening op parameters'!M28</f>
        <v>1.0435782679999999</v>
      </c>
      <c r="N18" s="127">
        <f>'5. Berekening op parameters'!N28</f>
        <v>1.062362676824</v>
      </c>
      <c r="O18" s="127">
        <f>'5. Berekening op parameters'!O28</f>
        <v>1.081485205006832</v>
      </c>
      <c r="P18" s="127">
        <f>'5. Berekening op parameters'!P28</f>
        <v>1.1009519386969551</v>
      </c>
    </row>
    <row r="19" spans="2:16">
      <c r="B19" s="8" t="s">
        <v>445</v>
      </c>
      <c r="D19" s="8" t="s">
        <v>104</v>
      </c>
      <c r="L19" s="127">
        <f>'5. Berekening op parameters'!L29</f>
        <v>1.018</v>
      </c>
      <c r="M19" s="127">
        <f>'5. Berekening op parameters'!M29</f>
        <v>1.036324</v>
      </c>
      <c r="N19" s="127">
        <f>'5. Berekening op parameters'!N29</f>
        <v>1.0549778320000001</v>
      </c>
      <c r="O19" s="127">
        <f>'5. Berekening op parameters'!O29</f>
        <v>1.0739674329760001</v>
      </c>
      <c r="P19" s="127">
        <f>'5. Berekening op parameters'!P29</f>
        <v>1.0932988467695681</v>
      </c>
    </row>
    <row r="20" spans="2:16">
      <c r="B20" s="8" t="s">
        <v>446</v>
      </c>
      <c r="D20" s="8" t="s">
        <v>104</v>
      </c>
      <c r="L20" s="127">
        <f>'5. Berekening op parameters'!L30</f>
        <v>1</v>
      </c>
      <c r="M20" s="127">
        <f>'5. Berekening op parameters'!M30</f>
        <v>1.018</v>
      </c>
      <c r="N20" s="127">
        <f>'5. Berekening op parameters'!N30</f>
        <v>1.036324</v>
      </c>
      <c r="O20" s="127">
        <f>'5. Berekening op parameters'!O30</f>
        <v>1.0549778320000001</v>
      </c>
      <c r="P20" s="127">
        <f>'5. Berekening op parameters'!P30</f>
        <v>1.0739674329760001</v>
      </c>
    </row>
    <row r="21" spans="2:16">
      <c r="B21" s="8" t="s">
        <v>447</v>
      </c>
      <c r="D21" s="8" t="s">
        <v>104</v>
      </c>
      <c r="L21" s="126"/>
      <c r="M21" s="127">
        <f>'5. Berekening op parameters'!M31</f>
        <v>1</v>
      </c>
      <c r="N21" s="127">
        <f>'5. Berekening op parameters'!N31</f>
        <v>1.018</v>
      </c>
      <c r="O21" s="127">
        <f>'5. Berekening op parameters'!O31</f>
        <v>1.036324</v>
      </c>
      <c r="P21" s="127">
        <f>'5. Berekening op parameters'!P31</f>
        <v>1.0549778320000001</v>
      </c>
    </row>
    <row r="22" spans="2:16">
      <c r="B22" s="8" t="s">
        <v>448</v>
      </c>
      <c r="D22" s="8" t="s">
        <v>104</v>
      </c>
      <c r="L22" s="126"/>
      <c r="M22" s="126"/>
      <c r="N22" s="127">
        <f>'5. Berekening op parameters'!N32</f>
        <v>1</v>
      </c>
      <c r="O22" s="127">
        <f>'5. Berekening op parameters'!O32</f>
        <v>1.018</v>
      </c>
      <c r="P22" s="127">
        <f>'5. Berekening op parameters'!P32</f>
        <v>1.036324</v>
      </c>
    </row>
    <row r="23" spans="2:16">
      <c r="B23" s="8" t="s">
        <v>449</v>
      </c>
      <c r="D23" s="8" t="s">
        <v>104</v>
      </c>
      <c r="L23" s="126"/>
      <c r="M23" s="126"/>
      <c r="N23" s="126"/>
      <c r="O23" s="127">
        <f>'5. Berekening op parameters'!O33</f>
        <v>1</v>
      </c>
      <c r="P23" s="127">
        <f>'5. Berekening op parameters'!P33</f>
        <v>1.018</v>
      </c>
    </row>
    <row r="24" spans="2:16">
      <c r="B24" s="8" t="s">
        <v>450</v>
      </c>
      <c r="D24" s="8" t="s">
        <v>104</v>
      </c>
      <c r="L24" s="126"/>
      <c r="M24" s="126"/>
      <c r="N24" s="126"/>
      <c r="O24" s="126"/>
      <c r="P24" s="127">
        <f>'5. Berekening op parameters'!P34</f>
        <v>1</v>
      </c>
    </row>
    <row r="26" spans="2:16">
      <c r="B26" s="7" t="s">
        <v>100</v>
      </c>
    </row>
    <row r="27" spans="2:16">
      <c r="B27" s="8" t="s">
        <v>101</v>
      </c>
      <c r="D27" s="8" t="s">
        <v>205</v>
      </c>
      <c r="L27" s="127">
        <f>'5. Berekening op parameters'!L41</f>
        <v>0.995</v>
      </c>
      <c r="M27" s="127">
        <f>'5. Berekening op parameters'!M41</f>
        <v>0.99002500000000004</v>
      </c>
      <c r="N27" s="127">
        <f>'5. Berekening op parameters'!N41</f>
        <v>0.98507487500000002</v>
      </c>
      <c r="O27" s="127">
        <f>'5. Berekening op parameters'!O41</f>
        <v>0.98014950062500006</v>
      </c>
      <c r="P27" s="127">
        <f>'5. Berekening op parameters'!P41</f>
        <v>0.97524875312187509</v>
      </c>
    </row>
    <row r="28" spans="2:16">
      <c r="B28" s="8" t="s">
        <v>102</v>
      </c>
      <c r="D28" s="8" t="s">
        <v>205</v>
      </c>
      <c r="L28" s="127">
        <f>'5. Berekening op parameters'!L42</f>
        <v>0.995</v>
      </c>
      <c r="M28" s="127">
        <f>'5. Berekening op parameters'!M42</f>
        <v>0.99002500000000004</v>
      </c>
      <c r="N28" s="127">
        <f>'5. Berekening op parameters'!N42</f>
        <v>0.98507487500000002</v>
      </c>
      <c r="O28" s="127">
        <f>'5. Berekening op parameters'!O42</f>
        <v>0.98014950062500006</v>
      </c>
      <c r="P28" s="127">
        <f>'5. Berekening op parameters'!P42</f>
        <v>0.97524875312187509</v>
      </c>
    </row>
    <row r="29" spans="2:16">
      <c r="B29" s="8" t="s">
        <v>103</v>
      </c>
      <c r="D29" s="8" t="s">
        <v>205</v>
      </c>
      <c r="L29" s="127">
        <f>'5. Berekening op parameters'!L43</f>
        <v>0.995</v>
      </c>
      <c r="M29" s="127">
        <f>'5. Berekening op parameters'!M43</f>
        <v>0.99002500000000004</v>
      </c>
      <c r="N29" s="127">
        <f>'5. Berekening op parameters'!N43</f>
        <v>0.98507487500000002</v>
      </c>
      <c r="O29" s="127">
        <f>'5. Berekening op parameters'!O43</f>
        <v>0.98014950062500006</v>
      </c>
      <c r="P29" s="127">
        <f>'5. Berekening op parameters'!P43</f>
        <v>0.97524875312187509</v>
      </c>
    </row>
    <row r="30" spans="2:16">
      <c r="B30" s="8" t="s">
        <v>451</v>
      </c>
      <c r="D30" s="8" t="s">
        <v>205</v>
      </c>
      <c r="L30" s="127">
        <f>'5. Berekening op parameters'!L44</f>
        <v>0.995</v>
      </c>
      <c r="M30" s="127">
        <f>'5. Berekening op parameters'!M44</f>
        <v>0.99002500000000004</v>
      </c>
      <c r="N30" s="127">
        <f>'5. Berekening op parameters'!N44</f>
        <v>0.98507487500000002</v>
      </c>
      <c r="O30" s="127">
        <f>'5. Berekening op parameters'!O44</f>
        <v>0.98014950062500006</v>
      </c>
      <c r="P30" s="127">
        <f>'5. Berekening op parameters'!P44</f>
        <v>0.97524875312187509</v>
      </c>
    </row>
    <row r="31" spans="2:16">
      <c r="B31" s="8" t="s">
        <v>452</v>
      </c>
      <c r="D31" s="8" t="s">
        <v>205</v>
      </c>
      <c r="L31" s="127">
        <f>'5. Berekening op parameters'!L45</f>
        <v>1</v>
      </c>
      <c r="M31" s="127">
        <f>'5. Berekening op parameters'!M45</f>
        <v>0.995</v>
      </c>
      <c r="N31" s="127">
        <f>'5. Berekening op parameters'!N45</f>
        <v>0.99002500000000004</v>
      </c>
      <c r="O31" s="127">
        <f>'5. Berekening op parameters'!O45</f>
        <v>0.98507487500000002</v>
      </c>
      <c r="P31" s="127">
        <f>'5. Berekening op parameters'!P45</f>
        <v>0.98014950062500006</v>
      </c>
    </row>
    <row r="32" spans="2:16">
      <c r="B32" s="8" t="s">
        <v>453</v>
      </c>
      <c r="D32" s="8" t="s">
        <v>205</v>
      </c>
      <c r="L32" s="126"/>
      <c r="M32" s="127">
        <f>'5. Berekening op parameters'!M46</f>
        <v>1</v>
      </c>
      <c r="N32" s="127">
        <f>'5. Berekening op parameters'!N46</f>
        <v>0.995</v>
      </c>
      <c r="O32" s="127">
        <f>'5. Berekening op parameters'!O46</f>
        <v>0.99002500000000004</v>
      </c>
      <c r="P32" s="127">
        <f>'5. Berekening op parameters'!P46</f>
        <v>0.98507487500000002</v>
      </c>
    </row>
    <row r="33" spans="2:16">
      <c r="B33" s="8" t="s">
        <v>454</v>
      </c>
      <c r="D33" s="8" t="s">
        <v>205</v>
      </c>
      <c r="L33" s="126"/>
      <c r="M33" s="126"/>
      <c r="N33" s="127">
        <f>'5. Berekening op parameters'!N47</f>
        <v>1</v>
      </c>
      <c r="O33" s="127">
        <f>'5. Berekening op parameters'!O47</f>
        <v>0.995</v>
      </c>
      <c r="P33" s="127">
        <f>'5. Berekening op parameters'!P47</f>
        <v>0.99002500000000004</v>
      </c>
    </row>
    <row r="34" spans="2:16">
      <c r="B34" s="8" t="s">
        <v>455</v>
      </c>
      <c r="D34" s="8" t="s">
        <v>205</v>
      </c>
      <c r="L34" s="126"/>
      <c r="M34" s="126"/>
      <c r="N34" s="126"/>
      <c r="O34" s="127">
        <f>'5. Berekening op parameters'!O48</f>
        <v>1</v>
      </c>
      <c r="P34" s="127">
        <f>'5. Berekening op parameters'!P48</f>
        <v>0.995</v>
      </c>
    </row>
    <row r="35" spans="2:16">
      <c r="B35" s="8" t="s">
        <v>456</v>
      </c>
      <c r="D35" s="8" t="s">
        <v>205</v>
      </c>
      <c r="L35" s="126"/>
      <c r="M35" s="126"/>
      <c r="N35" s="126"/>
      <c r="O35" s="126"/>
      <c r="P35" s="127">
        <f>'5. Berekening op parameters'!P49</f>
        <v>1</v>
      </c>
    </row>
    <row r="37" spans="2:16">
      <c r="B37" s="7" t="s">
        <v>287</v>
      </c>
    </row>
    <row r="38" spans="2:16">
      <c r="B38" s="8" t="s">
        <v>457</v>
      </c>
      <c r="D38" s="8" t="s">
        <v>75</v>
      </c>
      <c r="F38" s="43">
        <f>'2. Reguleringsparameters'!F36</f>
        <v>0.01</v>
      </c>
    </row>
    <row r="40" spans="2:16">
      <c r="B40" s="7" t="s">
        <v>265</v>
      </c>
    </row>
    <row r="41" spans="2:16">
      <c r="B41" s="112" t="s">
        <v>266</v>
      </c>
      <c r="D41" s="8" t="s">
        <v>75</v>
      </c>
      <c r="F41" s="43">
        <f>'2. Reguleringsparameters'!F44</f>
        <v>0.01</v>
      </c>
    </row>
    <row r="42" spans="2:16">
      <c r="B42" s="112" t="s">
        <v>267</v>
      </c>
      <c r="D42" s="8" t="s">
        <v>75</v>
      </c>
      <c r="F42" s="43">
        <f>'2. Reguleringsparameters'!F45</f>
        <v>3.4000000000000002E-2</v>
      </c>
    </row>
    <row r="44" spans="2:16">
      <c r="B44" s="7" t="s">
        <v>351</v>
      </c>
    </row>
    <row r="45" spans="2:16">
      <c r="B45" s="8" t="s">
        <v>345</v>
      </c>
      <c r="D45" s="8" t="s">
        <v>75</v>
      </c>
      <c r="F45" s="116">
        <f>'2. Reguleringsparameters'!F54</f>
        <v>0.33600000000000002</v>
      </c>
    </row>
    <row r="46" spans="2:16">
      <c r="B46" s="8" t="s">
        <v>346</v>
      </c>
      <c r="D46" s="8" t="s">
        <v>75</v>
      </c>
      <c r="F46" s="116">
        <f>'2. Reguleringsparameters'!F55</f>
        <v>0.16</v>
      </c>
    </row>
    <row r="47" spans="2:16">
      <c r="B47" s="8" t="s">
        <v>347</v>
      </c>
      <c r="D47" s="8" t="s">
        <v>75</v>
      </c>
      <c r="F47" s="116">
        <f>'2. Reguleringsparameters'!F56</f>
        <v>0.24</v>
      </c>
    </row>
    <row r="48" spans="2:16">
      <c r="B48" s="8" t="s">
        <v>348</v>
      </c>
      <c r="D48" s="8" t="s">
        <v>75</v>
      </c>
      <c r="F48" s="116">
        <f>'2. Reguleringsparameters'!F57</f>
        <v>0.33</v>
      </c>
    </row>
    <row r="49" spans="2:10">
      <c r="B49" s="8" t="s">
        <v>349</v>
      </c>
      <c r="D49" s="8" t="s">
        <v>75</v>
      </c>
      <c r="F49" s="116">
        <f>'2. Reguleringsparameters'!F58</f>
        <v>0.50600000000000001</v>
      </c>
    </row>
    <row r="50" spans="2:10">
      <c r="B50" s="8" t="s">
        <v>350</v>
      </c>
      <c r="D50" s="8" t="s">
        <v>75</v>
      </c>
      <c r="F50" s="116">
        <f>'2. Reguleringsparameters'!F59</f>
        <v>0.76</v>
      </c>
    </row>
    <row r="52" spans="2:10">
      <c r="B52" s="7" t="s">
        <v>243</v>
      </c>
    </row>
    <row r="53" spans="2:10">
      <c r="B53" s="8" t="s">
        <v>322</v>
      </c>
      <c r="D53" s="8" t="s">
        <v>80</v>
      </c>
      <c r="H53" s="34">
        <f>'4. Operationele kosten'!H16</f>
        <v>31016768.482756212</v>
      </c>
      <c r="I53" s="34">
        <f>'4. Operationele kosten'!I16</f>
        <v>14971151.168855133</v>
      </c>
      <c r="J53" s="34">
        <f>'4. Operationele kosten'!J16</f>
        <v>22400776.093696482</v>
      </c>
    </row>
    <row r="54" spans="2:10">
      <c r="B54" s="8" t="s">
        <v>83</v>
      </c>
      <c r="D54" s="8" t="s">
        <v>80</v>
      </c>
      <c r="H54" s="34">
        <f>'4. Operationele kosten'!H17</f>
        <v>-10082448.097243795</v>
      </c>
      <c r="I54" s="34">
        <f>'4. Operationele kosten'!I17</f>
        <v>-8352546.3211448845</v>
      </c>
      <c r="J54" s="34">
        <f>'4. Operationele kosten'!J17</f>
        <v>-10170981.465065157</v>
      </c>
    </row>
    <row r="56" spans="2:10">
      <c r="B56" s="7" t="s">
        <v>244</v>
      </c>
    </row>
    <row r="57" spans="2:10">
      <c r="B57" s="8" t="s">
        <v>333</v>
      </c>
      <c r="D57" s="8" t="s">
        <v>80</v>
      </c>
      <c r="H57" s="34">
        <f>'4. Operationele kosten'!H20</f>
        <v>1916795.0100000005</v>
      </c>
      <c r="I57" s="34">
        <f>'4. Operationele kosten'!I20</f>
        <v>1969643.6899999992</v>
      </c>
      <c r="J57" s="34">
        <f>'4. Operationele kosten'!J20</f>
        <v>2026487.56</v>
      </c>
    </row>
    <row r="58" spans="2:10">
      <c r="B58" s="8" t="s">
        <v>210</v>
      </c>
      <c r="D58" s="8" t="s">
        <v>80</v>
      </c>
      <c r="H58" s="34">
        <f>'4. Operationele kosten'!H21</f>
        <v>1850619.4818000002</v>
      </c>
      <c r="I58" s="34">
        <f>'4. Operationele kosten'!I21</f>
        <v>2378233.3211999997</v>
      </c>
      <c r="J58" s="34">
        <f>'4. Operationele kosten'!J21</f>
        <v>2283915.7948000007</v>
      </c>
    </row>
    <row r="59" spans="2:10">
      <c r="B59" s="8" t="s">
        <v>331</v>
      </c>
      <c r="D59" s="8" t="s">
        <v>80</v>
      </c>
      <c r="H59" s="34">
        <f>'4. Operationele kosten'!H22</f>
        <v>157721.62659999996</v>
      </c>
      <c r="I59" s="34">
        <f>'4. Operationele kosten'!I22</f>
        <v>225984.31639999998</v>
      </c>
      <c r="J59" s="34">
        <f>'4. Operationele kosten'!J22</f>
        <v>121173.02679999998</v>
      </c>
    </row>
    <row r="60" spans="2:10">
      <c r="B60" s="8" t="s">
        <v>332</v>
      </c>
      <c r="D60" s="8" t="s">
        <v>80</v>
      </c>
      <c r="H60" s="34">
        <f>'4. Operationele kosten'!H23</f>
        <v>3690025.19</v>
      </c>
      <c r="I60" s="34">
        <f>'4. Operationele kosten'!I23</f>
        <v>2912891.6199999996</v>
      </c>
      <c r="J60" s="34">
        <f>'4. Operationele kosten'!J23</f>
        <v>2756493.4000000004</v>
      </c>
    </row>
    <row r="62" spans="2:10">
      <c r="B62" s="7" t="s">
        <v>203</v>
      </c>
    </row>
    <row r="63" spans="2:10">
      <c r="B63" s="8" t="s">
        <v>226</v>
      </c>
      <c r="D63" s="8" t="s">
        <v>80</v>
      </c>
      <c r="H63" s="138" t="s">
        <v>564</v>
      </c>
      <c r="I63" s="138" t="s">
        <v>567</v>
      </c>
      <c r="J63" s="138" t="s">
        <v>570</v>
      </c>
    </row>
    <row r="64" spans="2:10">
      <c r="B64" s="8" t="s">
        <v>227</v>
      </c>
      <c r="D64" s="8" t="s">
        <v>80</v>
      </c>
      <c r="H64" s="138" t="s">
        <v>565</v>
      </c>
      <c r="I64" s="138" t="s">
        <v>568</v>
      </c>
      <c r="J64" s="138" t="s">
        <v>571</v>
      </c>
    </row>
    <row r="65" spans="2:10">
      <c r="B65" s="8" t="s">
        <v>228</v>
      </c>
      <c r="D65" s="8" t="s">
        <v>80</v>
      </c>
      <c r="H65" s="138" t="s">
        <v>566</v>
      </c>
      <c r="I65" s="138" t="s">
        <v>569</v>
      </c>
      <c r="J65" s="138" t="s">
        <v>572</v>
      </c>
    </row>
    <row r="67" spans="2:10">
      <c r="B67" s="7" t="s">
        <v>245</v>
      </c>
    </row>
    <row r="68" spans="2:10">
      <c r="B68" s="8" t="s">
        <v>323</v>
      </c>
      <c r="D68" s="8" t="s">
        <v>80</v>
      </c>
      <c r="H68" s="34">
        <f>'4. Operationele kosten'!H33</f>
        <v>59519146.070000015</v>
      </c>
      <c r="I68" s="34">
        <f>'4. Operationele kosten'!I33</f>
        <v>71643410.619999945</v>
      </c>
      <c r="J68" s="34">
        <f>'4. Operationele kosten'!J33</f>
        <v>73023761.894999951</v>
      </c>
    </row>
    <row r="69" spans="2:10">
      <c r="B69" s="8" t="s">
        <v>211</v>
      </c>
      <c r="D69" s="8" t="s">
        <v>80</v>
      </c>
      <c r="H69" s="34">
        <f>'4. Operationele kosten'!H34</f>
        <v>21124302.600000001</v>
      </c>
      <c r="I69" s="34">
        <f>'4. Operationele kosten'!I34</f>
        <v>20364643.440000001</v>
      </c>
      <c r="J69" s="34">
        <f>'4. Operationele kosten'!J34</f>
        <v>20963010.800000001</v>
      </c>
    </row>
    <row r="71" spans="2:10">
      <c r="B71" s="7" t="s">
        <v>246</v>
      </c>
    </row>
    <row r="72" spans="2:10">
      <c r="B72" s="8" t="s">
        <v>333</v>
      </c>
      <c r="D72" s="8" t="s">
        <v>80</v>
      </c>
      <c r="H72" s="34">
        <f>'4. Operationele kosten'!H37</f>
        <v>2714075.2500000005</v>
      </c>
      <c r="I72" s="34">
        <f>'4. Operationele kosten'!I37</f>
        <v>2438124.1699999995</v>
      </c>
      <c r="J72" s="34">
        <f>'4. Operationele kosten'!J37</f>
        <v>2660609.0799999996</v>
      </c>
    </row>
    <row r="73" spans="2:10">
      <c r="B73" s="8" t="s">
        <v>210</v>
      </c>
      <c r="D73" s="8" t="s">
        <v>80</v>
      </c>
      <c r="H73" s="34">
        <f>'4. Operationele kosten'!H38</f>
        <v>1261796.2781999989</v>
      </c>
      <c r="I73" s="34">
        <f>'4. Operationele kosten'!I38</f>
        <v>1392655.9087999999</v>
      </c>
      <c r="J73" s="34">
        <f>'4. Operationele kosten'!J38</f>
        <v>1244763.2351999998</v>
      </c>
    </row>
    <row r="74" spans="2:10">
      <c r="B74" s="8" t="s">
        <v>331</v>
      </c>
      <c r="D74" s="8" t="s">
        <v>80</v>
      </c>
      <c r="H74" s="34">
        <f>'4. Operationele kosten'!H39</f>
        <v>730937.00339999981</v>
      </c>
      <c r="I74" s="34">
        <f>'4. Operationele kosten'!I39</f>
        <v>1149996.3835999998</v>
      </c>
      <c r="J74" s="34">
        <f>'4. Operationele kosten'!J39</f>
        <v>531339.9632</v>
      </c>
    </row>
    <row r="76" spans="2:10">
      <c r="B76" s="7" t="s">
        <v>204</v>
      </c>
    </row>
    <row r="77" spans="2:10">
      <c r="B77" s="8" t="s">
        <v>226</v>
      </c>
      <c r="D77" s="8" t="s">
        <v>80</v>
      </c>
      <c r="H77" s="138" t="s">
        <v>573</v>
      </c>
      <c r="I77" s="138" t="s">
        <v>576</v>
      </c>
      <c r="J77" s="138" t="s">
        <v>579</v>
      </c>
    </row>
    <row r="78" spans="2:10">
      <c r="B78" s="8" t="s">
        <v>227</v>
      </c>
      <c r="D78" s="8" t="s">
        <v>80</v>
      </c>
      <c r="H78" s="138" t="s">
        <v>574</v>
      </c>
      <c r="I78" s="138" t="s">
        <v>577</v>
      </c>
      <c r="J78" s="138" t="s">
        <v>580</v>
      </c>
    </row>
    <row r="79" spans="2:10">
      <c r="B79" s="8" t="s">
        <v>228</v>
      </c>
      <c r="D79" s="8" t="s">
        <v>80</v>
      </c>
      <c r="H79" s="138" t="s">
        <v>575</v>
      </c>
      <c r="I79" s="138" t="s">
        <v>578</v>
      </c>
      <c r="J79" s="138" t="s">
        <v>581</v>
      </c>
    </row>
    <row r="81" spans="2:10">
      <c r="B81" s="7" t="s">
        <v>247</v>
      </c>
    </row>
    <row r="82" spans="2:10">
      <c r="B82" s="8" t="s">
        <v>358</v>
      </c>
      <c r="D82" s="8" t="s">
        <v>80</v>
      </c>
      <c r="H82" s="34">
        <f>'4. Operationele kosten'!H49</f>
        <v>95973462.635111362</v>
      </c>
      <c r="I82" s="34">
        <f>'4. Operationele kosten'!I49</f>
        <v>94619920.99212943</v>
      </c>
      <c r="J82" s="34">
        <f>'4. Operationele kosten'!J49</f>
        <v>114764840.91223219</v>
      </c>
    </row>
    <row r="83" spans="2:10">
      <c r="B83" s="8" t="s">
        <v>359</v>
      </c>
      <c r="D83" s="8" t="s">
        <v>80</v>
      </c>
      <c r="H83" s="34">
        <f>'4. Operationele kosten'!H50</f>
        <v>52186641.654888637</v>
      </c>
      <c r="I83" s="34">
        <f>'4. Operationele kosten'!I50</f>
        <v>58966676.657870598</v>
      </c>
      <c r="J83" s="34">
        <f>'4. Operationele kosten'!J50</f>
        <v>57727032.277767785</v>
      </c>
    </row>
    <row r="84" spans="2:10">
      <c r="B84" s="8" t="s">
        <v>360</v>
      </c>
      <c r="D84" s="8" t="s">
        <v>80</v>
      </c>
      <c r="H84" s="34">
        <f>'4. Operationele kosten'!H51</f>
        <v>13332997.349999862</v>
      </c>
      <c r="I84" s="34">
        <f>'4. Operationele kosten'!I51</f>
        <v>-4033775.4499998912</v>
      </c>
      <c r="J84" s="34">
        <f>'4. Operationele kosten'!J51</f>
        <v>4257567.7600001208</v>
      </c>
    </row>
    <row r="86" spans="2:10">
      <c r="B86" s="7" t="s">
        <v>396</v>
      </c>
    </row>
    <row r="87" spans="2:10">
      <c r="B87" s="8" t="s">
        <v>333</v>
      </c>
      <c r="D87" s="8" t="s">
        <v>80</v>
      </c>
      <c r="H87" s="34">
        <f>'4. Operationele kosten'!H54</f>
        <v>62678.673099999993</v>
      </c>
      <c r="I87" s="34">
        <f>'4. Operationele kosten'!I54</f>
        <v>149300.92079999999</v>
      </c>
      <c r="J87" s="34">
        <f>'4. Operationele kosten'!J54</f>
        <v>126001.21919999999</v>
      </c>
    </row>
    <row r="88" spans="2:10">
      <c r="B88" s="8" t="s">
        <v>374</v>
      </c>
      <c r="D88" s="8" t="s">
        <v>80</v>
      </c>
      <c r="H88" s="34">
        <f>'4. Operationele kosten'!H55</f>
        <v>25069.307497870712</v>
      </c>
      <c r="I88" s="34">
        <f>'4. Operationele kosten'!I55</f>
        <v>25085.645318458082</v>
      </c>
      <c r="J88" s="34">
        <f>'4. Operationele kosten'!J55</f>
        <v>40786.908784958643</v>
      </c>
    </row>
    <row r="89" spans="2:10">
      <c r="B89" s="8" t="s">
        <v>375</v>
      </c>
      <c r="D89" s="8" t="s">
        <v>80</v>
      </c>
      <c r="H89" s="34">
        <f>'4. Operationele kosten'!H56</f>
        <v>8638139.9810210541</v>
      </c>
      <c r="I89" s="34">
        <f>'4. Operationele kosten'!I56</f>
        <v>7372072.1377573246</v>
      </c>
      <c r="J89" s="34">
        <f>'4. Operationele kosten'!J56</f>
        <v>8657622.4433206506</v>
      </c>
    </row>
    <row r="90" spans="2:10">
      <c r="B90" s="8" t="s">
        <v>334</v>
      </c>
      <c r="D90" s="8" t="s">
        <v>80</v>
      </c>
      <c r="H90" s="34">
        <f>'4. Operationele kosten'!H57</f>
        <v>941479.55991384038</v>
      </c>
      <c r="I90" s="34">
        <f>'4. Operationele kosten'!I57</f>
        <v>948122.07470568479</v>
      </c>
      <c r="J90" s="34">
        <f>'4. Operationele kosten'!J57</f>
        <v>896623.43631474697</v>
      </c>
    </row>
    <row r="91" spans="2:10">
      <c r="B91" s="8" t="s">
        <v>390</v>
      </c>
      <c r="D91" s="8" t="s">
        <v>80</v>
      </c>
      <c r="H91" s="34">
        <f>'4. Operationele kosten'!H58</f>
        <v>379443.06701699505</v>
      </c>
      <c r="I91" s="34">
        <f>'4. Operationele kosten'!I58</f>
        <v>272702.39978741592</v>
      </c>
      <c r="J91" s="34">
        <f>'4. Operationele kosten'!J58</f>
        <v>245267.37996084959</v>
      </c>
    </row>
    <row r="92" spans="2:10">
      <c r="B92" s="8" t="s">
        <v>391</v>
      </c>
      <c r="D92" s="8" t="s">
        <v>80</v>
      </c>
      <c r="H92" s="34">
        <f>'4. Operationele kosten'!H59</f>
        <v>552417.73588101869</v>
      </c>
      <c r="I92" s="34">
        <f>'4. Operationele kosten'!I59</f>
        <v>694649.38925039407</v>
      </c>
      <c r="J92" s="34">
        <f>'4. Operationele kosten'!J59</f>
        <v>785398.78668973362</v>
      </c>
    </row>
    <row r="93" spans="2:10">
      <c r="B93" s="8" t="s">
        <v>376</v>
      </c>
      <c r="D93" s="8" t="s">
        <v>80</v>
      </c>
      <c r="H93" s="34">
        <f>'4. Operationele kosten'!H60</f>
        <v>280927.35520436661</v>
      </c>
      <c r="I93" s="34">
        <f>'4. Operationele kosten'!I60</f>
        <v>298110.95553787274</v>
      </c>
      <c r="J93" s="34">
        <f>'4. Operationele kosten'!J60</f>
        <v>404556.57786120451</v>
      </c>
    </row>
    <row r="94" spans="2:10">
      <c r="B94" s="8" t="s">
        <v>377</v>
      </c>
      <c r="D94" s="8" t="s">
        <v>80</v>
      </c>
      <c r="H94" s="34">
        <f>'4. Operationele kosten'!H61</f>
        <v>1850097.579797494</v>
      </c>
      <c r="I94" s="34">
        <f>'4. Operationele kosten'!I61</f>
        <v>1912103.8707169078</v>
      </c>
      <c r="J94" s="34">
        <f>'4. Operationele kosten'!J61</f>
        <v>1873339.7464666641</v>
      </c>
    </row>
    <row r="96" spans="2:10">
      <c r="B96" s="7" t="s">
        <v>395</v>
      </c>
    </row>
    <row r="97" spans="2:16">
      <c r="B97" s="8" t="s">
        <v>333</v>
      </c>
      <c r="D97" s="8" t="s">
        <v>80</v>
      </c>
      <c r="H97" s="34">
        <f>'4. Operationele kosten'!H64</f>
        <v>209837.29689999999</v>
      </c>
      <c r="I97" s="34">
        <f>'4. Operationele kosten'!I64</f>
        <v>472786.24920000002</v>
      </c>
      <c r="J97" s="34">
        <f>'4. Operationele kosten'!J64</f>
        <v>399003.86079999997</v>
      </c>
    </row>
    <row r="98" spans="2:16">
      <c r="B98" s="8" t="s">
        <v>374</v>
      </c>
      <c r="D98" s="8" t="s">
        <v>80</v>
      </c>
      <c r="H98" s="34">
        <f>'4. Operationele kosten'!H65</f>
        <v>83927.681623306285</v>
      </c>
      <c r="I98" s="34">
        <f>'4. Operationele kosten'!I65</f>
        <v>79437.876841783931</v>
      </c>
      <c r="J98" s="34">
        <f>'4. Operationele kosten'!J65</f>
        <v>129158.54448570237</v>
      </c>
    </row>
    <row r="99" spans="2:16">
      <c r="B99" s="8" t="s">
        <v>375</v>
      </c>
      <c r="D99" s="8" t="s">
        <v>80</v>
      </c>
      <c r="H99" s="34">
        <f>'4. Operationele kosten'!H66</f>
        <v>7871372.8113389993</v>
      </c>
      <c r="I99" s="34">
        <f>'4. Operationele kosten'!I66</f>
        <v>6763470.699494265</v>
      </c>
      <c r="J99" s="34">
        <f>'4. Operationele kosten'!J66</f>
        <v>8478904.0944230184</v>
      </c>
    </row>
    <row r="100" spans="2:16">
      <c r="B100" s="8" t="s">
        <v>334</v>
      </c>
      <c r="D100" s="8" t="s">
        <v>80</v>
      </c>
      <c r="H100" s="34">
        <f>'4. Operationele kosten'!H67</f>
        <v>3151909.8310158891</v>
      </c>
      <c r="I100" s="34">
        <f>'4. Operationele kosten'!I67</f>
        <v>3002386.5699013392</v>
      </c>
      <c r="J100" s="34">
        <f>'4. Operationele kosten'!J67</f>
        <v>2839307.5483300369</v>
      </c>
    </row>
    <row r="101" spans="2:16">
      <c r="B101" s="8" t="s">
        <v>390</v>
      </c>
      <c r="D101" s="8" t="s">
        <v>80</v>
      </c>
      <c r="H101" s="34">
        <f>'4. Operationele kosten'!H68</f>
        <v>1270309.3982742878</v>
      </c>
      <c r="I101" s="34">
        <f>'4. Operationele kosten'!I68</f>
        <v>863557.59932681732</v>
      </c>
      <c r="J101" s="34">
        <f>'4. Operationele kosten'!J68</f>
        <v>776680.03654269036</v>
      </c>
    </row>
    <row r="102" spans="2:16">
      <c r="B102" s="8" t="s">
        <v>391</v>
      </c>
      <c r="D102" s="8" t="s">
        <v>80</v>
      </c>
      <c r="H102" s="34">
        <f>'4. Operationele kosten'!H69</f>
        <v>1849398.5070799321</v>
      </c>
      <c r="I102" s="34">
        <f>'4. Operationele kosten'!I69</f>
        <v>2199723.0659595812</v>
      </c>
      <c r="J102" s="34">
        <f>'4. Operationele kosten'!J69</f>
        <v>2487096.1578508229</v>
      </c>
    </row>
    <row r="103" spans="2:16">
      <c r="B103" s="8" t="s">
        <v>376</v>
      </c>
      <c r="D103" s="8" t="s">
        <v>80</v>
      </c>
      <c r="H103" s="34">
        <f>'4. Operationele kosten'!H70</f>
        <v>940495.92829286936</v>
      </c>
      <c r="I103" s="34">
        <f>'4. Operationele kosten'!I70</f>
        <v>944018.02586993435</v>
      </c>
      <c r="J103" s="34">
        <f>'4. Operationele kosten'!J70</f>
        <v>1281095.8298938205</v>
      </c>
    </row>
    <row r="104" spans="2:16">
      <c r="B104" s="8" t="s">
        <v>377</v>
      </c>
      <c r="D104" s="8" t="s">
        <v>80</v>
      </c>
      <c r="H104" s="34">
        <f>'4. Operationele kosten'!H71</f>
        <v>6193804.9410611782</v>
      </c>
      <c r="I104" s="34">
        <f>'4. Operationele kosten'!I71</f>
        <v>6054995.5906035407</v>
      </c>
      <c r="J104" s="34">
        <f>'4. Operationele kosten'!J71</f>
        <v>5932242.5304777697</v>
      </c>
    </row>
    <row r="106" spans="2:16">
      <c r="B106" s="7" t="s">
        <v>293</v>
      </c>
    </row>
    <row r="107" spans="2:16">
      <c r="B107" s="8" t="s">
        <v>422</v>
      </c>
      <c r="D107" s="8" t="s">
        <v>80</v>
      </c>
      <c r="H107" s="34">
        <f>'3. GAW model'!H55</f>
        <v>2208557789.0624371</v>
      </c>
      <c r="I107" s="34">
        <f>'3. GAW model'!I55</f>
        <v>2469632477.2863765</v>
      </c>
      <c r="J107" s="34">
        <f>'3. GAW model'!J55</f>
        <v>2879841595.7457714</v>
      </c>
      <c r="K107" s="34">
        <f>'3. GAW model'!K55</f>
        <v>2966897085.4281526</v>
      </c>
      <c r="L107" s="34">
        <f>'3. GAW model'!L55</f>
        <v>3020301232.9658608</v>
      </c>
      <c r="M107" s="34">
        <f>'3. GAW model'!M55</f>
        <v>3074666655.159246</v>
      </c>
      <c r="N107" s="34">
        <f>'3. GAW model'!N55</f>
        <v>3130010654.9521141</v>
      </c>
      <c r="O107" s="34">
        <f>'3. GAW model'!O55</f>
        <v>3186350846.7412548</v>
      </c>
      <c r="P107" s="34">
        <f>'3. GAW model'!P55</f>
        <v>3243705161.9825974</v>
      </c>
    </row>
    <row r="108" spans="2:16">
      <c r="B108" s="8" t="s">
        <v>398</v>
      </c>
      <c r="D108" s="8" t="s">
        <v>80</v>
      </c>
      <c r="H108" s="34">
        <f>'3. GAW model'!H56</f>
        <v>0</v>
      </c>
      <c r="I108" s="34">
        <f>'3. GAW model'!I56</f>
        <v>0</v>
      </c>
      <c r="J108" s="34">
        <f>'3. GAW model'!J56</f>
        <v>0</v>
      </c>
      <c r="K108" s="34">
        <f>'3. GAW model'!K56</f>
        <v>18604514.913461395</v>
      </c>
      <c r="L108" s="34">
        <f>'3. GAW model'!L56</f>
        <v>37878792.363807403</v>
      </c>
      <c r="M108" s="34">
        <f>'3. GAW model'!M56</f>
        <v>38560610.626355939</v>
      </c>
      <c r="N108" s="34">
        <f>'3. GAW model'!N56</f>
        <v>39254701.61763034</v>
      </c>
      <c r="O108" s="34">
        <f>'3. GAW model'!O56</f>
        <v>39961286.24674768</v>
      </c>
      <c r="P108" s="34">
        <f>'3. GAW model'!P56</f>
        <v>40680589.399189152</v>
      </c>
    </row>
    <row r="109" spans="2:16">
      <c r="B109" s="8" t="s">
        <v>399</v>
      </c>
      <c r="D109" s="8" t="s">
        <v>80</v>
      </c>
      <c r="H109" s="34">
        <f>'3. GAW model'!H57</f>
        <v>0</v>
      </c>
      <c r="I109" s="34">
        <f>'3. GAW model'!I57</f>
        <v>0</v>
      </c>
      <c r="J109" s="34">
        <f>'3. GAW model'!J57</f>
        <v>0</v>
      </c>
      <c r="K109" s="34">
        <f>'3. GAW model'!K57</f>
        <v>0</v>
      </c>
      <c r="L109" s="34">
        <f>'3. GAW model'!L57</f>
        <v>18844699.200994186</v>
      </c>
      <c r="M109" s="34">
        <f>'3. GAW model'!M57</f>
        <v>38367807.573224157</v>
      </c>
      <c r="N109" s="34">
        <f>'3. GAW model'!N57</f>
        <v>39058428.109542198</v>
      </c>
      <c r="O109" s="34">
        <f>'3. GAW model'!O57</f>
        <v>39761479.815513961</v>
      </c>
      <c r="P109" s="34">
        <f>'3. GAW model'!P57</f>
        <v>40477186.452193215</v>
      </c>
    </row>
    <row r="110" spans="2:16">
      <c r="B110" s="8" t="s">
        <v>400</v>
      </c>
      <c r="D110" s="8" t="s">
        <v>80</v>
      </c>
      <c r="H110" s="34">
        <f>'3. GAW model'!H58</f>
        <v>0</v>
      </c>
      <c r="I110" s="34">
        <f>'3. GAW model'!I58</f>
        <v>0</v>
      </c>
      <c r="J110" s="34">
        <f>'3. GAW model'!J58</f>
        <v>0</v>
      </c>
      <c r="K110" s="34">
        <f>'3. GAW model'!K58</f>
        <v>0</v>
      </c>
      <c r="L110" s="34">
        <f>'3. GAW model'!L58</f>
        <v>0</v>
      </c>
      <c r="M110" s="34">
        <f>'3. GAW model'!M58</f>
        <v>19087984.267679021</v>
      </c>
      <c r="N110" s="34">
        <f>'3. GAW model'!N58</f>
        <v>38863135.968994476</v>
      </c>
      <c r="O110" s="34">
        <f>'3. GAW model'!O58</f>
        <v>39562672.416436389</v>
      </c>
      <c r="P110" s="34">
        <f>'3. GAW model'!P58</f>
        <v>40274800.51993224</v>
      </c>
    </row>
    <row r="111" spans="2:16">
      <c r="B111" s="8" t="s">
        <v>401</v>
      </c>
      <c r="D111" s="8" t="s">
        <v>80</v>
      </c>
      <c r="H111" s="34">
        <f>'3. GAW model'!H59</f>
        <v>0</v>
      </c>
      <c r="I111" s="34">
        <f>'3. GAW model'!I59</f>
        <v>0</v>
      </c>
      <c r="J111" s="34">
        <f>'3. GAW model'!J59</f>
        <v>0</v>
      </c>
      <c r="K111" s="34">
        <f>'3. GAW model'!K59</f>
        <v>0</v>
      </c>
      <c r="L111" s="34">
        <f>'3. GAW model'!L59</f>
        <v>0</v>
      </c>
      <c r="M111" s="34">
        <f>'3. GAW model'!M59</f>
        <v>0</v>
      </c>
      <c r="N111" s="34">
        <f>'3. GAW model'!N59</f>
        <v>19334410.14457475</v>
      </c>
      <c r="O111" s="34">
        <f>'3. GAW model'!O59</f>
        <v>39364859.054354213</v>
      </c>
      <c r="P111" s="34">
        <f>'3. GAW model'!P59</f>
        <v>40073426.517332576</v>
      </c>
    </row>
    <row r="112" spans="2:16">
      <c r="B112" s="8" t="s">
        <v>402</v>
      </c>
      <c r="D112" s="8" t="s">
        <v>80</v>
      </c>
      <c r="H112" s="34">
        <f>'3. GAW model'!H60</f>
        <v>0</v>
      </c>
      <c r="I112" s="34">
        <f>'3. GAW model'!I60</f>
        <v>0</v>
      </c>
      <c r="J112" s="34">
        <f>'3. GAW model'!J60</f>
        <v>0</v>
      </c>
      <c r="K112" s="34">
        <f>'3. GAW model'!K60</f>
        <v>0</v>
      </c>
      <c r="L112" s="34">
        <f>'3. GAW model'!L60</f>
        <v>0</v>
      </c>
      <c r="M112" s="34">
        <f>'3. GAW model'!M60</f>
        <v>0</v>
      </c>
      <c r="N112" s="34">
        <f>'3. GAW model'!N60</f>
        <v>0</v>
      </c>
      <c r="O112" s="34">
        <f>'3. GAW model'!O60</f>
        <v>19584017.379541215</v>
      </c>
      <c r="P112" s="34">
        <f>'3. GAW model'!P60</f>
        <v>39873059.384745903</v>
      </c>
    </row>
    <row r="113" spans="2:16">
      <c r="B113" s="8" t="s">
        <v>403</v>
      </c>
      <c r="D113" s="8" t="s">
        <v>80</v>
      </c>
      <c r="H113" s="34">
        <f>'3. GAW model'!H61</f>
        <v>0</v>
      </c>
      <c r="I113" s="34">
        <f>'3. GAW model'!I61</f>
        <v>0</v>
      </c>
      <c r="J113" s="34">
        <f>'3. GAW model'!J61</f>
        <v>0</v>
      </c>
      <c r="K113" s="34">
        <f>'3. GAW model'!K61</f>
        <v>0</v>
      </c>
      <c r="L113" s="34">
        <f>'3. GAW model'!L61</f>
        <v>0</v>
      </c>
      <c r="M113" s="34">
        <f>'3. GAW model'!M61</f>
        <v>0</v>
      </c>
      <c r="N113" s="34">
        <f>'3. GAW model'!N61</f>
        <v>0</v>
      </c>
      <c r="O113" s="34">
        <f>'3. GAW model'!O61</f>
        <v>0</v>
      </c>
      <c r="P113" s="34">
        <f>'3. GAW model'!P61</f>
        <v>19836847.043911099</v>
      </c>
    </row>
    <row r="115" spans="2:16">
      <c r="B115" s="8" t="s">
        <v>423</v>
      </c>
      <c r="D115" s="8" t="s">
        <v>80</v>
      </c>
      <c r="H115" s="34">
        <f>'3. GAW model'!H63</f>
        <v>246155076.6395869</v>
      </c>
      <c r="I115" s="34">
        <f>'3. GAW model'!I63</f>
        <v>307974376.07155591</v>
      </c>
      <c r="J115" s="34">
        <f>'3. GAW model'!J63</f>
        <v>365464385.44380444</v>
      </c>
      <c r="K115" s="34">
        <f>'3. GAW model'!K63</f>
        <v>386958326.75879067</v>
      </c>
      <c r="L115" s="34">
        <f>'3. GAW model'!L63</f>
        <v>393923576.64044899</v>
      </c>
      <c r="M115" s="34">
        <f>'3. GAW model'!M63</f>
        <v>401014201.01997727</v>
      </c>
      <c r="N115" s="34">
        <f>'3. GAW model'!N63</f>
        <v>408232456.63833666</v>
      </c>
      <c r="O115" s="34">
        <f>'3. GAW model'!O63</f>
        <v>415580640.85782695</v>
      </c>
      <c r="P115" s="34">
        <f>'3. GAW model'!P63</f>
        <v>423061092.39326805</v>
      </c>
    </row>
    <row r="116" spans="2:16">
      <c r="B116" s="8" t="s">
        <v>404</v>
      </c>
      <c r="D116" s="8" t="s">
        <v>80</v>
      </c>
      <c r="H116" s="34">
        <f>'3. GAW model'!H64</f>
        <v>0</v>
      </c>
      <c r="I116" s="34">
        <f>'3. GAW model'!I64</f>
        <v>0</v>
      </c>
      <c r="J116" s="34">
        <f>'3. GAW model'!J64</f>
        <v>0</v>
      </c>
      <c r="K116" s="34">
        <f>'3. GAW model'!K64</f>
        <v>9102443.8855795767</v>
      </c>
      <c r="L116" s="34">
        <f>'3. GAW model'!L64</f>
        <v>18532575.751040015</v>
      </c>
      <c r="M116" s="34">
        <f>'3. GAW model'!M64</f>
        <v>18866162.114558734</v>
      </c>
      <c r="N116" s="34">
        <f>'3. GAW model'!N64</f>
        <v>19205753.032620795</v>
      </c>
      <c r="O116" s="34">
        <f>'3. GAW model'!O64</f>
        <v>19551456.587207966</v>
      </c>
      <c r="P116" s="34">
        <f>'3. GAW model'!P64</f>
        <v>19903382.805777714</v>
      </c>
    </row>
    <row r="117" spans="2:16">
      <c r="B117" s="8" t="s">
        <v>405</v>
      </c>
      <c r="D117" s="8" t="s">
        <v>80</v>
      </c>
      <c r="H117" s="34">
        <f>'3. GAW model'!H65</f>
        <v>0</v>
      </c>
      <c r="I117" s="34">
        <f>'3. GAW model'!I65</f>
        <v>0</v>
      </c>
      <c r="J117" s="34">
        <f>'3. GAW model'!J65</f>
        <v>0</v>
      </c>
      <c r="K117" s="34">
        <f>'3. GAW model'!K65</f>
        <v>0</v>
      </c>
      <c r="L117" s="34">
        <f>'3. GAW model'!L65</f>
        <v>9219956.4361424092</v>
      </c>
      <c r="M117" s="34">
        <f>'3. GAW model'!M65</f>
        <v>18771831.303985946</v>
      </c>
      <c r="N117" s="34">
        <f>'3. GAW model'!N65</f>
        <v>19109724.26745769</v>
      </c>
      <c r="O117" s="34">
        <f>'3. GAW model'!O65</f>
        <v>19453699.304271929</v>
      </c>
      <c r="P117" s="34">
        <f>'3. GAW model'!P65</f>
        <v>19803865.891748823</v>
      </c>
    </row>
    <row r="118" spans="2:16">
      <c r="B118" s="8" t="s">
        <v>406</v>
      </c>
      <c r="D118" s="8" t="s">
        <v>80</v>
      </c>
      <c r="H118" s="34">
        <f>'3. GAW model'!H66</f>
        <v>0</v>
      </c>
      <c r="I118" s="34">
        <f>'3. GAW model'!I66</f>
        <v>0</v>
      </c>
      <c r="J118" s="34">
        <f>'3. GAW model'!J66</f>
        <v>0</v>
      </c>
      <c r="K118" s="34">
        <f>'3. GAW model'!K66</f>
        <v>0</v>
      </c>
      <c r="L118" s="34">
        <f>'3. GAW model'!L66</f>
        <v>0</v>
      </c>
      <c r="M118" s="34">
        <f>'3. GAW model'!M66</f>
        <v>9338986.0737330075</v>
      </c>
      <c r="N118" s="34">
        <f>'3. GAW model'!N66</f>
        <v>19014175.646120403</v>
      </c>
      <c r="O118" s="34">
        <f>'3. GAW model'!O66</f>
        <v>19356430.807750572</v>
      </c>
      <c r="P118" s="34">
        <f>'3. GAW model'!P66</f>
        <v>19704846.56229008</v>
      </c>
    </row>
    <row r="119" spans="2:16">
      <c r="B119" s="8" t="s">
        <v>407</v>
      </c>
      <c r="D119" s="8" t="s">
        <v>80</v>
      </c>
      <c r="H119" s="34">
        <f>'3. GAW model'!H67</f>
        <v>0</v>
      </c>
      <c r="I119" s="34">
        <f>'3. GAW model'!I67</f>
        <v>0</v>
      </c>
      <c r="J119" s="34">
        <f>'3. GAW model'!J67</f>
        <v>0</v>
      </c>
      <c r="K119" s="34">
        <f>'3. GAW model'!K67</f>
        <v>0</v>
      </c>
      <c r="L119" s="34">
        <f>'3. GAW model'!L67</f>
        <v>0</v>
      </c>
      <c r="M119" s="34">
        <f>'3. GAW model'!M67</f>
        <v>0</v>
      </c>
      <c r="N119" s="34">
        <f>'3. GAW model'!N67</f>
        <v>9459552.3839449007</v>
      </c>
      <c r="O119" s="34">
        <f>'3. GAW model'!O67</f>
        <v>19259648.653711814</v>
      </c>
      <c r="P119" s="34">
        <f>'3. GAW model'!P67</f>
        <v>19606322.329478629</v>
      </c>
    </row>
    <row r="120" spans="2:16">
      <c r="B120" s="8" t="s">
        <v>408</v>
      </c>
      <c r="D120" s="8" t="s">
        <v>80</v>
      </c>
      <c r="H120" s="34">
        <f>'3. GAW model'!H68</f>
        <v>0</v>
      </c>
      <c r="I120" s="34">
        <f>'3. GAW model'!I68</f>
        <v>0</v>
      </c>
      <c r="J120" s="34">
        <f>'3. GAW model'!J68</f>
        <v>0</v>
      </c>
      <c r="K120" s="34">
        <f>'3. GAW model'!K68</f>
        <v>0</v>
      </c>
      <c r="L120" s="34">
        <f>'3. GAW model'!L68</f>
        <v>0</v>
      </c>
      <c r="M120" s="34">
        <f>'3. GAW model'!M68</f>
        <v>0</v>
      </c>
      <c r="N120" s="34">
        <f>'3. GAW model'!N68</f>
        <v>0</v>
      </c>
      <c r="O120" s="34">
        <f>'3. GAW model'!O68</f>
        <v>9581675.2052216306</v>
      </c>
      <c r="P120" s="34">
        <f>'3. GAW model'!P68</f>
        <v>19508290.717831239</v>
      </c>
    </row>
    <row r="121" spans="2:16">
      <c r="B121" s="8" t="s">
        <v>409</v>
      </c>
      <c r="D121" s="8" t="s">
        <v>80</v>
      </c>
      <c r="H121" s="34">
        <f>'3. GAW model'!H69</f>
        <v>0</v>
      </c>
      <c r="I121" s="34">
        <f>'3. GAW model'!I69</f>
        <v>0</v>
      </c>
      <c r="J121" s="34">
        <f>'3. GAW model'!J69</f>
        <v>0</v>
      </c>
      <c r="K121" s="34">
        <f>'3. GAW model'!K69</f>
        <v>0</v>
      </c>
      <c r="L121" s="34">
        <f>'3. GAW model'!L69</f>
        <v>0</v>
      </c>
      <c r="M121" s="34">
        <f>'3. GAW model'!M69</f>
        <v>0</v>
      </c>
      <c r="N121" s="34">
        <f>'3. GAW model'!N69</f>
        <v>0</v>
      </c>
      <c r="O121" s="34">
        <f>'3. GAW model'!O69</f>
        <v>0</v>
      </c>
      <c r="P121" s="34">
        <f>'3. GAW model'!P69</f>
        <v>9705374.6321210396</v>
      </c>
    </row>
    <row r="123" spans="2:16">
      <c r="B123" s="8" t="s">
        <v>424</v>
      </c>
      <c r="D123" s="8" t="s">
        <v>80</v>
      </c>
      <c r="H123" s="34">
        <f>'3. GAW model'!H71</f>
        <v>2661417413.9185042</v>
      </c>
      <c r="I123" s="34">
        <f>'3. GAW model'!I71</f>
        <v>2909244156.5210791</v>
      </c>
      <c r="J123" s="34">
        <f>'3. GAW model'!J71</f>
        <v>3247870144.7661071</v>
      </c>
      <c r="K123" s="34">
        <f>'3. GAW model'!K71</f>
        <v>3382568640.1363845</v>
      </c>
      <c r="L123" s="34">
        <f>'3. GAW model'!L71</f>
        <v>3443454875.6588373</v>
      </c>
      <c r="M123" s="34">
        <f>'3. GAW model'!M71</f>
        <v>3505437063.4206977</v>
      </c>
      <c r="N123" s="34">
        <f>'3. GAW model'!N71</f>
        <v>3555912527.3554735</v>
      </c>
      <c r="O123" s="34">
        <f>'3. GAW model'!O71</f>
        <v>3606811255.2206302</v>
      </c>
      <c r="P123" s="34">
        <f>'3. GAW model'!P71</f>
        <v>3671733857.8146043</v>
      </c>
    </row>
    <row r="124" spans="2:16">
      <c r="B124" s="8" t="s">
        <v>410</v>
      </c>
      <c r="D124" s="8" t="s">
        <v>80</v>
      </c>
      <c r="H124" s="34">
        <f>'3. GAW model'!H72</f>
        <v>0</v>
      </c>
      <c r="I124" s="34">
        <f>'3. GAW model'!I72</f>
        <v>0</v>
      </c>
      <c r="J124" s="34">
        <f>'3. GAW model'!J72</f>
        <v>0</v>
      </c>
      <c r="K124" s="34">
        <f>'3. GAW model'!K72</f>
        <v>95206550.777798012</v>
      </c>
      <c r="L124" s="34">
        <f>'3. GAW model'!L72</f>
        <v>193840537.38359678</v>
      </c>
      <c r="M124" s="34">
        <f>'3. GAW model'!M72</f>
        <v>197329667.05650151</v>
      </c>
      <c r="N124" s="34">
        <f>'3. GAW model'!N72</f>
        <v>200881601.06351852</v>
      </c>
      <c r="O124" s="34">
        <f>'3. GAW model'!O72</f>
        <v>204497469.88266185</v>
      </c>
      <c r="P124" s="34">
        <f>'3. GAW model'!P72</f>
        <v>208178424.3405498</v>
      </c>
    </row>
    <row r="125" spans="2:16">
      <c r="B125" s="8" t="s">
        <v>411</v>
      </c>
      <c r="D125" s="8" t="s">
        <v>80</v>
      </c>
      <c r="H125" s="34">
        <f>'3. GAW model'!H73</f>
        <v>0</v>
      </c>
      <c r="I125" s="34">
        <f>'3. GAW model'!I73</f>
        <v>0</v>
      </c>
      <c r="J125" s="34">
        <f>'3. GAW model'!J73</f>
        <v>0</v>
      </c>
      <c r="K125" s="34">
        <f>'3. GAW model'!K73</f>
        <v>0</v>
      </c>
      <c r="L125" s="34">
        <f>'3. GAW model'!L73</f>
        <v>96435667.348339379</v>
      </c>
      <c r="M125" s="34">
        <f>'3. GAW model'!M73</f>
        <v>196343018.721219</v>
      </c>
      <c r="N125" s="34">
        <f>'3. GAW model'!N73</f>
        <v>199877193.05820093</v>
      </c>
      <c r="O125" s="34">
        <f>'3. GAW model'!O73</f>
        <v>203474982.53324857</v>
      </c>
      <c r="P125" s="34">
        <f>'3. GAW model'!P73</f>
        <v>207137532.21884701</v>
      </c>
    </row>
    <row r="126" spans="2:16">
      <c r="B126" s="8" t="s">
        <v>412</v>
      </c>
      <c r="D126" s="8" t="s">
        <v>80</v>
      </c>
      <c r="H126" s="34">
        <f>'3. GAW model'!H74</f>
        <v>0</v>
      </c>
      <c r="I126" s="34">
        <f>'3. GAW model'!I74</f>
        <v>0</v>
      </c>
      <c r="J126" s="34">
        <f>'3. GAW model'!J74</f>
        <v>0</v>
      </c>
      <c r="K126" s="34">
        <f>'3. GAW model'!K74</f>
        <v>0</v>
      </c>
      <c r="L126" s="34">
        <f>'3. GAW model'!L74</f>
        <v>0</v>
      </c>
      <c r="M126" s="34">
        <f>'3. GAW model'!M74</f>
        <v>97680651.813806459</v>
      </c>
      <c r="N126" s="34">
        <f>'3. GAW model'!N74</f>
        <v>198877807.09290996</v>
      </c>
      <c r="O126" s="34">
        <f>'3. GAW model'!O74</f>
        <v>202457607.62058228</v>
      </c>
      <c r="P126" s="34">
        <f>'3. GAW model'!P74</f>
        <v>206101844.55775282</v>
      </c>
    </row>
    <row r="127" spans="2:16">
      <c r="B127" s="8" t="s">
        <v>413</v>
      </c>
      <c r="D127" s="8" t="s">
        <v>80</v>
      </c>
      <c r="H127" s="34">
        <f>'3. GAW model'!H75</f>
        <v>0</v>
      </c>
      <c r="I127" s="34">
        <f>'3. GAW model'!I75</f>
        <v>0</v>
      </c>
      <c r="J127" s="34">
        <f>'3. GAW model'!J75</f>
        <v>0</v>
      </c>
      <c r="K127" s="34">
        <f>'3. GAW model'!K75</f>
        <v>0</v>
      </c>
      <c r="L127" s="34">
        <f>'3. GAW model'!L75</f>
        <v>0</v>
      </c>
      <c r="M127" s="34">
        <f>'3. GAW model'!M75</f>
        <v>0</v>
      </c>
      <c r="N127" s="34">
        <f>'3. GAW model'!N75</f>
        <v>98941709.028722703</v>
      </c>
      <c r="O127" s="34">
        <f>'3. GAW model'!O75</f>
        <v>201445319.58247942</v>
      </c>
      <c r="P127" s="34">
        <f>'3. GAW model'!P75</f>
        <v>205071335.33496404</v>
      </c>
    </row>
    <row r="128" spans="2:16">
      <c r="B128" s="8" t="s">
        <v>414</v>
      </c>
      <c r="D128" s="8" t="s">
        <v>80</v>
      </c>
      <c r="H128" s="34">
        <f>'3. GAW model'!H76</f>
        <v>0</v>
      </c>
      <c r="I128" s="34">
        <f>'3. GAW model'!I76</f>
        <v>0</v>
      </c>
      <c r="J128" s="34">
        <f>'3. GAW model'!J76</f>
        <v>0</v>
      </c>
      <c r="K128" s="34">
        <f>'3. GAW model'!K76</f>
        <v>0</v>
      </c>
      <c r="L128" s="34">
        <f>'3. GAW model'!L76</f>
        <v>0</v>
      </c>
      <c r="M128" s="34">
        <f>'3. GAW model'!M76</f>
        <v>0</v>
      </c>
      <c r="N128" s="34">
        <f>'3. GAW model'!N76</f>
        <v>0</v>
      </c>
      <c r="O128" s="34">
        <f>'3. GAW model'!O76</f>
        <v>100219046.49228351</v>
      </c>
      <c r="P128" s="34">
        <f>'3. GAW model'!P76</f>
        <v>204045978.65828922</v>
      </c>
    </row>
    <row r="129" spans="2:16">
      <c r="B129" s="8" t="s">
        <v>415</v>
      </c>
      <c r="D129" s="8" t="s">
        <v>80</v>
      </c>
      <c r="H129" s="34">
        <f>'3. GAW model'!H77</f>
        <v>0</v>
      </c>
      <c r="I129" s="34">
        <f>'3. GAW model'!I77</f>
        <v>0</v>
      </c>
      <c r="J129" s="34">
        <f>'3. GAW model'!J77</f>
        <v>0</v>
      </c>
      <c r="K129" s="34">
        <f>'3. GAW model'!K77</f>
        <v>0</v>
      </c>
      <c r="L129" s="34">
        <f>'3. GAW model'!L77</f>
        <v>0</v>
      </c>
      <c r="M129" s="34">
        <f>'3. GAW model'!M77</f>
        <v>0</v>
      </c>
      <c r="N129" s="34">
        <f>'3. GAW model'!N77</f>
        <v>0</v>
      </c>
      <c r="O129" s="34">
        <f>'3. GAW model'!O77</f>
        <v>0</v>
      </c>
      <c r="P129" s="34">
        <f>'3. GAW model'!P77</f>
        <v>101512874.38249889</v>
      </c>
    </row>
    <row r="131" spans="2:16">
      <c r="B131" s="8" t="s">
        <v>425</v>
      </c>
      <c r="D131" s="8" t="s">
        <v>80</v>
      </c>
      <c r="H131" s="34">
        <f>'3. GAW model'!H79</f>
        <v>253075290.56766963</v>
      </c>
      <c r="I131" s="34">
        <f>'3. GAW model'!I79</f>
        <v>269008108.64268476</v>
      </c>
      <c r="J131" s="34">
        <f>'3. GAW model'!J79</f>
        <v>305144011.40594423</v>
      </c>
      <c r="K131" s="34">
        <f>'3. GAW model'!K79</f>
        <v>336780276.44268548</v>
      </c>
      <c r="L131" s="34">
        <f>'3. GAW model'!L79</f>
        <v>342842321.41865432</v>
      </c>
      <c r="M131" s="34">
        <f>'3. GAW model'!M79</f>
        <v>349013483.20419008</v>
      </c>
      <c r="N131" s="34">
        <f>'3. GAW model'!N79</f>
        <v>354633036.6904887</v>
      </c>
      <c r="O131" s="34">
        <f>'3. GAW model'!O79</f>
        <v>360328263.68100071</v>
      </c>
      <c r="P131" s="34">
        <f>'3. GAW model'!P79</f>
        <v>366814172.42725885</v>
      </c>
    </row>
    <row r="132" spans="2:16">
      <c r="B132" s="8" t="s">
        <v>416</v>
      </c>
      <c r="D132" s="8" t="s">
        <v>80</v>
      </c>
      <c r="H132" s="34">
        <f>'3. GAW model'!H80</f>
        <v>0</v>
      </c>
      <c r="I132" s="34">
        <f>'3. GAW model'!I80</f>
        <v>0</v>
      </c>
      <c r="J132" s="34">
        <f>'3. GAW model'!J80</f>
        <v>0</v>
      </c>
      <c r="K132" s="34">
        <f>'3. GAW model'!K80</f>
        <v>15433281.038368836</v>
      </c>
      <c r="L132" s="34">
        <f>'3. GAW model'!L80</f>
        <v>31422160.194118951</v>
      </c>
      <c r="M132" s="34">
        <f>'3. GAW model'!M80</f>
        <v>31987759.077613093</v>
      </c>
      <c r="N132" s="34">
        <f>'3. GAW model'!N80</f>
        <v>32563538.741010129</v>
      </c>
      <c r="O132" s="34">
        <f>'3. GAW model'!O80</f>
        <v>33149682.438348308</v>
      </c>
      <c r="P132" s="34">
        <f>'3. GAW model'!P80</f>
        <v>33746376.722238585</v>
      </c>
    </row>
    <row r="133" spans="2:16">
      <c r="B133" s="8" t="s">
        <v>417</v>
      </c>
      <c r="D133" s="8" t="s">
        <v>80</v>
      </c>
      <c r="H133" s="34">
        <f>'3. GAW model'!H81</f>
        <v>0</v>
      </c>
      <c r="I133" s="34">
        <f>'3. GAW model'!I81</f>
        <v>0</v>
      </c>
      <c r="J133" s="34">
        <f>'3. GAW model'!J81</f>
        <v>0</v>
      </c>
      <c r="K133" s="34">
        <f>'3. GAW model'!K81</f>
        <v>0</v>
      </c>
      <c r="L133" s="34">
        <f>'3. GAW model'!L81</f>
        <v>15632524.696574178</v>
      </c>
      <c r="M133" s="34">
        <f>'3. GAW model'!M81</f>
        <v>31827820.282225028</v>
      </c>
      <c r="N133" s="34">
        <f>'3. GAW model'!N81</f>
        <v>32400721.047305077</v>
      </c>
      <c r="O133" s="34">
        <f>'3. GAW model'!O81</f>
        <v>32983934.026156567</v>
      </c>
      <c r="P133" s="34">
        <f>'3. GAW model'!P81</f>
        <v>33577644.838627383</v>
      </c>
    </row>
    <row r="134" spans="2:16">
      <c r="B134" s="8" t="s">
        <v>418</v>
      </c>
      <c r="D134" s="8" t="s">
        <v>80</v>
      </c>
      <c r="H134" s="34">
        <f>'3. GAW model'!H82</f>
        <v>0</v>
      </c>
      <c r="I134" s="34">
        <f>'3. GAW model'!I82</f>
        <v>0</v>
      </c>
      <c r="J134" s="34">
        <f>'3. GAW model'!J82</f>
        <v>0</v>
      </c>
      <c r="K134" s="34">
        <f>'3. GAW model'!K82</f>
        <v>0</v>
      </c>
      <c r="L134" s="34">
        <f>'3. GAW model'!L82</f>
        <v>0</v>
      </c>
      <c r="M134" s="34">
        <f>'3. GAW model'!M82</f>
        <v>15834340.590406951</v>
      </c>
      <c r="N134" s="34">
        <f>'3. GAW model'!N82</f>
        <v>32238717.442068554</v>
      </c>
      <c r="O134" s="34">
        <f>'3. GAW model'!O82</f>
        <v>32819014.356025785</v>
      </c>
      <c r="P134" s="34">
        <f>'3. GAW model'!P82</f>
        <v>33409756.61443425</v>
      </c>
    </row>
    <row r="135" spans="2:16">
      <c r="B135" s="8" t="s">
        <v>419</v>
      </c>
      <c r="D135" s="8" t="s">
        <v>80</v>
      </c>
      <c r="H135" s="34">
        <f>'3. GAW model'!H83</f>
        <v>0</v>
      </c>
      <c r="I135" s="34">
        <f>'3. GAW model'!I83</f>
        <v>0</v>
      </c>
      <c r="J135" s="34">
        <f>'3. GAW model'!J83</f>
        <v>0</v>
      </c>
      <c r="K135" s="34">
        <f>'3. GAW model'!K83</f>
        <v>0</v>
      </c>
      <c r="L135" s="34">
        <f>'3. GAW model'!L83</f>
        <v>0</v>
      </c>
      <c r="M135" s="34">
        <f>'3. GAW model'!M83</f>
        <v>0</v>
      </c>
      <c r="N135" s="34">
        <f>'3. GAW model'!N83</f>
        <v>16038761.927429104</v>
      </c>
      <c r="O135" s="34">
        <f>'3. GAW model'!O83</f>
        <v>32654919.284245655</v>
      </c>
      <c r="P135" s="34">
        <f>'3. GAW model'!P83</f>
        <v>33242707.831362076</v>
      </c>
    </row>
    <row r="136" spans="2:16">
      <c r="B136" s="8" t="s">
        <v>420</v>
      </c>
      <c r="D136" s="8" t="s">
        <v>80</v>
      </c>
      <c r="H136" s="34">
        <f>'3. GAW model'!H84</f>
        <v>0</v>
      </c>
      <c r="I136" s="34">
        <f>'3. GAW model'!I84</f>
        <v>0</v>
      </c>
      <c r="J136" s="34">
        <f>'3. GAW model'!J84</f>
        <v>0</v>
      </c>
      <c r="K136" s="34">
        <f>'3. GAW model'!K84</f>
        <v>0</v>
      </c>
      <c r="L136" s="34">
        <f>'3. GAW model'!L84</f>
        <v>0</v>
      </c>
      <c r="M136" s="34">
        <f>'3. GAW model'!M84</f>
        <v>0</v>
      </c>
      <c r="N136" s="34">
        <f>'3. GAW model'!N84</f>
        <v>0</v>
      </c>
      <c r="O136" s="34">
        <f>'3. GAW model'!O84</f>
        <v>16245822.343912216</v>
      </c>
      <c r="P136" s="34">
        <f>'3. GAW model'!P84</f>
        <v>33076494.29220527</v>
      </c>
    </row>
    <row r="137" spans="2:16">
      <c r="B137" s="8" t="s">
        <v>421</v>
      </c>
      <c r="D137" s="8" t="s">
        <v>80</v>
      </c>
      <c r="H137" s="34">
        <f>'3. GAW model'!H85</f>
        <v>0</v>
      </c>
      <c r="I137" s="34">
        <f>'3. GAW model'!I85</f>
        <v>0</v>
      </c>
      <c r="J137" s="34">
        <f>'3. GAW model'!J85</f>
        <v>0</v>
      </c>
      <c r="K137" s="34">
        <f>'3. GAW model'!K85</f>
        <v>0</v>
      </c>
      <c r="L137" s="34">
        <f>'3. GAW model'!L85</f>
        <v>0</v>
      </c>
      <c r="M137" s="34">
        <f>'3. GAW model'!M85</f>
        <v>0</v>
      </c>
      <c r="N137" s="34">
        <f>'3. GAW model'!N85</f>
        <v>0</v>
      </c>
      <c r="O137" s="34">
        <f>'3. GAW model'!O85</f>
        <v>0</v>
      </c>
      <c r="P137" s="34">
        <f>'3. GAW model'!P85</f>
        <v>16455555.910372125</v>
      </c>
    </row>
    <row r="138" spans="2:16">
      <c r="B138" s="7"/>
    </row>
    <row r="139" spans="2:16">
      <c r="B139" s="7" t="s">
        <v>363</v>
      </c>
    </row>
    <row r="140" spans="2:16">
      <c r="B140" s="8" t="s">
        <v>268</v>
      </c>
      <c r="D140" s="8" t="s">
        <v>206</v>
      </c>
      <c r="I140" s="34">
        <f>'2. Reguleringsparameters'!F47</f>
        <v>134675214</v>
      </c>
    </row>
    <row r="141" spans="2:16">
      <c r="B141" s="8" t="s">
        <v>269</v>
      </c>
      <c r="D141" s="8" t="s">
        <v>206</v>
      </c>
      <c r="I141" s="34">
        <f>'2. Reguleringsparameters'!F48</f>
        <v>161207241</v>
      </c>
    </row>
    <row r="142" spans="2:16">
      <c r="B142" s="8" t="s">
        <v>270</v>
      </c>
      <c r="D142" s="8" t="s">
        <v>206</v>
      </c>
      <c r="I142" s="34">
        <f>'2. Reguleringsparameters'!F49</f>
        <v>19264075.840289921</v>
      </c>
    </row>
    <row r="143" spans="2:16">
      <c r="B143" s="8" t="s">
        <v>271</v>
      </c>
      <c r="D143" s="8" t="s">
        <v>206</v>
      </c>
      <c r="I143" s="34">
        <f>'2. Reguleringsparameters'!F50</f>
        <v>10427249.13459645</v>
      </c>
    </row>
    <row r="145" spans="2:12" s="14" customFormat="1">
      <c r="B145" s="14" t="s">
        <v>291</v>
      </c>
    </row>
    <row r="147" spans="2:12">
      <c r="B147" s="7" t="s">
        <v>243</v>
      </c>
    </row>
    <row r="148" spans="2:12">
      <c r="B148" s="8" t="s">
        <v>337</v>
      </c>
      <c r="D148" s="8" t="s">
        <v>80</v>
      </c>
      <c r="H148" s="35">
        <f>H53-H54</f>
        <v>41099216.580000006</v>
      </c>
      <c r="I148" s="35">
        <f>I53-I54</f>
        <v>23323697.490000017</v>
      </c>
      <c r="J148" s="35">
        <f>J53-J54</f>
        <v>32571757.558761641</v>
      </c>
      <c r="L148" s="106"/>
    </row>
    <row r="149" spans="2:12">
      <c r="B149" s="8" t="s">
        <v>338</v>
      </c>
      <c r="D149" s="8" t="s">
        <v>80</v>
      </c>
      <c r="H149" s="35">
        <f>SUM(H57:H60)</f>
        <v>7615161.3084000014</v>
      </c>
      <c r="I149" s="35">
        <f>SUM(I57:I60)</f>
        <v>7486752.9475999977</v>
      </c>
      <c r="J149" s="35">
        <f>SUM(J57:J60)</f>
        <v>7188069.7816000013</v>
      </c>
      <c r="L149" s="106"/>
    </row>
    <row r="150" spans="2:12">
      <c r="B150" s="8" t="s">
        <v>342</v>
      </c>
      <c r="D150" s="8" t="s">
        <v>80</v>
      </c>
      <c r="H150" s="35">
        <f>H148-H149</f>
        <v>33484055.271600004</v>
      </c>
      <c r="I150" s="35">
        <f>I148-I149</f>
        <v>15836944.542400019</v>
      </c>
      <c r="J150" s="35">
        <f>J148-J149</f>
        <v>25383687.777161639</v>
      </c>
      <c r="L150" s="106"/>
    </row>
    <row r="151" spans="2:12">
      <c r="B151" s="8" t="s">
        <v>428</v>
      </c>
      <c r="D151" s="8" t="s">
        <v>80</v>
      </c>
      <c r="H151" s="35">
        <f>SUM(H87:H94)</f>
        <v>12730253.259432638</v>
      </c>
      <c r="I151" s="35">
        <f t="shared" ref="I151:J151" si="0">SUM(I87:I94)</f>
        <v>11672147.393874058</v>
      </c>
      <c r="J151" s="35">
        <f t="shared" si="0"/>
        <v>13029596.498598808</v>
      </c>
      <c r="L151" s="106"/>
    </row>
    <row r="153" spans="2:12">
      <c r="B153" s="7" t="s">
        <v>245</v>
      </c>
    </row>
    <row r="154" spans="2:12">
      <c r="B154" s="8" t="s">
        <v>339</v>
      </c>
      <c r="D154" s="8" t="s">
        <v>80</v>
      </c>
      <c r="H154" s="35">
        <f>H68-H69</f>
        <v>38394843.470000014</v>
      </c>
      <c r="I154" s="35">
        <f>I68-I69</f>
        <v>51278767.179999948</v>
      </c>
      <c r="J154" s="35">
        <f>J68-J69</f>
        <v>52060751.094999954</v>
      </c>
    </row>
    <row r="155" spans="2:12">
      <c r="B155" s="8" t="s">
        <v>340</v>
      </c>
      <c r="D155" s="8" t="s">
        <v>80</v>
      </c>
      <c r="H155" s="35">
        <f>SUM(H72:H74)</f>
        <v>4706808.5315999994</v>
      </c>
      <c r="I155" s="35">
        <f>SUM(I72:I74)</f>
        <v>4980776.4623999987</v>
      </c>
      <c r="J155" s="35">
        <f>SUM(J72:J74)</f>
        <v>4436712.2783999993</v>
      </c>
    </row>
    <row r="156" spans="2:12">
      <c r="B156" s="8" t="s">
        <v>341</v>
      </c>
      <c r="D156" s="8" t="s">
        <v>80</v>
      </c>
      <c r="H156" s="35">
        <f>H154-H155</f>
        <v>33688034.938400015</v>
      </c>
      <c r="I156" s="35">
        <f>I154-I155</f>
        <v>46297990.717599951</v>
      </c>
      <c r="J156" s="35">
        <f>J154-J155</f>
        <v>47624038.816599958</v>
      </c>
    </row>
    <row r="157" spans="2:12">
      <c r="B157" s="8" t="s">
        <v>429</v>
      </c>
      <c r="D157" s="8" t="s">
        <v>80</v>
      </c>
      <c r="H157" s="35">
        <f>SUM(H97:H104)</f>
        <v>21571056.395586461</v>
      </c>
      <c r="I157" s="35">
        <f t="shared" ref="I157:J157" si="1">SUM(I97:I104)</f>
        <v>20380375.677197259</v>
      </c>
      <c r="J157" s="35">
        <f t="shared" si="1"/>
        <v>22323488.602803864</v>
      </c>
    </row>
    <row r="159" spans="2:12" s="14" customFormat="1">
      <c r="B159" s="14" t="s">
        <v>292</v>
      </c>
    </row>
    <row r="161" spans="2:18">
      <c r="B161" s="7" t="s">
        <v>308</v>
      </c>
      <c r="L161" s="123"/>
      <c r="M161" s="123"/>
      <c r="N161" s="123"/>
      <c r="O161" s="123"/>
      <c r="P161" s="123"/>
    </row>
    <row r="162" spans="2:18">
      <c r="B162" s="8" t="s">
        <v>342</v>
      </c>
      <c r="D162" s="8" t="s">
        <v>80</v>
      </c>
      <c r="L162" s="35">
        <f>AVERAGE($H$150*L$16*L$27,$I$150*L$17*L$28,$J$150*L$18*L$29)</f>
        <v>26114909.459245328</v>
      </c>
      <c r="M162" s="35">
        <f>AVERAGE($H$150*M$16*M$27,$I$150*M$17*M$28,$J$150*M$18*M$29)</f>
        <v>26452052.940364182</v>
      </c>
      <c r="N162" s="35">
        <f>AVERAGE($H$150*N$16*N$27,$I$150*N$17*N$28,$J$150*N$18*N$29)</f>
        <v>26793548.94382428</v>
      </c>
      <c r="O162" s="35">
        <f>AVERAGE($H$150*O$16*O$27,$I$150*O$17*O$28,$J$150*O$18*O$29)</f>
        <v>27139453.660689052</v>
      </c>
      <c r="P162" s="35">
        <f>AVERAGE($H$150*P$16*P$27,$I$150*P$17*P$28,$J$150*P$18*P$29)</f>
        <v>27489824.007448554</v>
      </c>
      <c r="R162" s="25">
        <v>13</v>
      </c>
    </row>
    <row r="163" spans="2:18">
      <c r="B163" s="8" t="s">
        <v>338</v>
      </c>
      <c r="D163" s="8" t="s">
        <v>80</v>
      </c>
      <c r="L163" s="35">
        <f>AVERAGE($H$149*L$16*L$27,$I$149*L$17*L$28,$J$149*L$18*L$29)</f>
        <v>7778262.2928173663</v>
      </c>
      <c r="M163" s="35">
        <f>AVERAGE($H$149*M$16*M$27,$I$149*M$17*M$28,$J$149*M$18*M$29)</f>
        <v>7878679.6590176374</v>
      </c>
      <c r="N163" s="35">
        <f>AVERAGE($H$149*N$16*N$27,$I$149*N$17*N$28,$J$149*N$18*N$29)</f>
        <v>7980393.4134155558</v>
      </c>
      <c r="O163" s="35">
        <f>AVERAGE($H$149*O$16*O$27,$I$149*O$17*O$28,$J$149*O$18*O$29)</f>
        <v>8083420.2923827497</v>
      </c>
      <c r="P163" s="35">
        <f>AVERAGE($H$149*P$16*P$27,$I$149*P$17*P$28,$J$149*P$18*P$29)</f>
        <v>8187777.2483574143</v>
      </c>
      <c r="R163" s="25">
        <v>13</v>
      </c>
    </row>
    <row r="164" spans="2:18">
      <c r="B164" s="8" t="s">
        <v>343</v>
      </c>
      <c r="D164" s="8" t="s">
        <v>80</v>
      </c>
      <c r="L164" s="35">
        <f>AVERAGE($H$151*L$16*L$27,$I$151*L$17*L$28, $J$151*L$18*L$29)</f>
        <v>13052633.661148487</v>
      </c>
      <c r="M164" s="35">
        <f>AVERAGE($H$151*M$16*M$27,$I$151*M$17*M$28, $J$151*M$18*M$29)</f>
        <v>13221143.161713913</v>
      </c>
      <c r="N164" s="35">
        <f>AVERAGE($H$151*N$16*N$27,$I$151*N$17*N$28, $J$151*N$18*N$29)</f>
        <v>13391828.119931638</v>
      </c>
      <c r="O164" s="35">
        <f>AVERAGE($H$151*O$16*O$27,$I$151*O$17*O$28, $J$151*O$18*O$29)</f>
        <v>13564716.620959958</v>
      </c>
      <c r="P164" s="35">
        <f>AVERAGE($H$151*P$16*P$27,$I$151*P$17*P$28, $J$151*P$18*P$29)</f>
        <v>13739837.112536551</v>
      </c>
      <c r="R164" s="25">
        <v>14</v>
      </c>
    </row>
    <row r="165" spans="2:18">
      <c r="B165" s="8" t="s">
        <v>397</v>
      </c>
      <c r="D165" s="8" t="s">
        <v>80</v>
      </c>
      <c r="L165" s="35">
        <f>AVERAGE((($F$45*$H$82+$F$46*$H$83+$F$47*$H$84)*L16*L27),(($F$45*$I$82+$F$46*$I$83+$F$47*$I$84)*L17*L28),(($F$45*$J$82+$F$46*$J$83+$F$47*$J$84)*L18*L29))-L164</f>
        <v>33246507.766960584</v>
      </c>
      <c r="M165" s="35">
        <f t="shared" ref="M165:P165" si="2">AVERAGE((($F$45*$H$82+$F$46*$H$83+$F$47*$H$84)*M16*M27),(($F$45*$I$82+$F$46*$I$83+$F$47*$I$84)*M17*M28),(($F$45*$J$82+$F$46*$J$83+$F$47*$J$84)*M18*M29))-M164</f>
        <v>33675720.182232037</v>
      </c>
      <c r="N165" s="35">
        <f t="shared" si="2"/>
        <v>34110473.729784645</v>
      </c>
      <c r="O165" s="35">
        <f t="shared" si="2"/>
        <v>34550839.945636168</v>
      </c>
      <c r="P165" s="35">
        <f t="shared" si="2"/>
        <v>34996891.289334334</v>
      </c>
      <c r="R165" s="25">
        <v>15</v>
      </c>
    </row>
    <row r="166" spans="2:18">
      <c r="B166" s="8" t="s">
        <v>276</v>
      </c>
      <c r="D166" s="8" t="s">
        <v>80</v>
      </c>
      <c r="L166" s="35">
        <f>($I140+($I142-$I143))*$F41*L$17*L$28</f>
        <v>1504810.3998860177</v>
      </c>
      <c r="M166" s="35">
        <f>($I140+($I142-$I143))*$F41*M$17*M$28</f>
        <v>1524237.502148546</v>
      </c>
      <c r="N166" s="35">
        <f>($I140+($I142-$I143))*$F41*N$17*N$28</f>
        <v>1543915.4083012841</v>
      </c>
      <c r="O166" s="35">
        <f>($I140+($I142-$I143))*$F41*O$17*O$28</f>
        <v>1563847.3562224535</v>
      </c>
      <c r="P166" s="35">
        <f>($I140+($I142-$I143))*$F41*P$17*P$28</f>
        <v>1584036.6255912858</v>
      </c>
      <c r="R166" s="25">
        <v>16</v>
      </c>
    </row>
    <row r="167" spans="2:18">
      <c r="B167" s="8" t="s">
        <v>277</v>
      </c>
      <c r="D167" s="8" t="s">
        <v>80</v>
      </c>
      <c r="L167" s="35">
        <f>($I141+$I143)*$F42*L$17*L$28</f>
        <v>6118950.2927865228</v>
      </c>
      <c r="M167" s="35">
        <f>($I141+$I143)*$F42*M$17*M$28</f>
        <v>6197945.9410663955</v>
      </c>
      <c r="N167" s="35">
        <f>($I141+$I143)*$F42*N$17*N$28</f>
        <v>6277961.4231655635</v>
      </c>
      <c r="O167" s="35">
        <f>($I141+$I143)*$F42*O$17*O$28</f>
        <v>6359009.9051386304</v>
      </c>
      <c r="P167" s="35">
        <f>($I141+$I143)*$F42*P$17*P$28</f>
        <v>6441104.7230139719</v>
      </c>
      <c r="R167" s="25">
        <v>16</v>
      </c>
    </row>
    <row r="168" spans="2:18">
      <c r="B168" s="8" t="s">
        <v>229</v>
      </c>
      <c r="D168" s="8" t="s">
        <v>80</v>
      </c>
      <c r="L168" s="139" t="s">
        <v>582</v>
      </c>
      <c r="M168" s="139" t="s">
        <v>585</v>
      </c>
      <c r="N168" s="139" t="s">
        <v>588</v>
      </c>
      <c r="O168" s="139" t="s">
        <v>591</v>
      </c>
      <c r="P168" s="139" t="s">
        <v>594</v>
      </c>
      <c r="R168" s="25">
        <v>17</v>
      </c>
    </row>
    <row r="169" spans="2:18">
      <c r="B169" s="8" t="s">
        <v>230</v>
      </c>
      <c r="D169" s="8" t="s">
        <v>80</v>
      </c>
      <c r="L169" s="139" t="s">
        <v>583</v>
      </c>
      <c r="M169" s="139" t="s">
        <v>586</v>
      </c>
      <c r="N169" s="139" t="s">
        <v>589</v>
      </c>
      <c r="O169" s="139" t="s">
        <v>592</v>
      </c>
      <c r="P169" s="139" t="s">
        <v>595</v>
      </c>
      <c r="R169" s="25">
        <v>17</v>
      </c>
    </row>
    <row r="170" spans="2:18">
      <c r="B170" s="8" t="s">
        <v>231</v>
      </c>
      <c r="D170" s="8" t="s">
        <v>80</v>
      </c>
      <c r="L170" s="139" t="s">
        <v>584</v>
      </c>
      <c r="M170" s="139" t="s">
        <v>587</v>
      </c>
      <c r="N170" s="139" t="s">
        <v>590</v>
      </c>
      <c r="O170" s="139" t="s">
        <v>593</v>
      </c>
      <c r="P170" s="139" t="s">
        <v>596</v>
      </c>
      <c r="R170" s="25">
        <v>17</v>
      </c>
    </row>
    <row r="172" spans="2:18">
      <c r="B172" s="7" t="s">
        <v>309</v>
      </c>
    </row>
    <row r="173" spans="2:18">
      <c r="B173" s="8" t="s">
        <v>443</v>
      </c>
      <c r="D173" s="8" t="s">
        <v>80</v>
      </c>
      <c r="L173" s="35">
        <f>$F$38*L29*(L107-AVERAGE(L16*$H$107,L17*$I$107,L18*$J$107))</f>
        <v>3747209.3067319402</v>
      </c>
      <c r="M173" s="35">
        <f>$F$38*M29*(M107-AVERAGE(M16*$H$107,M17*$I$107,M18*$J$107))</f>
        <v>3795585.7788818474</v>
      </c>
      <c r="N173" s="35">
        <f>$F$38*N29*(N107-AVERAGE(N16*$H$107,N17*$I$107,N18*$J$107))</f>
        <v>3844586.7912872289</v>
      </c>
      <c r="O173" s="35">
        <f>$F$38*O29*(O107-AVERAGE(O16*$H$107,O17*$I$107,O18*$J$107))</f>
        <v>3894220.4067627741</v>
      </c>
      <c r="P173" s="35">
        <f>$F$38*P29*(P107-AVERAGE(P16*$H$107,P17*$I$107,P18*$J$107))</f>
        <v>3944494.792214077</v>
      </c>
      <c r="R173" s="25">
        <v>18</v>
      </c>
    </row>
    <row r="174" spans="2:18">
      <c r="B174" s="8" t="s">
        <v>431</v>
      </c>
      <c r="D174" s="8" t="s">
        <v>80</v>
      </c>
      <c r="L174" s="35">
        <f t="shared" ref="L174:P175" si="3">$F$38*L30*L108</f>
        <v>376893.98401988368</v>
      </c>
      <c r="M174" s="35">
        <f t="shared" si="3"/>
        <v>381759.6853535804</v>
      </c>
      <c r="N174" s="35">
        <f t="shared" si="3"/>
        <v>386688.20289149508</v>
      </c>
      <c r="O174" s="35">
        <f t="shared" si="3"/>
        <v>391680.34759082424</v>
      </c>
      <c r="P174" s="35">
        <f t="shared" si="3"/>
        <v>396736.94087822194</v>
      </c>
      <c r="R174" s="25">
        <v>18</v>
      </c>
    </row>
    <row r="175" spans="2:18">
      <c r="B175" s="8" t="s">
        <v>432</v>
      </c>
      <c r="D175" s="8" t="s">
        <v>80</v>
      </c>
      <c r="L175" s="35">
        <f t="shared" si="3"/>
        <v>188446.99200994187</v>
      </c>
      <c r="M175" s="35">
        <f t="shared" si="3"/>
        <v>381759.6853535804</v>
      </c>
      <c r="N175" s="35">
        <f t="shared" si="3"/>
        <v>386688.2028914952</v>
      </c>
      <c r="O175" s="35">
        <f t="shared" si="3"/>
        <v>391680.34759082441</v>
      </c>
      <c r="P175" s="35">
        <f t="shared" si="3"/>
        <v>396736.940878222</v>
      </c>
      <c r="R175" s="25">
        <v>18</v>
      </c>
    </row>
    <row r="176" spans="2:18">
      <c r="B176" s="8" t="s">
        <v>433</v>
      </c>
      <c r="D176" s="8" t="s">
        <v>80</v>
      </c>
      <c r="L176" s="126"/>
      <c r="M176" s="35">
        <f>$F$38*M32*M110</f>
        <v>190879.8426767902</v>
      </c>
      <c r="N176" s="35">
        <f>$F$38*N32*N110</f>
        <v>386688.20289149508</v>
      </c>
      <c r="O176" s="35">
        <f>$F$38*O32*O110</f>
        <v>391680.34759082441</v>
      </c>
      <c r="P176" s="35">
        <f>$F$38*P32*P110</f>
        <v>396736.94087822188</v>
      </c>
      <c r="R176" s="25">
        <v>18</v>
      </c>
    </row>
    <row r="177" spans="2:18">
      <c r="B177" s="8" t="s">
        <v>434</v>
      </c>
      <c r="D177" s="8" t="s">
        <v>80</v>
      </c>
      <c r="L177" s="126"/>
      <c r="M177" s="126"/>
      <c r="N177" s="35">
        <f>$F$38*N33*N111</f>
        <v>193344.10144574751</v>
      </c>
      <c r="O177" s="35">
        <f>$F$38*O33*O111</f>
        <v>391680.34759082441</v>
      </c>
      <c r="P177" s="35">
        <f>$F$38*P33*P111</f>
        <v>396736.94087822188</v>
      </c>
      <c r="R177" s="25">
        <v>18</v>
      </c>
    </row>
    <row r="178" spans="2:18">
      <c r="B178" s="8" t="s">
        <v>435</v>
      </c>
      <c r="D178" s="8" t="s">
        <v>80</v>
      </c>
      <c r="L178" s="126"/>
      <c r="M178" s="126"/>
      <c r="N178" s="126"/>
      <c r="O178" s="35">
        <f>$F$38*O34*O112</f>
        <v>195840.17379541215</v>
      </c>
      <c r="P178" s="35">
        <f>$F$38*P34*P112</f>
        <v>396736.94087822177</v>
      </c>
      <c r="R178" s="25">
        <v>18</v>
      </c>
    </row>
    <row r="179" spans="2:18">
      <c r="B179" s="8" t="s">
        <v>436</v>
      </c>
      <c r="D179" s="8" t="s">
        <v>80</v>
      </c>
      <c r="L179" s="126"/>
      <c r="M179" s="126"/>
      <c r="N179" s="126"/>
      <c r="O179" s="126"/>
      <c r="P179" s="35">
        <f>$F$38*P35*P113</f>
        <v>198368.470439111</v>
      </c>
      <c r="R179" s="25">
        <v>18</v>
      </c>
    </row>
    <row r="180" spans="2:18">
      <c r="B180" s="7"/>
    </row>
    <row r="181" spans="2:18">
      <c r="B181" s="8" t="s">
        <v>444</v>
      </c>
      <c r="D181" s="8" t="s">
        <v>80</v>
      </c>
      <c r="L181" s="35">
        <f>$F$38*L29*(L115-AVERAGE(L16*$H$115,L17*$I$115,L18*$J$115))</f>
        <v>722098.66839066311</v>
      </c>
      <c r="M181" s="35">
        <f>$F$38*M29*(M115-AVERAGE(M16*$H$115,M17*$I$115,M18*$J$115))</f>
        <v>731420.96219958866</v>
      </c>
      <c r="N181" s="35">
        <f>$F$38*N29*(N115-AVERAGE(N16*$H$115,N17*$I$115,N18*$J$115))</f>
        <v>740863.60682158277</v>
      </c>
      <c r="O181" s="35">
        <f>$F$38*O29*(O115-AVERAGE(O16*$H$115,O17*$I$115,O18*$J$115))</f>
        <v>750428.15598565165</v>
      </c>
      <c r="P181" s="35">
        <f>$F$38*P29*(P115-AVERAGE(P16*$H$115,P17*$I$115,P18*$J$115))</f>
        <v>760116.18347942841</v>
      </c>
      <c r="R181" s="25">
        <v>18</v>
      </c>
    </row>
    <row r="182" spans="2:18">
      <c r="B182" s="8" t="s">
        <v>437</v>
      </c>
      <c r="D182" s="8" t="s">
        <v>80</v>
      </c>
      <c r="L182" s="35">
        <f t="shared" ref="L182:P183" si="4">$F$38*L30*L116</f>
        <v>184399.12872284817</v>
      </c>
      <c r="M182" s="35">
        <f t="shared" si="4"/>
        <v>186779.72147466012</v>
      </c>
      <c r="N182" s="35">
        <f t="shared" si="4"/>
        <v>189191.04767889803</v>
      </c>
      <c r="O182" s="35">
        <f t="shared" si="4"/>
        <v>191633.50410443256</v>
      </c>
      <c r="P182" s="35">
        <f t="shared" si="4"/>
        <v>194107.49264242084</v>
      </c>
      <c r="R182" s="25">
        <v>18</v>
      </c>
    </row>
    <row r="183" spans="2:18">
      <c r="B183" s="8" t="s">
        <v>438</v>
      </c>
      <c r="D183" s="8" t="s">
        <v>80</v>
      </c>
      <c r="L183" s="35">
        <f t="shared" si="4"/>
        <v>92199.564361424098</v>
      </c>
      <c r="M183" s="35">
        <f t="shared" si="4"/>
        <v>186779.72147466018</v>
      </c>
      <c r="N183" s="35">
        <f t="shared" si="4"/>
        <v>189191.04767889803</v>
      </c>
      <c r="O183" s="35">
        <f t="shared" si="4"/>
        <v>191633.50410443259</v>
      </c>
      <c r="P183" s="35">
        <f t="shared" si="4"/>
        <v>194107.49264242081</v>
      </c>
      <c r="R183" s="25">
        <v>18</v>
      </c>
    </row>
    <row r="184" spans="2:18">
      <c r="B184" s="8" t="s">
        <v>439</v>
      </c>
      <c r="D184" s="8" t="s">
        <v>80</v>
      </c>
      <c r="L184" s="126"/>
      <c r="M184" s="35">
        <f>$F$38*M32*M118</f>
        <v>93389.860737330077</v>
      </c>
      <c r="N184" s="35">
        <f>$F$38*N32*N118</f>
        <v>189191.04767889803</v>
      </c>
      <c r="O184" s="35">
        <f>$F$38*O32*O118</f>
        <v>191633.50410443262</v>
      </c>
      <c r="P184" s="35">
        <f>$F$38*P32*P118</f>
        <v>194107.49264242081</v>
      </c>
      <c r="R184" s="25">
        <v>18</v>
      </c>
    </row>
    <row r="185" spans="2:18">
      <c r="B185" s="8" t="s">
        <v>440</v>
      </c>
      <c r="D185" s="8" t="s">
        <v>80</v>
      </c>
      <c r="L185" s="126"/>
      <c r="M185" s="126"/>
      <c r="N185" s="35">
        <f>$F$38*N33*N119</f>
        <v>94595.523839449015</v>
      </c>
      <c r="O185" s="35">
        <f>$F$38*O33*O119</f>
        <v>191633.50410443256</v>
      </c>
      <c r="P185" s="35">
        <f>$F$38*P33*P119</f>
        <v>194107.49264242081</v>
      </c>
      <c r="R185" s="25">
        <v>18</v>
      </c>
    </row>
    <row r="186" spans="2:18">
      <c r="B186" s="8" t="s">
        <v>441</v>
      </c>
      <c r="D186" s="8" t="s">
        <v>80</v>
      </c>
      <c r="L186" s="126"/>
      <c r="M186" s="126"/>
      <c r="N186" s="126"/>
      <c r="O186" s="35">
        <f>$F$38*O34*O120</f>
        <v>95816.75205221631</v>
      </c>
      <c r="P186" s="35">
        <f>$F$38*P34*P120</f>
        <v>194107.49264242084</v>
      </c>
      <c r="R186" s="25">
        <v>18</v>
      </c>
    </row>
    <row r="187" spans="2:18">
      <c r="B187" s="8" t="s">
        <v>442</v>
      </c>
      <c r="D187" s="8" t="s">
        <v>80</v>
      </c>
      <c r="L187" s="126"/>
      <c r="M187" s="126"/>
      <c r="N187" s="126"/>
      <c r="O187" s="126"/>
      <c r="P187" s="35">
        <f>$F$38*P35*P121</f>
        <v>97053.74632121039</v>
      </c>
      <c r="R187" s="25">
        <v>18</v>
      </c>
    </row>
    <row r="188" spans="2:18">
      <c r="L188" s="106"/>
    </row>
    <row r="189" spans="2:18">
      <c r="B189" s="7" t="s">
        <v>310</v>
      </c>
    </row>
    <row r="190" spans="2:18">
      <c r="B190" s="8" t="s">
        <v>105</v>
      </c>
      <c r="D190" s="8" t="s">
        <v>80</v>
      </c>
      <c r="L190" s="31">
        <f>SUM(L162,L165,L173:L179)</f>
        <v>63673967.508967683</v>
      </c>
      <c r="M190" s="31">
        <f>SUM(M162,M165,M173:M179)</f>
        <v>64877758.11486201</v>
      </c>
      <c r="N190" s="31">
        <f>SUM(N162,N165,N173:N179)</f>
        <v>66102018.175016403</v>
      </c>
      <c r="O190" s="31">
        <f>SUM(O162,O165,O173:O179)</f>
        <v>67347075.577246711</v>
      </c>
      <c r="P190" s="31">
        <f>SUM(P162,P165,P173:P179)</f>
        <v>68613263.26382719</v>
      </c>
      <c r="R190" s="25">
        <v>11</v>
      </c>
    </row>
    <row r="191" spans="2:18">
      <c r="B191" s="8" t="s">
        <v>278</v>
      </c>
      <c r="D191" s="8" t="s">
        <v>80</v>
      </c>
      <c r="L191" s="31">
        <v>93016824.922501087</v>
      </c>
      <c r="M191" s="31">
        <v>94404451.85372521</v>
      </c>
      <c r="N191" s="31">
        <v>95812404.374835715</v>
      </c>
      <c r="O191" s="31">
        <v>97240976.019419283</v>
      </c>
      <c r="P191" s="31">
        <v>98690464.512472391</v>
      </c>
      <c r="R191" s="25">
        <v>11</v>
      </c>
    </row>
    <row r="192" spans="2:18">
      <c r="B192" s="8" t="s">
        <v>279</v>
      </c>
      <c r="D192" s="8" t="s">
        <v>80</v>
      </c>
      <c r="L192" s="31">
        <f>L166+L167</f>
        <v>7623760.6926725404</v>
      </c>
      <c r="M192" s="31">
        <f>M166+M167</f>
        <v>7722183.4432149418</v>
      </c>
      <c r="N192" s="31">
        <f>N166+N167</f>
        <v>7821876.831466848</v>
      </c>
      <c r="O192" s="31">
        <f>O166+O167</f>
        <v>7922857.2613610839</v>
      </c>
      <c r="P192" s="31">
        <f>P166+P167</f>
        <v>8025141.3486052575</v>
      </c>
      <c r="R192" s="25">
        <v>16</v>
      </c>
    </row>
    <row r="193" spans="2:18">
      <c r="L193" s="106"/>
    </row>
    <row r="194" spans="2:18" s="14" customFormat="1">
      <c r="B194" s="14" t="s">
        <v>294</v>
      </c>
    </row>
    <row r="195" spans="2:18">
      <c r="L195" s="123"/>
    </row>
    <row r="196" spans="2:18">
      <c r="B196" s="7" t="s">
        <v>311</v>
      </c>
    </row>
    <row r="197" spans="2:18">
      <c r="B197" s="8" t="s">
        <v>341</v>
      </c>
      <c r="D197" s="8" t="s">
        <v>80</v>
      </c>
      <c r="L197" s="35">
        <f>AVERAGE($H$156*L$16*L$27,$I$156*L$17*L$28,$J$156*L$18*L$29)</f>
        <v>44396172.470822252</v>
      </c>
      <c r="M197" s="35">
        <f>AVERAGE($H$156*M$16*M$27,$I$156*M$17*M$28,$J$156*M$18*M$29)</f>
        <v>44969327.057420559</v>
      </c>
      <c r="N197" s="35">
        <f>AVERAGE($H$156*N$16*N$27,$I$156*N$17*N$28,$J$156*N$18*N$29)</f>
        <v>45549881.069731861</v>
      </c>
      <c r="O197" s="35">
        <f>AVERAGE($H$156*O$16*O$27,$I$156*O$17*O$28,$J$156*O$18*O$29)</f>
        <v>46137930.034342103</v>
      </c>
      <c r="P197" s="35">
        <f>AVERAGE($H$156*P$16*P$27,$I$156*P$17*P$28,$J$156*P$18*P$29)</f>
        <v>46733570.711085461</v>
      </c>
      <c r="R197" s="25">
        <v>13</v>
      </c>
    </row>
    <row r="198" spans="2:18">
      <c r="B198" s="8" t="s">
        <v>340</v>
      </c>
      <c r="D198" s="8" t="s">
        <v>80</v>
      </c>
      <c r="L198" s="35">
        <f>AVERAGE($H$155*L$16*L$27,$I$155*L$17*L$28,$J$155*L$18*L$29)</f>
        <v>4929036.267819237</v>
      </c>
      <c r="M198" s="35">
        <f>AVERAGE($H$155*M$16*M$27,$I$155*M$17*M$28,$J$155*M$18*M$29)</f>
        <v>4992670.1260367818</v>
      </c>
      <c r="N198" s="35">
        <f>AVERAGE($H$155*N$16*N$27,$I$155*N$17*N$28,$J$155*N$18*N$29)</f>
        <v>5057125.4973639175</v>
      </c>
      <c r="O198" s="35">
        <f>AVERAGE($H$155*O$16*O$27,$I$155*O$17*O$28,$J$155*O$18*O$29)</f>
        <v>5122412.9875348844</v>
      </c>
      <c r="P198" s="35">
        <f>AVERAGE($H$155*P$16*P$27,$I$155*P$17*P$28,$J$155*P$18*P$29)</f>
        <v>5188543.3392039612</v>
      </c>
      <c r="R198" s="25">
        <v>13</v>
      </c>
    </row>
    <row r="199" spans="2:18">
      <c r="B199" s="8" t="s">
        <v>344</v>
      </c>
      <c r="D199" s="8" t="s">
        <v>80</v>
      </c>
      <c r="L199" s="35">
        <f>AVERAGE($H$157*L$16*L$27,$I$157*L$17*L$28, $J$157*L$18*L$29)</f>
        <v>22411188.620837633</v>
      </c>
      <c r="M199" s="35">
        <f>AVERAGE($H$157*M$16*M$27,$I$157*M$17*M$28, $J$157*M$18*M$29)</f>
        <v>22700517.065932646</v>
      </c>
      <c r="N199" s="35">
        <f>AVERAGE($H$157*N$16*N$27,$I$157*N$17*N$28, $J$157*N$18*N$29)</f>
        <v>22993580.741253842</v>
      </c>
      <c r="O199" s="35">
        <f>AVERAGE($H$157*O$16*O$27,$I$157*O$17*O$28, $J$157*O$18*O$29)</f>
        <v>23290427.868623424</v>
      </c>
      <c r="P199" s="35">
        <f>AVERAGE($H$157*P$16*P$27,$I$157*P$17*P$28, $J$157*P$18*P$29)</f>
        <v>23591107.29240736</v>
      </c>
      <c r="R199" s="25">
        <v>14</v>
      </c>
    </row>
    <row r="200" spans="2:18">
      <c r="B200" s="8" t="s">
        <v>430</v>
      </c>
      <c r="D200" s="8" t="s">
        <v>80</v>
      </c>
      <c r="L200" s="35">
        <f>AVERAGE((($F$48*$H$82+$F$49*$H$83+$F$50*$H$84)*L16*L27),(($F$48*$I$82+$F$49*$I$83+$F$50*$I$84)*L17*L28),(($F$48*$J$82+$F$49*$J$83+$F$50*$J$84)*L18*L29))-L199</f>
        <v>46109429.300066784</v>
      </c>
      <c r="M200" s="35">
        <f t="shared" ref="M200:P200" si="5">AVERAGE((($F$48*$H$82+$F$49*$H$83+$F$50*$H$84)*M16*M27),(($F$48*$I$82+$F$49*$I$83+$F$50*$I$84)*M17*M28),(($F$48*$J$82+$F$49*$J$83+$F$50*$J$84)*M18*M29))-M199</f>
        <v>46704702.032330632</v>
      </c>
      <c r="N200" s="35">
        <f t="shared" si="5"/>
        <v>47307659.735568032</v>
      </c>
      <c r="O200" s="35">
        <f t="shared" si="5"/>
        <v>47918401.622754216</v>
      </c>
      <c r="P200" s="35">
        <f t="shared" si="5"/>
        <v>48537028.187703982</v>
      </c>
      <c r="R200" s="25">
        <v>15</v>
      </c>
    </row>
    <row r="201" spans="2:18">
      <c r="B201" s="8" t="s">
        <v>232</v>
      </c>
      <c r="D201" s="8" t="s">
        <v>80</v>
      </c>
      <c r="L201" s="139" t="s">
        <v>597</v>
      </c>
      <c r="M201" s="139" t="s">
        <v>600</v>
      </c>
      <c r="N201" s="139" t="s">
        <v>603</v>
      </c>
      <c r="O201" s="139" t="s">
        <v>606</v>
      </c>
      <c r="P201" s="139" t="s">
        <v>609</v>
      </c>
      <c r="R201" s="25">
        <v>17</v>
      </c>
    </row>
    <row r="202" spans="2:18">
      <c r="B202" s="8" t="s">
        <v>233</v>
      </c>
      <c r="D202" s="8" t="s">
        <v>80</v>
      </c>
      <c r="L202" s="139" t="s">
        <v>598</v>
      </c>
      <c r="M202" s="139" t="s">
        <v>601</v>
      </c>
      <c r="N202" s="139" t="s">
        <v>604</v>
      </c>
      <c r="O202" s="139" t="s">
        <v>607</v>
      </c>
      <c r="P202" s="139" t="s">
        <v>610</v>
      </c>
      <c r="R202" s="25">
        <v>17</v>
      </c>
    </row>
    <row r="203" spans="2:18">
      <c r="B203" s="8" t="s">
        <v>234</v>
      </c>
      <c r="D203" s="8" t="s">
        <v>80</v>
      </c>
      <c r="L203" s="139" t="s">
        <v>599</v>
      </c>
      <c r="M203" s="139" t="s">
        <v>602</v>
      </c>
      <c r="N203" s="139" t="s">
        <v>605</v>
      </c>
      <c r="O203" s="139" t="s">
        <v>608</v>
      </c>
      <c r="P203" s="139" t="s">
        <v>611</v>
      </c>
      <c r="R203" s="25">
        <v>17</v>
      </c>
    </row>
    <row r="205" spans="2:18">
      <c r="B205" s="7" t="s">
        <v>312</v>
      </c>
    </row>
    <row r="206" spans="2:18">
      <c r="B206" s="8" t="s">
        <v>443</v>
      </c>
      <c r="D206" s="8" t="s">
        <v>80</v>
      </c>
      <c r="L206" s="35">
        <f>$F$38*L29*(L123-AVERAGE(L16*$H$123,L17*$I$123,L18*$J$123))</f>
        <v>3553684.1511291475</v>
      </c>
      <c r="M206" s="35">
        <f>$F$38*M29*(M123-AVERAGE(M16*$H$123,M17*$I$123,M18*$J$123))</f>
        <v>3599562.2135202391</v>
      </c>
      <c r="N206" s="35">
        <f>$F$38*N29*(N123-AVERAGE(N16*$H$123,N17*$I$123,N18*$J$123))</f>
        <v>3521692.4390854407</v>
      </c>
      <c r="O206" s="35">
        <f>$F$38*O29*(O123-AVERAGE(O16*$H$123,O17*$I$123,O18*$J$123))</f>
        <v>3438682.4556371868</v>
      </c>
      <c r="P206" s="35">
        <f>$F$38*P29*(P123-AVERAGE(P16*$H$123,P17*$I$123,P18*$J$123))</f>
        <v>3483075.8461394878</v>
      </c>
      <c r="R206" s="25">
        <v>18</v>
      </c>
    </row>
    <row r="207" spans="2:18">
      <c r="B207" s="8" t="s">
        <v>458</v>
      </c>
      <c r="D207" s="8" t="s">
        <v>80</v>
      </c>
      <c r="L207" s="35">
        <f t="shared" ref="L207:P208" si="6">$F$38*L30*L124</f>
        <v>1928713.3469667879</v>
      </c>
      <c r="M207" s="35">
        <f t="shared" si="6"/>
        <v>1953613.0362761293</v>
      </c>
      <c r="N207" s="35">
        <f t="shared" si="6"/>
        <v>1978834.1805744539</v>
      </c>
      <c r="O207" s="35">
        <f t="shared" si="6"/>
        <v>2004380.92984567</v>
      </c>
      <c r="P207" s="35">
        <f t="shared" si="6"/>
        <v>2030257.4876499781</v>
      </c>
      <c r="R207" s="25">
        <v>18</v>
      </c>
    </row>
    <row r="208" spans="2:18">
      <c r="B208" s="8" t="s">
        <v>459</v>
      </c>
      <c r="D208" s="8" t="s">
        <v>80</v>
      </c>
      <c r="L208" s="35">
        <f t="shared" si="6"/>
        <v>964356.67348339385</v>
      </c>
      <c r="M208" s="35">
        <f t="shared" si="6"/>
        <v>1953613.0362761291</v>
      </c>
      <c r="N208" s="35">
        <f t="shared" si="6"/>
        <v>1978834.1805744539</v>
      </c>
      <c r="O208" s="35">
        <f t="shared" si="6"/>
        <v>2004380.9298456705</v>
      </c>
      <c r="P208" s="35">
        <f t="shared" si="6"/>
        <v>2030257.4876499777</v>
      </c>
      <c r="R208" s="25">
        <v>18</v>
      </c>
    </row>
    <row r="209" spans="2:18">
      <c r="B209" s="8" t="s">
        <v>460</v>
      </c>
      <c r="D209" s="8" t="s">
        <v>80</v>
      </c>
      <c r="L209" s="126"/>
      <c r="M209" s="35">
        <f>$F$38*M32*M126</f>
        <v>976806.51813806465</v>
      </c>
      <c r="N209" s="35">
        <f>$F$38*N32*N126</f>
        <v>1978834.1805744541</v>
      </c>
      <c r="O209" s="35">
        <f>$F$38*O32*O126</f>
        <v>2004380.92984567</v>
      </c>
      <c r="P209" s="35">
        <f>$F$38*P32*P126</f>
        <v>2030257.4876499781</v>
      </c>
      <c r="R209" s="25">
        <v>18</v>
      </c>
    </row>
    <row r="210" spans="2:18">
      <c r="B210" s="8" t="s">
        <v>461</v>
      </c>
      <c r="D210" s="8" t="s">
        <v>80</v>
      </c>
      <c r="L210" s="126"/>
      <c r="M210" s="126"/>
      <c r="N210" s="35">
        <f>$F$38*N33*N127</f>
        <v>989417.09028722707</v>
      </c>
      <c r="O210" s="35">
        <f>$F$38*O33*O127</f>
        <v>2004380.9298456702</v>
      </c>
      <c r="P210" s="35">
        <f>$F$38*P33*P127</f>
        <v>2030257.4876499779</v>
      </c>
      <c r="R210" s="25">
        <v>18</v>
      </c>
    </row>
    <row r="211" spans="2:18">
      <c r="B211" s="8" t="s">
        <v>462</v>
      </c>
      <c r="D211" s="8" t="s">
        <v>80</v>
      </c>
      <c r="L211" s="126"/>
      <c r="M211" s="126"/>
      <c r="N211" s="126"/>
      <c r="O211" s="35">
        <f>$F$38*O34*O128</f>
        <v>1002190.4649228351</v>
      </c>
      <c r="P211" s="35">
        <f>$F$38*P34*P128</f>
        <v>2030257.4876499779</v>
      </c>
      <c r="R211" s="25">
        <v>18</v>
      </c>
    </row>
    <row r="212" spans="2:18">
      <c r="B212" s="8" t="s">
        <v>463</v>
      </c>
      <c r="D212" s="8" t="s">
        <v>80</v>
      </c>
      <c r="L212" s="126"/>
      <c r="M212" s="126"/>
      <c r="N212" s="126"/>
      <c r="O212" s="126"/>
      <c r="P212" s="35">
        <f>$F$38*P35*P129</f>
        <v>1015128.743824989</v>
      </c>
      <c r="R212" s="25">
        <v>18</v>
      </c>
    </row>
    <row r="213" spans="2:18">
      <c r="B213" s="7"/>
    </row>
    <row r="214" spans="2:18">
      <c r="B214" s="8" t="s">
        <v>444</v>
      </c>
      <c r="D214" s="8" t="s">
        <v>80</v>
      </c>
      <c r="L214" s="35">
        <f>$F$38*L29*(L131-AVERAGE(L16*$H$131,L17*$I$131,L18*$J$131))</f>
        <v>530428.99353333469</v>
      </c>
      <c r="M214" s="35">
        <f>$F$38*M29*(M131-AVERAGE(M16*$H$131,M17*$I$131,M18*$J$131))</f>
        <v>537276.83183985064</v>
      </c>
      <c r="N214" s="35">
        <f>$F$38*N29*(N131-AVERAGE(N16*$H$131,N17*$I$131,N18*$J$131))</f>
        <v>537685.09081829363</v>
      </c>
      <c r="O214" s="35">
        <f>$F$38*O29*(O131-AVERAGE(O16*$H$131,O17*$I$131,O18*$J$131))</f>
        <v>537881.53336060641</v>
      </c>
      <c r="P214" s="35">
        <f>$F$38*P29*(P131-AVERAGE(P16*$H$131,P17*$I$131,P18*$J$131))</f>
        <v>544825.58395629306</v>
      </c>
      <c r="R214" s="25">
        <v>18</v>
      </c>
    </row>
    <row r="215" spans="2:18">
      <c r="B215" s="8" t="s">
        <v>464</v>
      </c>
      <c r="D215" s="8" t="s">
        <v>80</v>
      </c>
      <c r="L215" s="35">
        <f t="shared" ref="L215:P216" si="7">$F$38*L30*L132</f>
        <v>312650.49393148359</v>
      </c>
      <c r="M215" s="35">
        <f t="shared" si="7"/>
        <v>316686.81180813909</v>
      </c>
      <c r="N215" s="35">
        <f t="shared" si="7"/>
        <v>320775.23854858213</v>
      </c>
      <c r="O215" s="35">
        <f t="shared" si="7"/>
        <v>324916.44687824429</v>
      </c>
      <c r="P215" s="35">
        <f t="shared" si="7"/>
        <v>329111.11820744252</v>
      </c>
      <c r="R215" s="25">
        <v>18</v>
      </c>
    </row>
    <row r="216" spans="2:18">
      <c r="B216" s="8" t="s">
        <v>465</v>
      </c>
      <c r="D216" s="8" t="s">
        <v>80</v>
      </c>
      <c r="L216" s="35">
        <f t="shared" si="7"/>
        <v>156325.24696574177</v>
      </c>
      <c r="M216" s="35">
        <f t="shared" si="7"/>
        <v>316686.81180813903</v>
      </c>
      <c r="N216" s="35">
        <f t="shared" si="7"/>
        <v>320775.23854858213</v>
      </c>
      <c r="O216" s="35">
        <f t="shared" si="7"/>
        <v>324916.44687824429</v>
      </c>
      <c r="P216" s="35">
        <f t="shared" si="7"/>
        <v>329111.1182074424</v>
      </c>
      <c r="R216" s="25">
        <v>18</v>
      </c>
    </row>
    <row r="217" spans="2:18">
      <c r="B217" s="8" t="s">
        <v>466</v>
      </c>
      <c r="D217" s="8" t="s">
        <v>80</v>
      </c>
      <c r="L217" s="126"/>
      <c r="M217" s="35">
        <f>$F$38*M32*M134</f>
        <v>158343.40590406951</v>
      </c>
      <c r="N217" s="35">
        <f>$F$38*N32*N134</f>
        <v>320775.23854858213</v>
      </c>
      <c r="O217" s="35">
        <f>$F$38*O32*O134</f>
        <v>324916.44687824434</v>
      </c>
      <c r="P217" s="35">
        <f>$F$38*P32*P134</f>
        <v>329111.11820744246</v>
      </c>
      <c r="R217" s="25">
        <v>18</v>
      </c>
    </row>
    <row r="218" spans="2:18">
      <c r="B218" s="8" t="s">
        <v>467</v>
      </c>
      <c r="D218" s="8" t="s">
        <v>80</v>
      </c>
      <c r="L218" s="126"/>
      <c r="M218" s="126"/>
      <c r="N218" s="35">
        <f>$F$38*N33*N135</f>
        <v>160387.61927429104</v>
      </c>
      <c r="O218" s="35">
        <f>$F$38*O33*O135</f>
        <v>324916.44687824429</v>
      </c>
      <c r="P218" s="35">
        <f>$F$38*P33*P135</f>
        <v>329111.11820744246</v>
      </c>
      <c r="R218" s="25">
        <v>18</v>
      </c>
    </row>
    <row r="219" spans="2:18">
      <c r="B219" s="8" t="s">
        <v>468</v>
      </c>
      <c r="D219" s="8" t="s">
        <v>80</v>
      </c>
      <c r="L219" s="126"/>
      <c r="M219" s="126"/>
      <c r="N219" s="126"/>
      <c r="O219" s="35">
        <f>$F$38*O34*O136</f>
        <v>162458.22343912217</v>
      </c>
      <c r="P219" s="35">
        <f>$F$38*P34*P136</f>
        <v>329111.11820744246</v>
      </c>
      <c r="R219" s="25">
        <v>18</v>
      </c>
    </row>
    <row r="220" spans="2:18">
      <c r="B220" s="8" t="s">
        <v>469</v>
      </c>
      <c r="D220" s="8" t="s">
        <v>80</v>
      </c>
      <c r="L220" s="126"/>
      <c r="M220" s="126"/>
      <c r="N220" s="126"/>
      <c r="O220" s="126"/>
      <c r="P220" s="35">
        <f>$F$38*P35*P137</f>
        <v>164555.55910372126</v>
      </c>
      <c r="R220" s="25">
        <v>18</v>
      </c>
    </row>
    <row r="221" spans="2:18">
      <c r="B221" s="7"/>
    </row>
    <row r="222" spans="2:18">
      <c r="B222" s="7" t="s">
        <v>313</v>
      </c>
    </row>
    <row r="223" spans="2:18">
      <c r="B223" s="8" t="s">
        <v>107</v>
      </c>
      <c r="D223" s="8" t="s">
        <v>80</v>
      </c>
      <c r="L223" s="31">
        <f>SUM(L197,L200,L206:L212)</f>
        <v>96952355.94246836</v>
      </c>
      <c r="M223" s="31">
        <f>SUM(M197,M200,M206:M212)</f>
        <v>100157623.89396176</v>
      </c>
      <c r="N223" s="31">
        <f>SUM(N197,N200,N206:N212)</f>
        <v>103305152.8763959</v>
      </c>
      <c r="O223" s="31">
        <f>SUM(O197,O200,O206:O212)</f>
        <v>106514728.29703905</v>
      </c>
      <c r="P223" s="31">
        <f>SUM(P197,P200,P206:P212)</f>
        <v>109920090.9270038</v>
      </c>
      <c r="R223" s="25">
        <v>11</v>
      </c>
    </row>
    <row r="224" spans="2:18">
      <c r="B224" s="8" t="s">
        <v>106</v>
      </c>
      <c r="D224" s="8" t="s">
        <v>80</v>
      </c>
      <c r="L224" s="31">
        <v>57597287.943280764</v>
      </c>
      <c r="M224" s="31">
        <v>58657555.742436647</v>
      </c>
      <c r="N224" s="31">
        <v>59729072.040699497</v>
      </c>
      <c r="O224" s="31">
        <v>60818345.735643014</v>
      </c>
      <c r="P224" s="31">
        <v>61932621.697297588</v>
      </c>
      <c r="R224" s="25">
        <v>11</v>
      </c>
    </row>
  </sheetData>
  <mergeCells count="2">
    <mergeCell ref="B5:D5"/>
    <mergeCell ref="B8:D8"/>
  </mergeCells>
  <conditionalFormatting sqref="H107:P113">
    <cfRule type="cellIs" dxfId="3" priority="4" operator="equal">
      <formula>0</formula>
    </cfRule>
  </conditionalFormatting>
  <conditionalFormatting sqref="H115:P121">
    <cfRule type="cellIs" dxfId="2" priority="3" operator="equal">
      <formula>0</formula>
    </cfRule>
  </conditionalFormatting>
  <conditionalFormatting sqref="H123:P129">
    <cfRule type="cellIs" dxfId="1" priority="2" operator="equal">
      <formula>0</formula>
    </cfRule>
  </conditionalFormatting>
  <conditionalFormatting sqref="H131:P137">
    <cfRule type="cellIs" dxfId="0" priority="1" operator="equal">
      <formula>0</formula>
    </cfRule>
  </conditionalFormatting>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17">
    <tabColor rgb="FFFFFFCC"/>
  </sheetPr>
  <dimension ref="A2:X101"/>
  <sheetViews>
    <sheetView showGridLines="0" zoomScale="85" zoomScaleNormal="85" workbookViewId="0">
      <pane xSplit="4" ySplit="11" topLeftCell="E12" activePane="bottomRight" state="frozen"/>
      <selection pane="topRight" activeCell="E1" sqref="E1"/>
      <selection pane="bottomLeft" activeCell="A12" sqref="A12"/>
      <selection pane="bottomRight" activeCell="E11" sqref="E11"/>
    </sheetView>
  </sheetViews>
  <sheetFormatPr defaultColWidth="9.140625" defaultRowHeight="12.75"/>
  <cols>
    <col min="1" max="1" width="4.7109375" style="8" customWidth="1"/>
    <col min="2" max="2" width="75.7109375" style="8" customWidth="1"/>
    <col min="3" max="3" width="2.7109375" style="8" customWidth="1"/>
    <col min="4" max="4" width="26.42578125" style="8" bestFit="1" customWidth="1"/>
    <col min="5" max="5" width="2.7109375" style="8" customWidth="1"/>
    <col min="6" max="6" width="18.28515625" style="8" customWidth="1"/>
    <col min="7" max="7" width="2.7109375" style="8" customWidth="1"/>
    <col min="8" max="12" width="16.7109375" style="8" customWidth="1"/>
    <col min="13" max="13" width="2.7109375" style="8" customWidth="1"/>
    <col min="14" max="14" width="16.7109375" style="25" customWidth="1"/>
    <col min="15" max="15" width="2.7109375" style="8" customWidth="1"/>
    <col min="16" max="17" width="16.7109375" style="8" customWidth="1"/>
    <col min="18" max="20" width="2.7109375" style="8" customWidth="1"/>
    <col min="21" max="35" width="13.7109375" style="8" customWidth="1"/>
    <col min="36" max="16384" width="9.140625" style="8"/>
  </cols>
  <sheetData>
    <row r="2" spans="2:24" s="2" customFormat="1" ht="18">
      <c r="B2" s="2" t="s">
        <v>168</v>
      </c>
    </row>
    <row r="4" spans="2:24">
      <c r="B4" s="29" t="s">
        <v>56</v>
      </c>
      <c r="D4" s="7"/>
      <c r="H4" s="7"/>
    </row>
    <row r="5" spans="2:24" ht="66" customHeight="1">
      <c r="B5" s="141" t="s">
        <v>167</v>
      </c>
      <c r="C5" s="141"/>
      <c r="D5" s="141"/>
      <c r="E5" s="42"/>
      <c r="F5" s="42"/>
      <c r="G5" s="42"/>
      <c r="H5" s="42"/>
      <c r="I5" s="42"/>
      <c r="J5" s="71"/>
      <c r="K5" s="71"/>
      <c r="L5" s="71"/>
      <c r="M5" s="42"/>
      <c r="N5" s="74"/>
      <c r="O5" s="42"/>
      <c r="P5" s="71"/>
      <c r="Q5" s="71"/>
      <c r="R5" s="71"/>
      <c r="S5" s="71"/>
      <c r="T5" s="71"/>
      <c r="U5" s="71"/>
      <c r="V5" s="71"/>
      <c r="W5" s="71"/>
      <c r="X5" s="71"/>
    </row>
    <row r="6" spans="2:24" ht="12.75" customHeight="1">
      <c r="B6" s="44"/>
      <c r="C6" s="44"/>
      <c r="D6" s="44"/>
      <c r="H6" s="71"/>
      <c r="I6" s="71"/>
      <c r="J6" s="71"/>
      <c r="K6" s="71"/>
      <c r="L6" s="71"/>
      <c r="N6" s="74"/>
      <c r="P6" s="71"/>
      <c r="Q6" s="71"/>
      <c r="R6" s="71"/>
      <c r="S6" s="71"/>
      <c r="T6" s="71"/>
      <c r="U6" s="71"/>
      <c r="V6" s="71"/>
      <c r="W6" s="71"/>
      <c r="X6" s="71"/>
    </row>
    <row r="7" spans="2:24" ht="12.75" customHeight="1">
      <c r="B7" s="30" t="s">
        <v>30</v>
      </c>
      <c r="C7" s="44"/>
      <c r="D7" s="44"/>
      <c r="H7" s="71"/>
      <c r="I7" s="71"/>
      <c r="J7" s="71"/>
      <c r="K7" s="71"/>
      <c r="L7" s="71"/>
      <c r="N7" s="74"/>
      <c r="P7" s="71"/>
      <c r="Q7" s="71"/>
      <c r="R7" s="71"/>
      <c r="S7" s="71"/>
      <c r="T7" s="71"/>
      <c r="U7" s="71"/>
      <c r="V7" s="71"/>
      <c r="W7" s="71"/>
      <c r="X7" s="71"/>
    </row>
    <row r="8" spans="2:24" ht="66" customHeight="1">
      <c r="B8" s="141" t="s">
        <v>372</v>
      </c>
      <c r="C8" s="141"/>
      <c r="D8" s="141"/>
      <c r="E8" s="42"/>
      <c r="F8" s="42"/>
      <c r="G8" s="42"/>
      <c r="H8" s="42"/>
      <c r="I8" s="42"/>
      <c r="J8" s="71"/>
      <c r="K8" s="71"/>
      <c r="L8" s="71"/>
      <c r="M8" s="42"/>
      <c r="N8" s="74"/>
      <c r="O8" s="42"/>
      <c r="P8" s="71"/>
      <c r="Q8" s="71"/>
      <c r="R8" s="71"/>
      <c r="S8" s="71"/>
      <c r="T8" s="71"/>
      <c r="U8" s="71"/>
      <c r="V8" s="71"/>
      <c r="W8" s="71"/>
      <c r="X8" s="71"/>
    </row>
    <row r="9" spans="2:24" ht="12.75" customHeight="1">
      <c r="B9" s="44"/>
      <c r="C9" s="44"/>
      <c r="D9" s="44"/>
      <c r="H9" s="73"/>
      <c r="I9" s="73"/>
      <c r="J9" s="73"/>
      <c r="K9" s="73"/>
      <c r="L9" s="73"/>
      <c r="N9" s="72"/>
      <c r="P9" s="71"/>
      <c r="Q9" s="71"/>
      <c r="R9" s="71"/>
      <c r="S9" s="71"/>
      <c r="T9" s="71"/>
      <c r="U9" s="71"/>
      <c r="V9" s="71"/>
      <c r="W9" s="71"/>
      <c r="X9" s="71"/>
    </row>
    <row r="10" spans="2:24" s="1" customFormat="1">
      <c r="B10" s="1" t="s">
        <v>45</v>
      </c>
      <c r="D10" s="1" t="s">
        <v>27</v>
      </c>
      <c r="F10" s="1" t="s">
        <v>28</v>
      </c>
      <c r="H10" s="1">
        <v>2022</v>
      </c>
      <c r="I10" s="1">
        <v>2023</v>
      </c>
      <c r="J10" s="1">
        <v>2024</v>
      </c>
      <c r="K10" s="1">
        <v>2025</v>
      </c>
      <c r="L10" s="1">
        <v>2026</v>
      </c>
      <c r="N10" s="1" t="s">
        <v>119</v>
      </c>
      <c r="P10" s="1" t="s">
        <v>47</v>
      </c>
    </row>
    <row r="13" spans="2:24" s="1" customFormat="1">
      <c r="B13" s="1" t="s">
        <v>48</v>
      </c>
    </row>
    <row r="14" spans="2:24">
      <c r="J14" s="48"/>
      <c r="K14" s="48"/>
      <c r="L14" s="48"/>
      <c r="N14" s="61"/>
    </row>
    <row r="15" spans="2:24">
      <c r="B15" s="29" t="s">
        <v>166</v>
      </c>
      <c r="J15" s="48"/>
      <c r="K15" s="48"/>
      <c r="L15" s="48"/>
      <c r="N15" s="61"/>
    </row>
    <row r="16" spans="2:24">
      <c r="B16" s="46" t="s">
        <v>256</v>
      </c>
      <c r="D16" s="8" t="s">
        <v>104</v>
      </c>
      <c r="H16" s="6">
        <f>'5. Berekening op parameters'!L57</f>
        <v>1</v>
      </c>
      <c r="I16" s="6">
        <f>'5. Berekening op parameters'!M57</f>
        <v>1.032</v>
      </c>
      <c r="J16" s="6">
        <f>'5. Berekening op parameters'!N57</f>
        <v>1.070184</v>
      </c>
      <c r="K16" s="6">
        <f>'5. Berekening op parameters'!O57</f>
        <v>1.1097808079999998</v>
      </c>
      <c r="L16" s="6">
        <f>'5. Berekening op parameters'!P57</f>
        <v>1.1508426978959998</v>
      </c>
      <c r="N16" s="61"/>
    </row>
    <row r="17" spans="2:14">
      <c r="B17" s="29"/>
      <c r="N17" s="8"/>
    </row>
    <row r="18" spans="2:14">
      <c r="B18" s="29" t="s">
        <v>78</v>
      </c>
      <c r="J18" s="48"/>
      <c r="K18" s="48"/>
      <c r="L18" s="48"/>
      <c r="N18" s="61"/>
    </row>
    <row r="19" spans="2:14">
      <c r="B19" s="46" t="s">
        <v>165</v>
      </c>
      <c r="D19" s="8" t="s">
        <v>75</v>
      </c>
      <c r="H19" s="43">
        <f>'2. Reguleringsparameters'!L21</f>
        <v>1.7999999999999999E-2</v>
      </c>
      <c r="I19" s="43">
        <f>'2. Reguleringsparameters'!M21</f>
        <v>1.7999999999999999E-2</v>
      </c>
      <c r="J19" s="43">
        <f>'2. Reguleringsparameters'!N21</f>
        <v>1.7999999999999999E-2</v>
      </c>
      <c r="K19" s="43">
        <f>'2. Reguleringsparameters'!O21</f>
        <v>1.7999999999999999E-2</v>
      </c>
      <c r="L19" s="43">
        <f>'2. Reguleringsparameters'!P21</f>
        <v>1.7999999999999999E-2</v>
      </c>
      <c r="N19" s="61"/>
    </row>
    <row r="20" spans="2:14">
      <c r="B20" s="46" t="s">
        <v>164</v>
      </c>
      <c r="D20" s="8" t="s">
        <v>104</v>
      </c>
      <c r="F20" s="6">
        <f>'5. Berekening op parameters'!P29</f>
        <v>1.0932988467695681</v>
      </c>
      <c r="J20" s="48"/>
      <c r="K20" s="48"/>
      <c r="L20" s="48"/>
      <c r="N20" s="61"/>
    </row>
    <row r="21" spans="2:14">
      <c r="B21" s="29"/>
      <c r="J21" s="48"/>
      <c r="K21" s="48"/>
      <c r="L21" s="48"/>
      <c r="N21" s="61"/>
    </row>
    <row r="22" spans="2:14">
      <c r="B22" s="29" t="s">
        <v>261</v>
      </c>
      <c r="J22" s="48"/>
      <c r="K22" s="48"/>
      <c r="L22" s="48"/>
      <c r="N22" s="61"/>
    </row>
    <row r="23" spans="2:14">
      <c r="B23" s="134" t="s">
        <v>261</v>
      </c>
      <c r="D23" s="8" t="s">
        <v>75</v>
      </c>
      <c r="F23" s="43">
        <f>'2. Reguleringsparameters'!F25</f>
        <v>1</v>
      </c>
      <c r="N23" s="61"/>
    </row>
    <row r="24" spans="2:14">
      <c r="B24" s="70"/>
      <c r="N24" s="8"/>
    </row>
    <row r="25" spans="2:14">
      <c r="B25" s="29" t="s">
        <v>176</v>
      </c>
      <c r="J25" s="48"/>
      <c r="K25" s="48"/>
      <c r="L25" s="48"/>
      <c r="N25" s="61"/>
    </row>
    <row r="26" spans="2:14">
      <c r="B26" s="8" t="s">
        <v>142</v>
      </c>
      <c r="D26" s="8" t="s">
        <v>80</v>
      </c>
      <c r="F26" s="53"/>
      <c r="H26" s="34">
        <f>'6. Berekening doorrollen '!H43</f>
        <v>130096424.85830367</v>
      </c>
      <c r="I26" s="34">
        <f>'6. Berekening doorrollen '!I43</f>
        <v>127275794.97377396</v>
      </c>
      <c r="J26" s="34">
        <f>'6. Berekening doorrollen '!J43</f>
        <v>132394116.17682648</v>
      </c>
      <c r="K26" s="34">
        <f>'6. Berekening doorrollen '!K43</f>
        <v>130344951.28677697</v>
      </c>
      <c r="L26" s="34">
        <f>'6. Berekening doorrollen '!L43</f>
        <v>80916547.634960175</v>
      </c>
      <c r="N26" s="61"/>
    </row>
    <row r="27" spans="2:14">
      <c r="B27" s="8" t="s">
        <v>274</v>
      </c>
      <c r="D27" s="8" t="s">
        <v>80</v>
      </c>
      <c r="F27" s="53"/>
      <c r="H27" s="34">
        <f>'6. Berekening doorrollen '!H44</f>
        <v>14941354.730572596</v>
      </c>
      <c r="I27" s="34">
        <f>'6. Berekening doorrollen '!I44</f>
        <v>14491229.909132661</v>
      </c>
      <c r="J27" s="34">
        <f>'6. Berekening doorrollen '!J44</f>
        <v>15878464.320671745</v>
      </c>
      <c r="K27" s="34">
        <f>'6. Berekening doorrollen '!K44</f>
        <v>15610570.819187013</v>
      </c>
      <c r="L27" s="34">
        <f>'6. Berekening doorrollen '!L44</f>
        <v>13597341.662307024</v>
      </c>
      <c r="N27" s="61"/>
    </row>
    <row r="28" spans="2:14">
      <c r="B28" s="8" t="s">
        <v>282</v>
      </c>
      <c r="D28" s="8" t="s">
        <v>80</v>
      </c>
      <c r="F28" s="53"/>
      <c r="H28" s="34">
        <f>'6. Berekening doorrollen '!H45</f>
        <v>14599589.943444706</v>
      </c>
      <c r="I28" s="34">
        <f>'6. Berekening doorrollen '!I45</f>
        <v>14275013.401053913</v>
      </c>
      <c r="J28" s="34">
        <f>'6. Berekening doorrollen '!J45</f>
        <v>15127323.646031445</v>
      </c>
      <c r="K28" s="34">
        <f>'6. Berekening doorrollen '!K45</f>
        <v>14081070.880130926</v>
      </c>
      <c r="L28" s="34">
        <f>'6. Berekening doorrollen '!L45</f>
        <v>14001460.633202594</v>
      </c>
      <c r="N28" s="61"/>
    </row>
    <row r="29" spans="2:14">
      <c r="B29" s="46" t="s">
        <v>131</v>
      </c>
      <c r="D29" s="8" t="s">
        <v>80</v>
      </c>
      <c r="F29" s="53"/>
      <c r="H29" s="34">
        <f>'7. Berekening bijschatten '!L59</f>
        <v>3956909.7607700564</v>
      </c>
      <c r="I29" s="34">
        <f>'7. Berekening bijschatten '!M59</f>
        <v>6252842.1635753922</v>
      </c>
      <c r="J29" s="34">
        <f>'7. Berekening bijschatten '!N59</f>
        <v>9323114.5498409458</v>
      </c>
      <c r="K29" s="34">
        <f>'7. Berekening bijschatten '!O59</f>
        <v>11867310.84234092</v>
      </c>
      <c r="L29" s="34">
        <f>'7. Berekening bijschatten '!P59</f>
        <v>14228132.607429011</v>
      </c>
      <c r="N29" s="61"/>
    </row>
    <row r="30" spans="2:14">
      <c r="B30" s="46" t="s">
        <v>132</v>
      </c>
      <c r="D30" s="8" t="s">
        <v>80</v>
      </c>
      <c r="F30" s="53"/>
      <c r="H30" s="34">
        <f>'7. Berekening bijschatten '!L60</f>
        <v>1826202.7430237248</v>
      </c>
      <c r="I30" s="34">
        <f>'7. Berekening bijschatten '!M60</f>
        <v>2876198.8848429834</v>
      </c>
      <c r="J30" s="34">
        <f>'7. Berekening bijschatten '!N60</f>
        <v>4308390.7558248397</v>
      </c>
      <c r="K30" s="34">
        <f>'7. Berekening bijschatten '!O60</f>
        <v>5482066.8994580097</v>
      </c>
      <c r="L30" s="34">
        <f>'7. Berekening bijschatten '!P60</f>
        <v>6514012.7114090919</v>
      </c>
      <c r="N30" s="61"/>
    </row>
    <row r="31" spans="2:14">
      <c r="B31" s="46" t="s">
        <v>105</v>
      </c>
      <c r="D31" s="8" t="s">
        <v>80</v>
      </c>
      <c r="F31" s="53"/>
      <c r="H31" s="34">
        <f>'8. Berekening oper. kosten'!L190</f>
        <v>63673967.508967683</v>
      </c>
      <c r="I31" s="34">
        <f>'8. Berekening oper. kosten'!M190</f>
        <v>64877758.11486201</v>
      </c>
      <c r="J31" s="34">
        <f>'8. Berekening oper. kosten'!N190</f>
        <v>66102018.175016403</v>
      </c>
      <c r="K31" s="34">
        <f>'8. Berekening oper. kosten'!O190</f>
        <v>67347075.577246711</v>
      </c>
      <c r="L31" s="34">
        <f>'8. Berekening oper. kosten'!P190</f>
        <v>68613263.26382719</v>
      </c>
      <c r="N31" s="61"/>
    </row>
    <row r="32" spans="2:14">
      <c r="B32" s="46" t="s">
        <v>278</v>
      </c>
      <c r="D32" s="8" t="s">
        <v>80</v>
      </c>
      <c r="F32" s="53"/>
      <c r="H32" s="34">
        <f>'8. Berekening oper. kosten'!L191</f>
        <v>93016824.922501087</v>
      </c>
      <c r="I32" s="34">
        <f>'8. Berekening oper. kosten'!M191</f>
        <v>94404451.85372521</v>
      </c>
      <c r="J32" s="34">
        <f>'8. Berekening oper. kosten'!N191</f>
        <v>95812404.374835715</v>
      </c>
      <c r="K32" s="34">
        <f>'8. Berekening oper. kosten'!O191</f>
        <v>97240976.019419283</v>
      </c>
      <c r="L32" s="34">
        <f>'8. Berekening oper. kosten'!P191</f>
        <v>98690464.512472391</v>
      </c>
      <c r="N32" s="61"/>
    </row>
    <row r="33" spans="2:14">
      <c r="B33" s="46" t="s">
        <v>279</v>
      </c>
      <c r="D33" s="8" t="s">
        <v>80</v>
      </c>
      <c r="F33" s="53"/>
      <c r="H33" s="34">
        <f>'8. Berekening oper. kosten'!L192</f>
        <v>7623760.6926725404</v>
      </c>
      <c r="I33" s="34">
        <f>'8. Berekening oper. kosten'!M192</f>
        <v>7722183.4432149418</v>
      </c>
      <c r="J33" s="34">
        <f>'8. Berekening oper. kosten'!N192</f>
        <v>7821876.831466848</v>
      </c>
      <c r="K33" s="34">
        <f>'8. Berekening oper. kosten'!O192</f>
        <v>7922857.2613610839</v>
      </c>
      <c r="L33" s="34">
        <f>'8. Berekening oper. kosten'!P192</f>
        <v>8025141.3486052575</v>
      </c>
      <c r="N33" s="61"/>
    </row>
    <row r="34" spans="2:14">
      <c r="B34" s="29"/>
      <c r="I34" s="33"/>
      <c r="J34" s="33"/>
      <c r="K34" s="33"/>
      <c r="L34" s="33"/>
      <c r="N34" s="61"/>
    </row>
    <row r="35" spans="2:14">
      <c r="B35" s="29" t="s">
        <v>175</v>
      </c>
      <c r="I35" s="33"/>
      <c r="J35" s="33"/>
      <c r="K35" s="33"/>
      <c r="L35" s="33"/>
      <c r="N35" s="61"/>
    </row>
    <row r="36" spans="2:14">
      <c r="B36" s="46" t="s">
        <v>139</v>
      </c>
      <c r="D36" s="8" t="s">
        <v>80</v>
      </c>
      <c r="H36" s="34">
        <f>'6. Berekening doorrollen '!H54</f>
        <v>151853273.96324196</v>
      </c>
      <c r="I36" s="34">
        <f>'6. Berekening doorrollen '!I54</f>
        <v>148335116.20805213</v>
      </c>
      <c r="J36" s="34">
        <f>'6. Berekening doorrollen '!J54</f>
        <v>150541550.67350081</v>
      </c>
      <c r="K36" s="34">
        <f>'6. Berekening doorrollen '!K54</f>
        <v>132776178.61797217</v>
      </c>
      <c r="L36" s="34">
        <f>'6. Berekening doorrollen '!L54</f>
        <v>124187907.68161741</v>
      </c>
      <c r="N36" s="61"/>
    </row>
    <row r="37" spans="2:14">
      <c r="B37" s="46" t="s">
        <v>140</v>
      </c>
      <c r="D37" s="8" t="s">
        <v>80</v>
      </c>
      <c r="H37" s="34">
        <f>'6. Berekening doorrollen '!H55</f>
        <v>16638342.748567261</v>
      </c>
      <c r="I37" s="34">
        <f>'6. Berekening doorrollen '!I55</f>
        <v>15976504.403330002</v>
      </c>
      <c r="J37" s="34">
        <f>'6. Berekening doorrollen '!J55</f>
        <v>16461767.817324352</v>
      </c>
      <c r="K37" s="34">
        <f>'6. Berekening doorrollen '!K55</f>
        <v>14837936.09731685</v>
      </c>
      <c r="L37" s="34">
        <f>'6. Berekening doorrollen '!L55</f>
        <v>12817611.984455217</v>
      </c>
      <c r="N37" s="61"/>
    </row>
    <row r="38" spans="2:14">
      <c r="B38" s="46" t="s">
        <v>135</v>
      </c>
      <c r="D38" s="8" t="s">
        <v>80</v>
      </c>
      <c r="H38" s="34">
        <f>'7. Berekening bijschatten '!L69</f>
        <v>17629824.412582844</v>
      </c>
      <c r="I38" s="34">
        <f>'7. Berekening bijschatten '!M69</f>
        <v>27629471.080287002</v>
      </c>
      <c r="J38" s="34">
        <f>'7. Berekening bijschatten '!N69</f>
        <v>41671476.391443908</v>
      </c>
      <c r="K38" s="34">
        <f>'7. Berekening bijschatten '!O69</f>
        <v>52994431.92588152</v>
      </c>
      <c r="L38" s="34">
        <f>'7. Berekening bijschatten '!P69</f>
        <v>63754632.531542301</v>
      </c>
      <c r="N38" s="61"/>
    </row>
    <row r="39" spans="2:14">
      <c r="B39" s="46" t="s">
        <v>136</v>
      </c>
      <c r="D39" s="8" t="s">
        <v>80</v>
      </c>
      <c r="H39" s="34">
        <f>'7. Berekening bijschatten '!L70</f>
        <v>3782556.363840986</v>
      </c>
      <c r="I39" s="34">
        <f>'7. Berekening bijschatten '!M70</f>
        <v>6021196.2794198925</v>
      </c>
      <c r="J39" s="34">
        <f>'7. Berekening bijschatten '!N70</f>
        <v>8886956.5460432209</v>
      </c>
      <c r="K39" s="34">
        <f>'7. Berekening bijschatten '!O70</f>
        <v>11321451.985314852</v>
      </c>
      <c r="L39" s="34">
        <f>'7. Berekening bijschatten '!P70</f>
        <v>13298324.704620291</v>
      </c>
      <c r="N39" s="61"/>
    </row>
    <row r="40" spans="2:14">
      <c r="B40" s="8" t="s">
        <v>241</v>
      </c>
      <c r="D40" s="8" t="s">
        <v>80</v>
      </c>
      <c r="H40" s="34">
        <f>'8. Berekening oper. kosten'!L223</f>
        <v>96952355.94246836</v>
      </c>
      <c r="I40" s="34">
        <f>'8. Berekening oper. kosten'!M223</f>
        <v>100157623.89396176</v>
      </c>
      <c r="J40" s="34">
        <f>'8. Berekening oper. kosten'!N223</f>
        <v>103305152.8763959</v>
      </c>
      <c r="K40" s="34">
        <f>'8. Berekening oper. kosten'!O223</f>
        <v>106514728.29703905</v>
      </c>
      <c r="L40" s="34">
        <f>'8. Berekening oper. kosten'!P223</f>
        <v>109920090.9270038</v>
      </c>
      <c r="N40" s="61"/>
    </row>
    <row r="41" spans="2:14">
      <c r="B41" s="8" t="s">
        <v>106</v>
      </c>
      <c r="D41" s="8" t="s">
        <v>80</v>
      </c>
      <c r="H41" s="34">
        <f>'8. Berekening oper. kosten'!L224</f>
        <v>57597287.943280764</v>
      </c>
      <c r="I41" s="34">
        <f>'8. Berekening oper. kosten'!M224</f>
        <v>58657555.742436647</v>
      </c>
      <c r="J41" s="34">
        <f>'8. Berekening oper. kosten'!N224</f>
        <v>59729072.040699497</v>
      </c>
      <c r="K41" s="34">
        <f>'8. Berekening oper. kosten'!O224</f>
        <v>60818345.735643014</v>
      </c>
      <c r="L41" s="34">
        <f>'8. Berekening oper. kosten'!P224</f>
        <v>61932621.697297588</v>
      </c>
      <c r="N41" s="61"/>
    </row>
    <row r="42" spans="2:14">
      <c r="B42" s="29"/>
      <c r="J42" s="48"/>
      <c r="K42" s="48"/>
      <c r="L42" s="48"/>
      <c r="N42" s="104"/>
    </row>
    <row r="43" spans="2:14" s="1" customFormat="1">
      <c r="B43" s="1" t="s">
        <v>163</v>
      </c>
    </row>
    <row r="44" spans="2:14">
      <c r="B44" s="29"/>
      <c r="J44" s="48"/>
      <c r="K44" s="48"/>
      <c r="L44" s="48"/>
      <c r="N44" s="104"/>
    </row>
    <row r="45" spans="2:14">
      <c r="B45" s="29" t="s">
        <v>176</v>
      </c>
      <c r="J45" s="48"/>
      <c r="K45" s="48"/>
      <c r="L45" s="48"/>
      <c r="N45" s="104"/>
    </row>
    <row r="46" spans="2:14">
      <c r="B46" s="46" t="s">
        <v>170</v>
      </c>
      <c r="D46" s="8" t="s">
        <v>80</v>
      </c>
      <c r="H46" s="35">
        <f>SUM(H26,H29,H31)</f>
        <v>197727302.12804139</v>
      </c>
      <c r="I46" s="35">
        <f t="shared" ref="I46:L47" si="0">SUM(I26,I29,I31)</f>
        <v>198406395.25221136</v>
      </c>
      <c r="J46" s="35">
        <f t="shared" si="0"/>
        <v>207819248.90168384</v>
      </c>
      <c r="K46" s="35">
        <f t="shared" si="0"/>
        <v>209559337.70636463</v>
      </c>
      <c r="L46" s="35">
        <f>SUM(L26,L29,L31)</f>
        <v>163757943.50621638</v>
      </c>
      <c r="N46" s="61">
        <v>5</v>
      </c>
    </row>
    <row r="47" spans="2:14">
      <c r="B47" s="46" t="s">
        <v>280</v>
      </c>
      <c r="D47" s="8" t="s">
        <v>80</v>
      </c>
      <c r="H47" s="35">
        <f>SUM(H27,H30,H32)</f>
        <v>109784382.39609741</v>
      </c>
      <c r="I47" s="35">
        <f t="shared" si="0"/>
        <v>111771880.64770085</v>
      </c>
      <c r="J47" s="35">
        <f t="shared" si="0"/>
        <v>115999259.4513323</v>
      </c>
      <c r="K47" s="35">
        <f t="shared" si="0"/>
        <v>118333613.7380643</v>
      </c>
      <c r="L47" s="35">
        <f t="shared" si="0"/>
        <v>118801818.88618851</v>
      </c>
      <c r="N47" s="61">
        <v>5</v>
      </c>
    </row>
    <row r="48" spans="2:14">
      <c r="B48" s="46" t="s">
        <v>283</v>
      </c>
      <c r="D48" s="8" t="s">
        <v>80</v>
      </c>
      <c r="H48" s="35">
        <f>H28+H33</f>
        <v>22223350.636117246</v>
      </c>
      <c r="I48" s="35">
        <f t="shared" ref="I48:L48" si="1">I28+I33</f>
        <v>21997196.844268855</v>
      </c>
      <c r="J48" s="35">
        <f t="shared" si="1"/>
        <v>22949200.477498293</v>
      </c>
      <c r="K48" s="35">
        <f t="shared" si="1"/>
        <v>22003928.141492009</v>
      </c>
      <c r="L48" s="35">
        <f t="shared" si="1"/>
        <v>22026601.98180785</v>
      </c>
      <c r="N48" s="61">
        <v>5</v>
      </c>
    </row>
    <row r="49" spans="2:14">
      <c r="B49" s="29"/>
      <c r="J49" s="48"/>
      <c r="K49" s="48"/>
      <c r="L49" s="48"/>
      <c r="N49" s="61"/>
    </row>
    <row r="50" spans="2:14">
      <c r="B50" s="29" t="s">
        <v>175</v>
      </c>
      <c r="J50" s="48"/>
      <c r="K50" s="48"/>
      <c r="L50" s="48"/>
      <c r="N50" s="61"/>
    </row>
    <row r="51" spans="2:14">
      <c r="B51" s="46" t="s">
        <v>172</v>
      </c>
      <c r="D51" s="8" t="s">
        <v>80</v>
      </c>
      <c r="H51" s="35">
        <f t="shared" ref="H51:L52" si="2">SUM(H36,H38,H40)</f>
        <v>266435454.31829315</v>
      </c>
      <c r="I51" s="35">
        <f t="shared" si="2"/>
        <v>276122211.18230093</v>
      </c>
      <c r="J51" s="35">
        <f t="shared" si="2"/>
        <v>295518179.94134063</v>
      </c>
      <c r="K51" s="35">
        <f t="shared" si="2"/>
        <v>292285338.84089273</v>
      </c>
      <c r="L51" s="35">
        <f t="shared" si="2"/>
        <v>297862631.14016354</v>
      </c>
      <c r="N51" s="61">
        <v>5</v>
      </c>
    </row>
    <row r="52" spans="2:14">
      <c r="B52" s="46" t="s">
        <v>173</v>
      </c>
      <c r="D52" s="8" t="s">
        <v>80</v>
      </c>
      <c r="H52" s="35">
        <f t="shared" si="2"/>
        <v>78018187.055689007</v>
      </c>
      <c r="I52" s="35">
        <f t="shared" si="2"/>
        <v>80655256.425186545</v>
      </c>
      <c r="J52" s="35">
        <f t="shared" si="2"/>
        <v>85077796.404067069</v>
      </c>
      <c r="K52" s="35">
        <f t="shared" si="2"/>
        <v>86977733.818274707</v>
      </c>
      <c r="L52" s="35">
        <f t="shared" si="2"/>
        <v>88048558.386373103</v>
      </c>
      <c r="N52" s="61">
        <v>5</v>
      </c>
    </row>
    <row r="53" spans="2:14">
      <c r="B53" s="29"/>
      <c r="J53" s="48"/>
      <c r="K53" s="48"/>
      <c r="L53" s="48"/>
      <c r="N53" s="61"/>
    </row>
    <row r="54" spans="2:14" s="1" customFormat="1">
      <c r="B54" s="1" t="s">
        <v>162</v>
      </c>
    </row>
    <row r="55" spans="2:14">
      <c r="B55" s="29"/>
      <c r="J55" s="48"/>
      <c r="K55" s="48"/>
      <c r="L55" s="48"/>
      <c r="N55" s="61"/>
    </row>
    <row r="56" spans="2:14">
      <c r="B56" s="29" t="s">
        <v>171</v>
      </c>
      <c r="J56" s="48"/>
      <c r="K56" s="48"/>
      <c r="L56" s="48"/>
      <c r="N56" s="61"/>
    </row>
    <row r="57" spans="2:14">
      <c r="B57" s="46" t="s">
        <v>284</v>
      </c>
      <c r="D57" s="8" t="s">
        <v>80</v>
      </c>
      <c r="H57" s="35">
        <f>$F$23*H46+H47</f>
        <v>307511684.52413881</v>
      </c>
      <c r="I57" s="35">
        <f>$F$23*I46+I47</f>
        <v>310178275.89991224</v>
      </c>
      <c r="J57" s="35">
        <f t="shared" ref="J57:K57" si="3">$F$23*J46+J47</f>
        <v>323818508.35301614</v>
      </c>
      <c r="K57" s="35">
        <f t="shared" si="3"/>
        <v>327892951.44442892</v>
      </c>
      <c r="L57" s="35">
        <f>$F$23*L46+L47</f>
        <v>282559762.39240491</v>
      </c>
      <c r="N57" s="61">
        <v>2</v>
      </c>
    </row>
    <row r="58" spans="2:14">
      <c r="B58" s="46" t="s">
        <v>281</v>
      </c>
      <c r="D58" s="8" t="s">
        <v>80</v>
      </c>
      <c r="H58" s="35">
        <f>H48</f>
        <v>22223350.636117246</v>
      </c>
      <c r="I58" s="35">
        <f t="shared" ref="I58:L58" si="4">I48</f>
        <v>21997196.844268855</v>
      </c>
      <c r="J58" s="35">
        <f t="shared" si="4"/>
        <v>22949200.477498293</v>
      </c>
      <c r="K58" s="35">
        <f t="shared" si="4"/>
        <v>22003928.141492009</v>
      </c>
      <c r="L58" s="35">
        <f t="shared" si="4"/>
        <v>22026601.98180785</v>
      </c>
      <c r="N58" s="61">
        <v>2</v>
      </c>
    </row>
    <row r="59" spans="2:14">
      <c r="B59" s="46" t="s">
        <v>314</v>
      </c>
      <c r="D59" s="8" t="s">
        <v>80</v>
      </c>
      <c r="H59" s="35">
        <f>H57+H58</f>
        <v>329735035.16025603</v>
      </c>
      <c r="I59" s="35">
        <f t="shared" ref="I59:L59" si="5">I57+I58</f>
        <v>332175472.7441811</v>
      </c>
      <c r="J59" s="35">
        <f t="shared" si="5"/>
        <v>346767708.83051443</v>
      </c>
      <c r="K59" s="35">
        <f t="shared" si="5"/>
        <v>349896879.58592093</v>
      </c>
      <c r="L59" s="35">
        <f t="shared" si="5"/>
        <v>304586364.37421274</v>
      </c>
      <c r="N59" s="61">
        <v>2</v>
      </c>
    </row>
    <row r="60" spans="2:14">
      <c r="B60" s="46" t="s">
        <v>315</v>
      </c>
      <c r="D60" s="8" t="s">
        <v>151</v>
      </c>
      <c r="F60" s="35">
        <f>H59/H$16+I59/I$16+J59/J$16+K59/K$16+L59/L$16</f>
        <v>1555585184.7340679</v>
      </c>
      <c r="N60" s="61">
        <v>23</v>
      </c>
    </row>
    <row r="61" spans="2:14">
      <c r="B61" s="29"/>
      <c r="J61" s="48"/>
      <c r="K61" s="48"/>
      <c r="L61" s="48"/>
      <c r="N61" s="61"/>
    </row>
    <row r="62" spans="2:14">
      <c r="B62" s="29" t="s">
        <v>174</v>
      </c>
      <c r="J62" s="48"/>
      <c r="K62" s="48"/>
      <c r="L62" s="48"/>
      <c r="N62" s="61"/>
    </row>
    <row r="63" spans="2:14">
      <c r="B63" s="46" t="s">
        <v>174</v>
      </c>
      <c r="D63" s="8" t="s">
        <v>80</v>
      </c>
      <c r="H63" s="35">
        <f>$F$23*H51+H52</f>
        <v>344453641.37398219</v>
      </c>
      <c r="I63" s="35">
        <f t="shared" ref="I63:L63" si="6">$F$23*I51+I52</f>
        <v>356777467.60748744</v>
      </c>
      <c r="J63" s="35">
        <f t="shared" si="6"/>
        <v>380595976.34540772</v>
      </c>
      <c r="K63" s="35">
        <f t="shared" si="6"/>
        <v>379263072.65916741</v>
      </c>
      <c r="L63" s="35">
        <f t="shared" si="6"/>
        <v>385911189.52653664</v>
      </c>
      <c r="N63" s="61">
        <v>2</v>
      </c>
    </row>
    <row r="64" spans="2:14">
      <c r="B64" s="46" t="s">
        <v>316</v>
      </c>
      <c r="D64" s="8" t="s">
        <v>151</v>
      </c>
      <c r="F64" s="35">
        <f>H63/H$16+I63/I$16+J63/J$16+K63/K$16+L63/L$16</f>
        <v>1722879412.9249814</v>
      </c>
      <c r="N64" s="61">
        <v>23</v>
      </c>
    </row>
    <row r="65" spans="1:16">
      <c r="B65" s="29"/>
      <c r="J65" s="48"/>
      <c r="K65" s="48"/>
      <c r="L65" s="48"/>
      <c r="N65" s="61"/>
    </row>
    <row r="66" spans="1:16">
      <c r="B66" s="29" t="s">
        <v>258</v>
      </c>
      <c r="J66" s="48"/>
      <c r="K66" s="48"/>
      <c r="L66" s="48"/>
      <c r="N66" s="61"/>
    </row>
    <row r="67" spans="1:16">
      <c r="B67" s="46" t="s">
        <v>161</v>
      </c>
      <c r="D67" s="8" t="s">
        <v>80</v>
      </c>
      <c r="H67" s="31">
        <f>H59+H63</f>
        <v>674188676.53423822</v>
      </c>
      <c r="I67" s="31">
        <f t="shared" ref="I67:L67" si="7">I59+I63</f>
        <v>688952940.3516686</v>
      </c>
      <c r="J67" s="31">
        <f t="shared" si="7"/>
        <v>727363685.17592216</v>
      </c>
      <c r="K67" s="31">
        <f t="shared" si="7"/>
        <v>729159952.24508834</v>
      </c>
      <c r="L67" s="31">
        <f t="shared" si="7"/>
        <v>690497553.90074944</v>
      </c>
      <c r="N67" s="61">
        <v>1</v>
      </c>
    </row>
    <row r="68" spans="1:16" s="48" customFormat="1">
      <c r="B68" s="69"/>
      <c r="H68" s="56"/>
      <c r="I68" s="56"/>
      <c r="J68" s="56"/>
      <c r="K68" s="56"/>
      <c r="L68" s="56"/>
      <c r="N68" s="61"/>
    </row>
    <row r="69" spans="1:16">
      <c r="B69" s="66" t="s">
        <v>160</v>
      </c>
    </row>
    <row r="70" spans="1:16">
      <c r="B70" s="65" t="s">
        <v>160</v>
      </c>
      <c r="D70" s="8" t="s">
        <v>151</v>
      </c>
      <c r="F70" s="35">
        <f>H67/H$16+I67/I$16+J67/J$16+K67/K$16+L67/L$16</f>
        <v>3278464597.659049</v>
      </c>
      <c r="H70" s="108"/>
      <c r="N70" s="25">
        <v>23</v>
      </c>
    </row>
    <row r="71" spans="1:16">
      <c r="B71" s="29"/>
      <c r="J71" s="48"/>
      <c r="K71" s="48"/>
      <c r="L71" s="48"/>
      <c r="N71" s="61"/>
    </row>
    <row r="72" spans="1:16" s="1" customFormat="1">
      <c r="B72" s="1" t="s">
        <v>159</v>
      </c>
    </row>
    <row r="74" spans="1:16">
      <c r="B74" s="66" t="s">
        <v>158</v>
      </c>
    </row>
    <row r="75" spans="1:16">
      <c r="B75" s="65" t="s">
        <v>149</v>
      </c>
      <c r="D75" s="8" t="s">
        <v>157</v>
      </c>
      <c r="F75" s="68">
        <v>717298000.91387939</v>
      </c>
      <c r="N75" s="25">
        <v>21</v>
      </c>
      <c r="P75" s="8" t="s">
        <v>156</v>
      </c>
    </row>
    <row r="76" spans="1:16">
      <c r="B76" s="65" t="s">
        <v>155</v>
      </c>
      <c r="D76" s="8" t="s">
        <v>154</v>
      </c>
      <c r="F76" s="63">
        <f>L67</f>
        <v>690497553.90074944</v>
      </c>
      <c r="N76" s="25">
        <v>20</v>
      </c>
    </row>
    <row r="77" spans="1:16">
      <c r="B77" s="65" t="s">
        <v>147</v>
      </c>
      <c r="D77" s="8" t="s">
        <v>75</v>
      </c>
      <c r="F77" s="4">
        <f>$F$20^(1/5)-(F76/F75)^(1/5)</f>
        <v>2.5586862523376275E-2</v>
      </c>
      <c r="N77" s="25">
        <v>19</v>
      </c>
    </row>
    <row r="78" spans="1:16" s="48" customFormat="1">
      <c r="A78" s="8"/>
      <c r="B78" s="65"/>
      <c r="F78" s="64"/>
      <c r="N78" s="61"/>
    </row>
    <row r="79" spans="1:16" s="48" customFormat="1">
      <c r="A79" s="8"/>
      <c r="B79" s="65" t="s">
        <v>153</v>
      </c>
      <c r="D79" s="48" t="s">
        <v>148</v>
      </c>
      <c r="F79" s="64"/>
      <c r="H79" s="35">
        <f>F75*(1+H$19-$F77)</f>
        <v>711855959.59265316</v>
      </c>
      <c r="I79" s="35">
        <f>H79*(1+I$19-$F$77)</f>
        <v>706455206.29077756</v>
      </c>
      <c r="J79" s="35">
        <f>I79*(1+J$19-$F$77)</f>
        <v>701095427.76172602</v>
      </c>
      <c r="K79" s="35">
        <f>J79*(1+K$19-$F$77)</f>
        <v>695776313.13553011</v>
      </c>
      <c r="L79" s="35">
        <f>K79*(1+L$19-$F$77)</f>
        <v>690497553.90074921</v>
      </c>
      <c r="N79" s="61">
        <v>24</v>
      </c>
    </row>
    <row r="80" spans="1:16" s="48" customFormat="1">
      <c r="B80" s="65" t="s">
        <v>152</v>
      </c>
      <c r="D80" s="8" t="s">
        <v>151</v>
      </c>
      <c r="F80" s="35">
        <f>H79/H$16+I79/I$16+J79/J$16+K79/K$16+L79/L$16</f>
        <v>3278464597.6593432</v>
      </c>
      <c r="H80" s="67"/>
      <c r="I80" s="67"/>
      <c r="J80" s="67"/>
      <c r="K80" s="67"/>
      <c r="L80" s="67"/>
      <c r="N80" s="61">
        <v>24</v>
      </c>
    </row>
    <row r="81" spans="2:14" s="48" customFormat="1">
      <c r="B81" s="65"/>
      <c r="F81" s="64"/>
      <c r="H81" s="67"/>
      <c r="I81" s="67"/>
      <c r="J81" s="67"/>
      <c r="K81" s="67"/>
      <c r="L81" s="67"/>
      <c r="N81" s="61"/>
    </row>
    <row r="82" spans="2:14" s="48" customFormat="1">
      <c r="B82" s="66" t="s">
        <v>150</v>
      </c>
      <c r="F82" s="64"/>
      <c r="N82" s="61"/>
    </row>
    <row r="83" spans="2:14" s="48" customFormat="1">
      <c r="B83" s="65" t="s">
        <v>149</v>
      </c>
      <c r="D83" s="48" t="s">
        <v>148</v>
      </c>
      <c r="F83" s="31">
        <f>IF(ABS(F80-F70)&lt;10,F75,"De berekening komt nog niet uit. Probeer de solver functie uit te voeren (zie uitleg)")</f>
        <v>717298000.91387939</v>
      </c>
      <c r="N83" s="61"/>
    </row>
    <row r="84" spans="2:14" s="48" customFormat="1">
      <c r="B84" s="65" t="s">
        <v>147</v>
      </c>
      <c r="D84" s="48" t="s">
        <v>75</v>
      </c>
      <c r="F84" s="3">
        <f>IF(ABS(F80-F70)&lt;1,F77,"")</f>
        <v>2.5586862523376275E-2</v>
      </c>
      <c r="N84" s="61"/>
    </row>
    <row r="85" spans="2:14" s="48" customFormat="1">
      <c r="B85" s="65" t="s">
        <v>146</v>
      </c>
      <c r="D85" s="48" t="s">
        <v>75</v>
      </c>
      <c r="F85" s="3">
        <f>IF(F84&gt;0,ROUNDDOWN(F84,4),ROUNDUP(F84,4))</f>
        <v>2.5499999999999998E-2</v>
      </c>
      <c r="N85" s="61">
        <v>19</v>
      </c>
    </row>
    <row r="86" spans="2:14" s="48" customFormat="1">
      <c r="B86" s="65" t="s">
        <v>145</v>
      </c>
      <c r="D86" s="48" t="s">
        <v>80</v>
      </c>
      <c r="F86" s="64"/>
      <c r="H86" s="31">
        <f>$F$83*(1+H$19-$F$85)</f>
        <v>711918265.90702534</v>
      </c>
      <c r="I86" s="31">
        <f>H86*(1+I$19-$F85)</f>
        <v>706578878.91272271</v>
      </c>
      <c r="J86" s="31">
        <f t="shared" ref="J86:K86" si="8">I86*(1+J$19-$F85)</f>
        <v>701279537.32087731</v>
      </c>
      <c r="K86" s="31">
        <f t="shared" si="8"/>
        <v>696019940.7909708</v>
      </c>
      <c r="L86" s="31">
        <f>K86*(1+L$19-$F85)</f>
        <v>690799791.23503852</v>
      </c>
      <c r="N86" s="61" t="s">
        <v>489</v>
      </c>
    </row>
    <row r="87" spans="2:14" s="48" customFormat="1">
      <c r="B87" s="65"/>
      <c r="C87" s="65"/>
      <c r="D87" s="65"/>
      <c r="E87" s="65"/>
      <c r="F87" s="64"/>
      <c r="G87" s="65"/>
      <c r="H87" s="65"/>
      <c r="I87" s="65"/>
      <c r="J87" s="65"/>
      <c r="K87" s="65"/>
      <c r="L87" s="65"/>
      <c r="M87" s="65"/>
      <c r="N87" s="61"/>
    </row>
    <row r="88" spans="2:14" s="1" customFormat="1">
      <c r="B88" s="1" t="s">
        <v>321</v>
      </c>
    </row>
    <row r="90" spans="2:14">
      <c r="B90" s="8" t="s">
        <v>319</v>
      </c>
      <c r="D90" s="8" t="s">
        <v>157</v>
      </c>
      <c r="F90" s="31">
        <f>(F60/F70)*F75</f>
        <v>340347778.66984814</v>
      </c>
      <c r="N90" s="61">
        <v>22</v>
      </c>
    </row>
    <row r="91" spans="2:14">
      <c r="B91" s="8" t="s">
        <v>317</v>
      </c>
      <c r="D91" s="8" t="s">
        <v>80</v>
      </c>
      <c r="H91" s="31">
        <f>$F90*(1+H$19-$F$85)</f>
        <v>337795170.32982433</v>
      </c>
      <c r="I91" s="31">
        <f>H91*(1+I$19-$F$85)</f>
        <v>335261706.55235064</v>
      </c>
      <c r="J91" s="31">
        <f t="shared" ref="J91:L91" si="9">I91*(1+J$19-$F85)</f>
        <v>332747243.75320804</v>
      </c>
      <c r="K91" s="31">
        <f t="shared" si="9"/>
        <v>330251639.42505902</v>
      </c>
      <c r="L91" s="31">
        <f t="shared" si="9"/>
        <v>327774752.12937111</v>
      </c>
      <c r="N91" s="61" t="s">
        <v>489</v>
      </c>
    </row>
    <row r="93" spans="2:14">
      <c r="B93" s="8" t="s">
        <v>320</v>
      </c>
      <c r="D93" s="8" t="s">
        <v>157</v>
      </c>
      <c r="F93" s="31">
        <f>(F64/F70)*F75</f>
        <v>376950222.24403131</v>
      </c>
      <c r="N93" s="61">
        <v>22</v>
      </c>
    </row>
    <row r="94" spans="2:14">
      <c r="B94" s="8" t="s">
        <v>318</v>
      </c>
      <c r="D94" s="8" t="s">
        <v>80</v>
      </c>
      <c r="H94" s="31">
        <f>$F93*(1+H$19-$F$85)</f>
        <v>374123095.57720107</v>
      </c>
      <c r="I94" s="31">
        <f>H94*(1+I$19-$F$85)</f>
        <v>371317172.36037207</v>
      </c>
      <c r="J94" s="31">
        <f t="shared" ref="J94:L94" si="10">I94*(1+J$19-$F$85)</f>
        <v>368532293.56766927</v>
      </c>
      <c r="K94" s="31">
        <f t="shared" si="10"/>
        <v>365768301.36591178</v>
      </c>
      <c r="L94" s="31">
        <f t="shared" si="10"/>
        <v>363025039.10566747</v>
      </c>
      <c r="N94" s="61" t="s">
        <v>489</v>
      </c>
    </row>
    <row r="97" spans="6:13">
      <c r="H97" s="47"/>
      <c r="I97" s="47"/>
      <c r="J97" s="47"/>
      <c r="K97" s="47"/>
      <c r="L97" s="47"/>
      <c r="M97" s="47"/>
    </row>
    <row r="98" spans="6:13">
      <c r="F98" s="115"/>
    </row>
    <row r="99" spans="6:13">
      <c r="F99" s="115"/>
    </row>
    <row r="101" spans="6:13">
      <c r="F101" s="115"/>
    </row>
  </sheetData>
  <mergeCells count="2">
    <mergeCell ref="B5:D5"/>
    <mergeCell ref="B8:D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tabColor rgb="FFCCC8D9"/>
  </sheetPr>
  <dimension ref="B2:Q77"/>
  <sheetViews>
    <sheetView showGridLines="0" zoomScale="85" zoomScaleNormal="85" workbookViewId="0">
      <pane ySplit="3" topLeftCell="A4" activePane="bottomLeft" state="frozen"/>
      <selection pane="bottomLeft" activeCell="A4" sqref="A4"/>
    </sheetView>
  </sheetViews>
  <sheetFormatPr defaultColWidth="9.140625" defaultRowHeight="12.75"/>
  <cols>
    <col min="1" max="1" width="4.7109375" style="8" customWidth="1"/>
    <col min="2" max="2" width="19.140625" style="8" customWidth="1"/>
    <col min="3" max="3" width="2.7109375" style="8" customWidth="1"/>
    <col min="4" max="4" width="40.7109375" style="8" customWidth="1"/>
    <col min="5" max="5" width="2.7109375" style="8" customWidth="1"/>
    <col min="6" max="6" width="20.7109375" style="8" customWidth="1"/>
    <col min="7" max="7" width="2.7109375" style="8" customWidth="1"/>
    <col min="8" max="8" width="40.7109375" style="8" customWidth="1"/>
    <col min="9" max="9" width="2.7109375" style="8" customWidth="1"/>
    <col min="10" max="10" width="20.7109375" style="8" customWidth="1"/>
    <col min="11" max="11" width="4.7109375" style="8" customWidth="1"/>
    <col min="12" max="12" width="40.7109375" style="8" customWidth="1"/>
    <col min="13" max="13" width="4.7109375" style="8" customWidth="1"/>
    <col min="14" max="14" width="20.7109375" style="8" customWidth="1"/>
    <col min="15" max="15" width="4.7109375" style="8" customWidth="1"/>
    <col min="16" max="16" width="40.7109375" style="8" customWidth="1"/>
    <col min="17" max="17" width="4.7109375" style="8" customWidth="1"/>
    <col min="18" max="16384" width="9.140625" style="8"/>
  </cols>
  <sheetData>
    <row r="2" spans="2:13" s="2" customFormat="1" ht="18">
      <c r="B2" s="2" t="s">
        <v>52</v>
      </c>
    </row>
    <row r="5" spans="2:13" s="1" customFormat="1">
      <c r="B5" s="1" t="s">
        <v>15</v>
      </c>
    </row>
    <row r="7" spans="2:13" ht="126" customHeight="1">
      <c r="B7" s="141" t="s">
        <v>560</v>
      </c>
      <c r="C7" s="141"/>
      <c r="D7" s="141"/>
      <c r="E7" s="141"/>
      <c r="F7" s="141"/>
      <c r="G7" s="141"/>
      <c r="H7" s="141"/>
    </row>
    <row r="9" spans="2:13" s="1" customFormat="1">
      <c r="B9" s="1" t="s">
        <v>180</v>
      </c>
    </row>
    <row r="10" spans="2:13">
      <c r="F10" s="78"/>
    </row>
    <row r="11" spans="2:13">
      <c r="F11" s="78"/>
    </row>
    <row r="12" spans="2:13">
      <c r="F12" s="78"/>
    </row>
    <row r="13" spans="2:13">
      <c r="C13" s="79"/>
      <c r="D13" s="80"/>
      <c r="E13" s="81"/>
      <c r="G13" s="79"/>
      <c r="H13" s="80"/>
      <c r="I13" s="81"/>
      <c r="K13" s="79"/>
      <c r="L13" s="80"/>
      <c r="M13" s="81"/>
    </row>
    <row r="14" spans="2:13">
      <c r="C14" s="82"/>
      <c r="D14" s="83" t="s">
        <v>181</v>
      </c>
      <c r="E14" s="84"/>
      <c r="G14" s="82"/>
      <c r="H14" s="85" t="s">
        <v>182</v>
      </c>
      <c r="I14" s="84"/>
      <c r="K14" s="82"/>
      <c r="L14" s="86" t="s">
        <v>183</v>
      </c>
      <c r="M14" s="84"/>
    </row>
    <row r="15" spans="2:13">
      <c r="C15" s="87"/>
      <c r="D15" s="88"/>
      <c r="E15" s="89"/>
      <c r="G15" s="87"/>
      <c r="H15" s="88"/>
      <c r="I15" s="89"/>
      <c r="K15" s="87"/>
      <c r="L15" s="88"/>
      <c r="M15" s="89"/>
    </row>
    <row r="17" spans="2:16" s="1" customFormat="1">
      <c r="B17" s="1" t="s">
        <v>59</v>
      </c>
    </row>
    <row r="19" spans="2:16">
      <c r="B19" s="8" t="s">
        <v>184</v>
      </c>
    </row>
    <row r="21" spans="2:16">
      <c r="D21" s="90" t="s">
        <v>185</v>
      </c>
      <c r="H21" s="90" t="s">
        <v>186</v>
      </c>
      <c r="P21" s="90" t="s">
        <v>33</v>
      </c>
    </row>
    <row r="22" spans="2:16">
      <c r="D22" s="90"/>
    </row>
    <row r="23" spans="2:16">
      <c r="C23" s="79"/>
      <c r="D23" s="80"/>
      <c r="E23" s="81"/>
      <c r="G23" s="79"/>
      <c r="H23" s="80"/>
      <c r="I23" s="81"/>
    </row>
    <row r="24" spans="2:16">
      <c r="C24" s="82"/>
      <c r="D24" s="83" t="s">
        <v>187</v>
      </c>
      <c r="E24" s="84"/>
      <c r="G24" s="82"/>
      <c r="H24" s="85" t="s">
        <v>188</v>
      </c>
      <c r="I24" s="84"/>
    </row>
    <row r="25" spans="2:16">
      <c r="C25" s="87"/>
      <c r="D25" s="88"/>
      <c r="E25" s="89"/>
      <c r="G25" s="87"/>
      <c r="H25" s="88"/>
      <c r="I25" s="89"/>
    </row>
    <row r="28" spans="2:16">
      <c r="G28" s="79"/>
      <c r="H28" s="80"/>
      <c r="I28" s="81"/>
    </row>
    <row r="29" spans="2:16">
      <c r="G29" s="82"/>
      <c r="H29" s="91" t="s">
        <v>189</v>
      </c>
      <c r="I29" s="84"/>
    </row>
    <row r="30" spans="2:16">
      <c r="G30" s="87"/>
      <c r="H30" s="88"/>
      <c r="I30" s="89"/>
    </row>
    <row r="33" spans="2:17">
      <c r="C33" s="79"/>
      <c r="D33" s="80"/>
      <c r="E33" s="81"/>
      <c r="G33" s="79"/>
      <c r="H33" s="80"/>
      <c r="I33" s="81"/>
    </row>
    <row r="34" spans="2:17">
      <c r="C34" s="82"/>
      <c r="D34" s="83" t="s">
        <v>190</v>
      </c>
      <c r="E34" s="84"/>
      <c r="G34" s="82"/>
      <c r="H34" s="85" t="s">
        <v>191</v>
      </c>
      <c r="I34" s="84"/>
    </row>
    <row r="35" spans="2:17">
      <c r="C35" s="87"/>
      <c r="D35" s="88"/>
      <c r="E35" s="89"/>
      <c r="G35" s="87"/>
      <c r="H35" s="88"/>
      <c r="I35" s="89"/>
    </row>
    <row r="38" spans="2:17">
      <c r="G38" s="79"/>
      <c r="H38" s="80"/>
      <c r="I38" s="81"/>
      <c r="K38" s="79"/>
      <c r="L38" s="80"/>
      <c r="M38" s="81"/>
      <c r="O38" s="79"/>
      <c r="P38" s="80"/>
      <c r="Q38" s="81"/>
    </row>
    <row r="39" spans="2:17">
      <c r="G39" s="82"/>
      <c r="H39" s="85" t="s">
        <v>192</v>
      </c>
      <c r="I39" s="84"/>
      <c r="K39" s="82"/>
      <c r="L39" s="85" t="s">
        <v>193</v>
      </c>
      <c r="M39" s="84"/>
      <c r="O39" s="82"/>
      <c r="P39" s="86" t="s">
        <v>194</v>
      </c>
      <c r="Q39" s="84"/>
    </row>
    <row r="40" spans="2:17">
      <c r="G40" s="87"/>
      <c r="H40" s="88"/>
      <c r="I40" s="89"/>
      <c r="K40" s="87"/>
      <c r="L40" s="88"/>
      <c r="M40" s="89"/>
      <c r="O40" s="87"/>
      <c r="P40" s="88"/>
      <c r="Q40" s="89"/>
    </row>
    <row r="43" spans="2:17">
      <c r="C43" s="79"/>
      <c r="D43" s="80"/>
      <c r="E43" s="81"/>
      <c r="G43" s="79"/>
      <c r="H43" s="80"/>
      <c r="I43" s="81"/>
    </row>
    <row r="44" spans="2:17">
      <c r="C44" s="82"/>
      <c r="D44" s="83" t="s">
        <v>195</v>
      </c>
      <c r="E44" s="84"/>
      <c r="G44" s="82"/>
      <c r="H44" s="85" t="s">
        <v>196</v>
      </c>
      <c r="I44" s="84"/>
    </row>
    <row r="45" spans="2:17">
      <c r="C45" s="87"/>
      <c r="D45" s="88"/>
      <c r="E45" s="89"/>
      <c r="G45" s="87"/>
      <c r="H45" s="88"/>
      <c r="I45" s="89"/>
    </row>
    <row r="47" spans="2:17" s="1" customFormat="1">
      <c r="B47" s="1" t="s">
        <v>16</v>
      </c>
    </row>
    <row r="49" spans="2:9">
      <c r="B49" s="29" t="s">
        <v>39</v>
      </c>
      <c r="D49" s="29" t="s">
        <v>17</v>
      </c>
      <c r="F49" s="11"/>
    </row>
    <row r="51" spans="2:9">
      <c r="B51" s="32">
        <v>123</v>
      </c>
      <c r="D51" s="8" t="s">
        <v>69</v>
      </c>
    </row>
    <row r="52" spans="2:9">
      <c r="B52" s="34">
        <f>B51</f>
        <v>123</v>
      </c>
      <c r="D52" s="8" t="s">
        <v>18</v>
      </c>
    </row>
    <row r="53" spans="2:9">
      <c r="B53" s="35">
        <f>B52+B51</f>
        <v>246</v>
      </c>
      <c r="D53" s="8" t="s">
        <v>19</v>
      </c>
    </row>
    <row r="54" spans="2:9">
      <c r="B54" s="31">
        <f>B52+B53</f>
        <v>369</v>
      </c>
      <c r="D54" s="8" t="s">
        <v>70</v>
      </c>
      <c r="E54" s="11"/>
      <c r="F54" s="11"/>
      <c r="G54" s="11"/>
      <c r="I54" s="11"/>
    </row>
    <row r="55" spans="2:9">
      <c r="B55" s="45"/>
      <c r="D55" s="8" t="s">
        <v>20</v>
      </c>
      <c r="E55" s="11"/>
      <c r="G55" s="11"/>
      <c r="I55" s="11"/>
    </row>
    <row r="57" spans="2:9">
      <c r="B57" s="30" t="s">
        <v>21</v>
      </c>
    </row>
    <row r="58" spans="2:9">
      <c r="B58" s="92">
        <f>B54+16</f>
        <v>385</v>
      </c>
      <c r="D58" s="8" t="s">
        <v>71</v>
      </c>
    </row>
    <row r="59" spans="2:9">
      <c r="B59" s="93">
        <f>B52*PI()</f>
        <v>386.41589639154455</v>
      </c>
      <c r="C59" s="18"/>
      <c r="D59" s="8" t="s">
        <v>22</v>
      </c>
    </row>
    <row r="60" spans="2:9">
      <c r="B60" s="18"/>
      <c r="C60" s="18"/>
    </row>
    <row r="61" spans="2:9">
      <c r="B61" s="30" t="s">
        <v>23</v>
      </c>
      <c r="C61" s="19"/>
    </row>
    <row r="62" spans="2:9">
      <c r="B62" s="94">
        <v>123</v>
      </c>
      <c r="C62" s="19"/>
      <c r="D62" s="8" t="s">
        <v>72</v>
      </c>
    </row>
    <row r="63" spans="2:9">
      <c r="B63" s="95">
        <v>124</v>
      </c>
      <c r="C63" s="19"/>
      <c r="D63" s="8" t="s">
        <v>74</v>
      </c>
    </row>
    <row r="64" spans="2:9">
      <c r="B64" s="96">
        <f>B62-B63</f>
        <v>-1</v>
      </c>
      <c r="C64" s="20"/>
      <c r="D64" s="8" t="s">
        <v>58</v>
      </c>
    </row>
    <row r="67" spans="2:4">
      <c r="B67" s="29" t="s">
        <v>34</v>
      </c>
    </row>
    <row r="68" spans="2:4">
      <c r="B68" s="7"/>
    </row>
    <row r="69" spans="2:4">
      <c r="B69" s="30" t="s">
        <v>40</v>
      </c>
    </row>
    <row r="70" spans="2:4">
      <c r="B70" s="97" t="s">
        <v>33</v>
      </c>
      <c r="D70" s="8" t="s">
        <v>43</v>
      </c>
    </row>
    <row r="71" spans="2:4">
      <c r="B71" t="s">
        <v>31</v>
      </c>
      <c r="D71" s="8" t="s">
        <v>35</v>
      </c>
    </row>
    <row r="72" spans="2:4">
      <c r="B72" s="98" t="s">
        <v>32</v>
      </c>
      <c r="D72" s="8" t="s">
        <v>36</v>
      </c>
    </row>
    <row r="73" spans="2:4">
      <c r="B73" s="17" t="s">
        <v>32</v>
      </c>
      <c r="D73" s="8" t="s">
        <v>38</v>
      </c>
    </row>
    <row r="75" spans="2:4">
      <c r="B75" s="30" t="s">
        <v>42</v>
      </c>
    </row>
    <row r="76" spans="2:4">
      <c r="B76" s="26" t="s">
        <v>37</v>
      </c>
      <c r="D76" s="8" t="s">
        <v>44</v>
      </c>
    </row>
    <row r="77" spans="2:4">
      <c r="B77" s="121" t="s">
        <v>41</v>
      </c>
      <c r="D77" s="8" t="s">
        <v>73</v>
      </c>
    </row>
  </sheetData>
  <mergeCells count="1">
    <mergeCell ref="B7:H7"/>
  </mergeCells>
  <pageMargins left="0.75" right="0.75" top="1" bottom="1" header="0.5" footer="0.5"/>
  <pageSetup paperSize="9" orientation="portrait"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rgb="FFCCC8D9"/>
  </sheetPr>
  <dimension ref="B2:F36"/>
  <sheetViews>
    <sheetView showGridLines="0" zoomScale="85" zoomScaleNormal="85" workbookViewId="0">
      <pane ySplit="3" topLeftCell="A4" activePane="bottomLeft" state="frozen"/>
      <selection activeCell="O39" sqref="O39"/>
      <selection pane="bottomLeft" activeCell="A4" sqref="A4"/>
    </sheetView>
  </sheetViews>
  <sheetFormatPr defaultColWidth="9.140625" defaultRowHeight="12.75"/>
  <cols>
    <col min="1" max="1" width="4.7109375" style="8" customWidth="1"/>
    <col min="2" max="2" width="7.5703125" style="8" customWidth="1"/>
    <col min="3" max="3" width="45" style="8" customWidth="1"/>
    <col min="4" max="4" width="78.140625" style="8" customWidth="1"/>
    <col min="5" max="5" width="32.28515625" style="8" customWidth="1"/>
    <col min="6" max="6" width="40.7109375" style="8" customWidth="1"/>
    <col min="7" max="7" width="4.5703125" style="8" customWidth="1"/>
    <col min="8" max="16384" width="9.140625" style="8"/>
  </cols>
  <sheetData>
    <row r="2" spans="2:6" s="23" customFormat="1" ht="18">
      <c r="B2" s="23" t="s">
        <v>24</v>
      </c>
    </row>
    <row r="5" spans="2:6" s="14" customFormat="1">
      <c r="B5" s="14" t="s">
        <v>25</v>
      </c>
    </row>
    <row r="7" spans="2:6">
      <c r="B7" s="30" t="s">
        <v>64</v>
      </c>
    </row>
    <row r="8" spans="2:6">
      <c r="B8" s="30" t="s">
        <v>65</v>
      </c>
    </row>
    <row r="10" spans="2:6">
      <c r="B10" s="21" t="s">
        <v>53</v>
      </c>
      <c r="C10" s="21" t="s">
        <v>54</v>
      </c>
      <c r="D10" s="21" t="s">
        <v>55</v>
      </c>
      <c r="E10" s="21" t="s">
        <v>63</v>
      </c>
      <c r="F10" s="21" t="s">
        <v>60</v>
      </c>
    </row>
    <row r="11" spans="2:6">
      <c r="B11" s="22"/>
      <c r="C11" s="27" t="s">
        <v>62</v>
      </c>
      <c r="D11" s="27" t="s">
        <v>26</v>
      </c>
      <c r="E11" s="27" t="s">
        <v>66</v>
      </c>
      <c r="F11" s="27" t="s">
        <v>61</v>
      </c>
    </row>
    <row r="12" spans="2:6">
      <c r="B12" s="12">
        <v>1</v>
      </c>
      <c r="C12" s="12" t="s">
        <v>91</v>
      </c>
      <c r="D12" s="12" t="s">
        <v>89</v>
      </c>
      <c r="E12" s="12"/>
      <c r="F12" s="12"/>
    </row>
    <row r="13" spans="2:6">
      <c r="B13" s="12">
        <v>2</v>
      </c>
      <c r="C13" s="12" t="s">
        <v>92</v>
      </c>
      <c r="D13" s="8" t="s">
        <v>90</v>
      </c>
      <c r="E13" s="12"/>
      <c r="F13" s="12"/>
    </row>
    <row r="14" spans="2:6">
      <c r="B14" s="12">
        <v>3</v>
      </c>
      <c r="C14" s="12" t="s">
        <v>353</v>
      </c>
      <c r="D14" s="12" t="s">
        <v>354</v>
      </c>
      <c r="E14" s="12"/>
      <c r="F14" s="12"/>
    </row>
    <row r="15" spans="2:6">
      <c r="B15" s="12">
        <v>4</v>
      </c>
      <c r="C15" s="12" t="s">
        <v>352</v>
      </c>
      <c r="D15" s="12" t="s">
        <v>355</v>
      </c>
      <c r="E15" s="12"/>
      <c r="F15" s="12"/>
    </row>
    <row r="16" spans="2:6">
      <c r="B16" s="12">
        <v>5</v>
      </c>
      <c r="C16" s="12" t="s">
        <v>356</v>
      </c>
      <c r="D16" s="12" t="s">
        <v>357</v>
      </c>
      <c r="E16" s="12"/>
      <c r="F16" s="12"/>
    </row>
    <row r="17" spans="2:6">
      <c r="B17" s="12">
        <v>6</v>
      </c>
      <c r="C17" s="12" t="s">
        <v>371</v>
      </c>
      <c r="D17" s="12" t="s">
        <v>427</v>
      </c>
      <c r="E17" s="12"/>
      <c r="F17" s="12"/>
    </row>
    <row r="18" spans="2:6">
      <c r="B18" s="12">
        <v>7</v>
      </c>
      <c r="C18" s="12" t="s">
        <v>208</v>
      </c>
      <c r="D18" s="12" t="s">
        <v>207</v>
      </c>
      <c r="F18" s="12"/>
    </row>
    <row r="19" spans="2:6">
      <c r="B19" s="12">
        <v>8</v>
      </c>
      <c r="C19" s="12" t="s">
        <v>214</v>
      </c>
      <c r="D19" s="12" t="s">
        <v>215</v>
      </c>
      <c r="E19" s="12"/>
      <c r="F19" s="12"/>
    </row>
    <row r="20" spans="2:6">
      <c r="B20" s="12">
        <v>9</v>
      </c>
      <c r="C20" s="12" t="s">
        <v>296</v>
      </c>
      <c r="D20" s="12" t="s">
        <v>297</v>
      </c>
      <c r="E20" s="12"/>
      <c r="F20" s="105" t="s">
        <v>225</v>
      </c>
    </row>
    <row r="21" spans="2:6">
      <c r="B21" s="12">
        <v>10</v>
      </c>
      <c r="C21" s="12" t="s">
        <v>295</v>
      </c>
      <c r="D21" s="12" t="s">
        <v>307</v>
      </c>
      <c r="E21" s="12" t="s">
        <v>235</v>
      </c>
      <c r="F21" s="105" t="s">
        <v>225</v>
      </c>
    </row>
    <row r="22" spans="2:6">
      <c r="B22" s="12">
        <v>11</v>
      </c>
      <c r="C22" s="8" t="s">
        <v>502</v>
      </c>
      <c r="D22" s="12" t="s">
        <v>503</v>
      </c>
      <c r="E22" s="136" t="s">
        <v>506</v>
      </c>
      <c r="F22" s="105" t="s">
        <v>225</v>
      </c>
    </row>
    <row r="23" spans="2:6">
      <c r="B23" s="12">
        <v>12</v>
      </c>
      <c r="C23" s="12" t="s">
        <v>507</v>
      </c>
      <c r="D23" s="12" t="s">
        <v>561</v>
      </c>
      <c r="E23" s="12"/>
      <c r="F23" s="105"/>
    </row>
    <row r="24" spans="2:6">
      <c r="B24" s="12">
        <v>13</v>
      </c>
      <c r="C24" s="12" t="s">
        <v>499</v>
      </c>
      <c r="D24" s="12" t="s">
        <v>500</v>
      </c>
      <c r="E24" s="12"/>
      <c r="F24" s="105" t="s">
        <v>225</v>
      </c>
    </row>
    <row r="26" spans="2:6" s="1" customFormat="1">
      <c r="B26" s="1" t="s">
        <v>51</v>
      </c>
    </row>
    <row r="28" spans="2:6">
      <c r="B28" s="30" t="s">
        <v>49</v>
      </c>
    </row>
    <row r="29" spans="2:6">
      <c r="B29" s="30" t="s">
        <v>50</v>
      </c>
    </row>
    <row r="31" spans="2:6">
      <c r="B31" s="7" t="s">
        <v>197</v>
      </c>
    </row>
    <row r="32" spans="2:6" ht="195" customHeight="1">
      <c r="B32" s="141" t="s">
        <v>216</v>
      </c>
      <c r="C32" s="141"/>
      <c r="D32" s="141"/>
      <c r="E32" s="141"/>
      <c r="F32" s="141"/>
    </row>
    <row r="33" spans="2:6">
      <c r="B33" s="7" t="s">
        <v>198</v>
      </c>
    </row>
    <row r="34" spans="2:6" ht="114.75" customHeight="1">
      <c r="B34" s="141" t="s">
        <v>199</v>
      </c>
      <c r="C34" s="141"/>
      <c r="D34" s="141"/>
      <c r="E34" s="141"/>
      <c r="F34" s="141"/>
    </row>
    <row r="35" spans="2:6" ht="28.5" customHeight="1">
      <c r="B35" s="142" t="s">
        <v>200</v>
      </c>
      <c r="C35" s="142"/>
      <c r="D35" s="142"/>
      <c r="E35" s="142"/>
      <c r="F35" s="142"/>
    </row>
    <row r="36" spans="2:6" s="51" customFormat="1" ht="95.25" customHeight="1">
      <c r="B36" s="141" t="s">
        <v>201</v>
      </c>
      <c r="C36" s="141"/>
      <c r="D36" s="141"/>
      <c r="E36" s="141"/>
      <c r="F36" s="141"/>
    </row>
  </sheetData>
  <mergeCells count="4">
    <mergeCell ref="B32:F32"/>
    <mergeCell ref="B34:F34"/>
    <mergeCell ref="B35:F35"/>
    <mergeCell ref="B36:F36"/>
  </mergeCells>
  <phoneticPr fontId="36" type="noConversion"/>
  <hyperlinks>
    <hyperlink ref="B35" r:id="rId1" xr:uid="{00000000-0004-0000-0500-000000000000}"/>
    <hyperlink ref="F21" r:id="rId2" xr:uid="{00000000-0004-0000-0500-000001000000}"/>
    <hyperlink ref="F20" r:id="rId3" location="/CBS/nl/dataset/70936NED/table?fromstatweb" xr:uid="{00000000-0004-0000-0500-000002000000}"/>
    <hyperlink ref="F24" r:id="rId4" location="!/details?id=ECLI:NL:CBB:2023:319" xr:uid="{6C98F03E-8B6F-4B12-89E2-9DD1C170AC04}"/>
    <hyperlink ref="F22" r:id="rId5" xr:uid="{3B80FD59-7E50-48FF-A282-490B5773FE50}"/>
  </hyperlinks>
  <pageMargins left="0.75" right="0.75" top="1" bottom="1" header="0.5" footer="0.5"/>
  <pageSetup paperSize="9" orientation="portrait" r:id="rId6"/>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7">
    <tabColor rgb="FFCCFFFF"/>
  </sheetPr>
  <dimension ref="B2:L26"/>
  <sheetViews>
    <sheetView showGridLines="0" zoomScale="85" zoomScaleNormal="85" workbookViewId="0">
      <pane xSplit="4" ySplit="8" topLeftCell="E9" activePane="bottomRight" state="frozen"/>
      <selection pane="topRight" activeCell="E1" sqref="E1"/>
      <selection pane="bottomLeft" activeCell="A9" sqref="A9"/>
      <selection pane="bottomRight" activeCell="E9" sqref="E9"/>
    </sheetView>
  </sheetViews>
  <sheetFormatPr defaultColWidth="9.140625" defaultRowHeight="12.75"/>
  <cols>
    <col min="1" max="1" width="4.7109375" style="8" customWidth="1"/>
    <col min="2" max="2" width="75.7109375" style="8" customWidth="1"/>
    <col min="3" max="3" width="2.7109375" style="8" customWidth="1"/>
    <col min="4" max="4" width="13.7109375" style="8" customWidth="1"/>
    <col min="5" max="5" width="2.7109375" style="8" customWidth="1"/>
    <col min="6" max="6" width="16.7109375" style="8" customWidth="1"/>
    <col min="7" max="7" width="2.7109375" style="8" customWidth="1"/>
    <col min="8" max="12" width="16.7109375" style="8" customWidth="1"/>
    <col min="13" max="13" width="13.7109375" style="8" customWidth="1"/>
    <col min="14" max="16384" width="9.140625" style="8"/>
  </cols>
  <sheetData>
    <row r="2" spans="2:12" s="2" customFormat="1" ht="18">
      <c r="B2" s="2" t="s">
        <v>93</v>
      </c>
    </row>
    <row r="4" spans="2:12">
      <c r="B4" s="29" t="s">
        <v>57</v>
      </c>
      <c r="D4" s="7"/>
      <c r="G4" s="7"/>
    </row>
    <row r="5" spans="2:12" ht="89.25" customHeight="1">
      <c r="B5" s="141" t="s">
        <v>177</v>
      </c>
      <c r="C5" s="141"/>
    </row>
    <row r="6" spans="2:12">
      <c r="B6" s="10"/>
    </row>
    <row r="7" spans="2:12" s="1" customFormat="1">
      <c r="B7" s="1" t="s">
        <v>45</v>
      </c>
      <c r="D7" s="1" t="s">
        <v>27</v>
      </c>
      <c r="F7" s="1" t="s">
        <v>28</v>
      </c>
      <c r="H7" s="1">
        <v>2022</v>
      </c>
      <c r="I7" s="1">
        <v>2023</v>
      </c>
      <c r="J7" s="1">
        <v>2024</v>
      </c>
      <c r="K7" s="1">
        <v>2025</v>
      </c>
      <c r="L7" s="1">
        <v>2026</v>
      </c>
    </row>
    <row r="8" spans="2:12" s="75" customFormat="1"/>
    <row r="9" spans="2:12" s="75" customFormat="1"/>
    <row r="10" spans="2:12" s="1" customFormat="1">
      <c r="B10" s="1" t="s">
        <v>178</v>
      </c>
    </row>
    <row r="12" spans="2:12">
      <c r="B12" s="8" t="s">
        <v>470</v>
      </c>
      <c r="D12" s="77" t="s">
        <v>148</v>
      </c>
      <c r="E12" s="76"/>
      <c r="F12" s="31">
        <f>'9. Berekening x-factor'!F83</f>
        <v>717298000.91387939</v>
      </c>
    </row>
    <row r="13" spans="2:12">
      <c r="B13" s="128" t="s">
        <v>471</v>
      </c>
      <c r="D13" s="77" t="s">
        <v>148</v>
      </c>
      <c r="E13" s="76"/>
      <c r="F13" s="31">
        <f>'9. Berekening x-factor'!F90</f>
        <v>340347778.66984814</v>
      </c>
    </row>
    <row r="14" spans="2:12">
      <c r="B14" s="128" t="s">
        <v>472</v>
      </c>
      <c r="D14" s="77" t="s">
        <v>148</v>
      </c>
      <c r="E14" s="76"/>
      <c r="F14" s="31">
        <f>'9. Berekening x-factor'!F93</f>
        <v>376950222.24403131</v>
      </c>
    </row>
    <row r="15" spans="2:12">
      <c r="B15" s="76"/>
    </row>
    <row r="16" spans="2:12">
      <c r="B16" s="8" t="s">
        <v>146</v>
      </c>
      <c r="D16" s="8" t="s">
        <v>75</v>
      </c>
      <c r="F16" s="3">
        <f>'9. Berekening x-factor'!F85</f>
        <v>2.5499999999999998E-2</v>
      </c>
    </row>
    <row r="18" spans="2:12" s="1" customFormat="1">
      <c r="B18" s="1" t="s">
        <v>179</v>
      </c>
    </row>
    <row r="20" spans="2:12">
      <c r="B20" s="77" t="s">
        <v>78</v>
      </c>
      <c r="D20" s="8" t="s">
        <v>75</v>
      </c>
      <c r="H20" s="43">
        <f>'2. Reguleringsparameters'!L21</f>
        <v>1.7999999999999999E-2</v>
      </c>
      <c r="I20" s="43">
        <f>'2. Reguleringsparameters'!M21</f>
        <v>1.7999999999999999E-2</v>
      </c>
      <c r="J20" s="43">
        <f>'2. Reguleringsparameters'!N21</f>
        <v>1.7999999999999999E-2</v>
      </c>
      <c r="K20" s="43">
        <f>'2. Reguleringsparameters'!O21</f>
        <v>1.7999999999999999E-2</v>
      </c>
      <c r="L20" s="43">
        <f>'2. Reguleringsparameters'!P21</f>
        <v>1.7999999999999999E-2</v>
      </c>
    </row>
    <row r="22" spans="2:12" s="1" customFormat="1">
      <c r="B22" s="1" t="s">
        <v>145</v>
      </c>
    </row>
    <row r="24" spans="2:12">
      <c r="B24" s="8" t="s">
        <v>145</v>
      </c>
      <c r="D24" s="8" t="s">
        <v>80</v>
      </c>
      <c r="H24" s="31">
        <f>'9. Berekening x-factor'!H86</f>
        <v>711918265.90702534</v>
      </c>
      <c r="I24" s="31">
        <f>'9. Berekening x-factor'!I86</f>
        <v>706578878.91272271</v>
      </c>
      <c r="J24" s="31">
        <f>'9. Berekening x-factor'!J86</f>
        <v>701279537.32087731</v>
      </c>
      <c r="K24" s="31">
        <f>'9. Berekening x-factor'!K86</f>
        <v>696019940.7909708</v>
      </c>
      <c r="L24" s="31">
        <f>'9. Berekening x-factor'!L86</f>
        <v>690799791.23503852</v>
      </c>
    </row>
    <row r="25" spans="2:12">
      <c r="H25" s="53"/>
      <c r="I25" s="53"/>
      <c r="J25" s="53"/>
      <c r="K25" s="53"/>
      <c r="L25" s="53"/>
    </row>
    <row r="26" spans="2:12">
      <c r="H26" s="47"/>
      <c r="I26" s="47"/>
      <c r="J26" s="47"/>
      <c r="K26" s="47"/>
      <c r="L26" s="47"/>
    </row>
  </sheetData>
  <mergeCells count="1">
    <mergeCell ref="B5:C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8">
    <tabColor theme="0" tint="-4.9989318521683403E-2"/>
  </sheetPr>
  <dimension ref="A1"/>
  <sheetViews>
    <sheetView showGridLines="0" zoomScale="85" zoomScaleNormal="85" workbookViewId="0"/>
  </sheetViews>
  <sheetFormatPr defaultColWidth="9.140625" defaultRowHeight="12.75"/>
  <cols>
    <col min="1" max="16384" width="9.140625" style="26"/>
  </cols>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9">
    <tabColor rgb="FFE1FFE1"/>
  </sheetPr>
  <dimension ref="B2:T59"/>
  <sheetViews>
    <sheetView showGridLines="0" zoomScale="85" zoomScaleNormal="85" workbookViewId="0">
      <pane xSplit="4" ySplit="11" topLeftCell="E12" activePane="bottomRight" state="frozen"/>
      <selection activeCell="R6" sqref="R6"/>
      <selection pane="topRight" activeCell="R6" sqref="R6"/>
      <selection pane="bottomLeft" activeCell="R6" sqref="R6"/>
      <selection pane="bottomRight" activeCell="E12" sqref="E12"/>
    </sheetView>
  </sheetViews>
  <sheetFormatPr defaultColWidth="9.140625" defaultRowHeight="12.75"/>
  <cols>
    <col min="1" max="1" width="4.7109375" style="8" customWidth="1"/>
    <col min="2" max="2" width="95" style="8" customWidth="1"/>
    <col min="3" max="3" width="2.7109375" style="8" customWidth="1"/>
    <col min="4" max="4" width="13.7109375" style="8" customWidth="1"/>
    <col min="5" max="5" width="2.7109375" style="8" customWidth="1"/>
    <col min="6" max="6" width="13.7109375" style="8" customWidth="1"/>
    <col min="7" max="7" width="2.7109375" style="8" customWidth="1"/>
    <col min="8" max="9" width="13.7109375" style="8" customWidth="1"/>
    <col min="10" max="16" width="12.5703125" style="8" customWidth="1"/>
    <col min="17" max="17" width="2.7109375" style="8" customWidth="1"/>
    <col min="18" max="18" width="81.28515625" style="8" bestFit="1" customWidth="1"/>
    <col min="19" max="19" width="2.7109375" style="8" customWidth="1"/>
    <col min="20" max="20" width="13.7109375" style="8" customWidth="1"/>
    <col min="21" max="21" width="2.7109375" style="8" customWidth="1"/>
    <col min="22" max="36" width="13.7109375" style="8" customWidth="1"/>
    <col min="37" max="16384" width="9.140625" style="8"/>
  </cols>
  <sheetData>
    <row r="2" spans="2:20" s="23" customFormat="1" ht="18">
      <c r="B2" s="23" t="s">
        <v>285</v>
      </c>
    </row>
    <row r="4" spans="2:20">
      <c r="B4" s="29" t="s">
        <v>29</v>
      </c>
      <c r="J4"/>
    </row>
    <row r="5" spans="2:20" ht="65.25" customHeight="1">
      <c r="B5" s="141" t="s">
        <v>361</v>
      </c>
      <c r="C5" s="141"/>
      <c r="D5" s="42"/>
      <c r="E5" s="42"/>
      <c r="F5" s="42"/>
    </row>
    <row r="6" spans="2:20" ht="12.75" customHeight="1">
      <c r="B6" s="44"/>
      <c r="C6" s="44"/>
      <c r="D6" s="42"/>
      <c r="E6" s="42"/>
      <c r="F6" s="42"/>
    </row>
    <row r="7" spans="2:20" ht="12.75" customHeight="1">
      <c r="B7" s="62" t="s">
        <v>30</v>
      </c>
      <c r="C7" s="44"/>
      <c r="D7" s="42"/>
      <c r="E7" s="42"/>
      <c r="F7" s="42"/>
    </row>
    <row r="8" spans="2:20" ht="27.75" customHeight="1">
      <c r="B8" s="44" t="s">
        <v>501</v>
      </c>
      <c r="C8" s="44"/>
      <c r="D8" s="42"/>
      <c r="E8" s="42"/>
      <c r="F8" s="42"/>
    </row>
    <row r="10" spans="2:20" s="14" customFormat="1">
      <c r="B10" s="14" t="s">
        <v>45</v>
      </c>
      <c r="D10" s="14" t="s">
        <v>27</v>
      </c>
      <c r="F10" s="14" t="s">
        <v>28</v>
      </c>
      <c r="H10" s="109">
        <v>2018</v>
      </c>
      <c r="I10" s="109">
        <v>2019</v>
      </c>
      <c r="J10" s="109">
        <v>2020</v>
      </c>
      <c r="K10" s="109">
        <v>2021</v>
      </c>
      <c r="L10" s="109">
        <v>2022</v>
      </c>
      <c r="M10" s="109">
        <v>2023</v>
      </c>
      <c r="N10" s="109">
        <v>2024</v>
      </c>
      <c r="O10" s="109">
        <v>2025</v>
      </c>
      <c r="P10" s="109">
        <v>2026</v>
      </c>
      <c r="R10" s="14" t="s">
        <v>46</v>
      </c>
      <c r="T10" s="14" t="s">
        <v>47</v>
      </c>
    </row>
    <row r="13" spans="2:20" s="14" customFormat="1">
      <c r="B13" s="14" t="s">
        <v>88</v>
      </c>
    </row>
    <row r="15" spans="2:20">
      <c r="B15" s="8" t="s">
        <v>473</v>
      </c>
      <c r="D15" s="8" t="s">
        <v>75</v>
      </c>
      <c r="H15" s="45"/>
      <c r="I15" s="45"/>
      <c r="J15" s="45"/>
      <c r="K15" s="45"/>
      <c r="L15" s="130">
        <v>2.4E-2</v>
      </c>
      <c r="M15" s="130">
        <v>2.3E-2</v>
      </c>
      <c r="N15" s="130">
        <v>2.8000000000000001E-2</v>
      </c>
      <c r="O15" s="130">
        <v>2.8000000000000001E-2</v>
      </c>
      <c r="P15" s="130">
        <v>2.8000000000000001E-2</v>
      </c>
      <c r="R15" s="8" t="s">
        <v>494</v>
      </c>
      <c r="T15" s="8" t="s">
        <v>498</v>
      </c>
    </row>
    <row r="16" spans="2:20">
      <c r="B16" s="8" t="s">
        <v>474</v>
      </c>
      <c r="D16" s="8" t="s">
        <v>75</v>
      </c>
      <c r="H16" s="45"/>
      <c r="I16" s="45"/>
      <c r="J16" s="45"/>
      <c r="K16" s="45"/>
      <c r="L16" s="130">
        <v>2.1999999999999999E-2</v>
      </c>
      <c r="M16" s="130">
        <v>2.1999999999999999E-2</v>
      </c>
      <c r="N16" s="130">
        <v>2.7E-2</v>
      </c>
      <c r="O16" s="130">
        <v>2.7E-2</v>
      </c>
      <c r="P16" s="130">
        <v>2.7E-2</v>
      </c>
      <c r="R16" s="8" t="s">
        <v>494</v>
      </c>
      <c r="T16" s="8" t="s">
        <v>498</v>
      </c>
    </row>
    <row r="17" spans="2:20">
      <c r="B17" s="8" t="s">
        <v>169</v>
      </c>
      <c r="D17" s="8" t="s">
        <v>75</v>
      </c>
      <c r="H17" s="45"/>
      <c r="I17" s="45"/>
      <c r="J17" s="45"/>
      <c r="K17" s="45"/>
      <c r="L17" s="130">
        <v>3.3000000000000002E-2</v>
      </c>
      <c r="M17" s="130">
        <v>3.2000000000000001E-2</v>
      </c>
      <c r="N17" s="130">
        <v>3.6999999999999998E-2</v>
      </c>
      <c r="O17" s="130">
        <v>3.6999999999999998E-2</v>
      </c>
      <c r="P17" s="130">
        <v>3.6999999999999998E-2</v>
      </c>
      <c r="R17" s="8" t="s">
        <v>494</v>
      </c>
      <c r="T17" s="8" t="s">
        <v>498</v>
      </c>
    </row>
    <row r="19" spans="2:20" s="14" customFormat="1">
      <c r="B19" s="14" t="s">
        <v>78</v>
      </c>
    </row>
    <row r="21" spans="2:20">
      <c r="B21" s="8" t="s">
        <v>87</v>
      </c>
      <c r="D21" s="8" t="s">
        <v>75</v>
      </c>
      <c r="F21" s="38"/>
      <c r="H21" s="5">
        <v>1.4E-2</v>
      </c>
      <c r="I21" s="5">
        <v>2.1000000000000001E-2</v>
      </c>
      <c r="J21" s="5">
        <v>2.8000000000000001E-2</v>
      </c>
      <c r="K21" s="5">
        <v>7.0000000000000001E-3</v>
      </c>
      <c r="L21" s="5">
        <v>1.7999999999999999E-2</v>
      </c>
      <c r="M21" s="5">
        <v>1.7999999999999999E-2</v>
      </c>
      <c r="N21" s="5">
        <v>1.7999999999999999E-2</v>
      </c>
      <c r="O21" s="5">
        <v>1.7999999999999999E-2</v>
      </c>
      <c r="P21" s="5">
        <v>1.7999999999999999E-2</v>
      </c>
      <c r="R21" s="8" t="s">
        <v>504</v>
      </c>
    </row>
    <row r="23" spans="2:20" s="14" customFormat="1">
      <c r="B23" s="14" t="s">
        <v>262</v>
      </c>
    </row>
    <row r="25" spans="2:20">
      <c r="B25" s="8" t="s">
        <v>261</v>
      </c>
      <c r="D25" s="8" t="s">
        <v>75</v>
      </c>
      <c r="F25" s="130">
        <v>1</v>
      </c>
      <c r="R25" s="8" t="s">
        <v>495</v>
      </c>
      <c r="T25" s="8" t="s">
        <v>498</v>
      </c>
    </row>
    <row r="26" spans="2:20">
      <c r="B26" s="8" t="s">
        <v>260</v>
      </c>
      <c r="D26" s="8" t="s">
        <v>75</v>
      </c>
      <c r="F26" s="131"/>
      <c r="T26" s="8" t="s">
        <v>497</v>
      </c>
    </row>
    <row r="27" spans="2:20">
      <c r="B27" s="8" t="s">
        <v>238</v>
      </c>
      <c r="D27" s="8" t="s">
        <v>75</v>
      </c>
      <c r="F27" s="132"/>
      <c r="T27" s="8" t="s">
        <v>497</v>
      </c>
    </row>
    <row r="28" spans="2:20">
      <c r="B28" s="8" t="s">
        <v>240</v>
      </c>
      <c r="D28" s="8" t="s">
        <v>239</v>
      </c>
      <c r="F28" s="133"/>
      <c r="M28" s="18"/>
      <c r="N28" s="18"/>
      <c r="O28" s="18"/>
      <c r="P28" s="18"/>
      <c r="T28" s="8" t="s">
        <v>497</v>
      </c>
    </row>
    <row r="30" spans="2:20" s="14" customFormat="1">
      <c r="B30" s="14" t="s">
        <v>79</v>
      </c>
    </row>
    <row r="32" spans="2:20">
      <c r="B32" s="8" t="s">
        <v>79</v>
      </c>
      <c r="D32" s="8" t="s">
        <v>75</v>
      </c>
      <c r="F32" s="38"/>
      <c r="H32" s="5">
        <v>0</v>
      </c>
      <c r="I32" s="5">
        <v>0</v>
      </c>
      <c r="J32" s="5">
        <v>0</v>
      </c>
      <c r="K32" s="5">
        <v>0</v>
      </c>
      <c r="L32" s="5">
        <v>5.0000000000000001E-3</v>
      </c>
      <c r="M32" s="5">
        <v>5.0000000000000001E-3</v>
      </c>
      <c r="N32" s="5">
        <v>5.0000000000000001E-3</v>
      </c>
      <c r="O32" s="5">
        <v>5.0000000000000001E-3</v>
      </c>
      <c r="P32" s="5">
        <v>5.0000000000000001E-3</v>
      </c>
      <c r="R32" s="8" t="s">
        <v>496</v>
      </c>
    </row>
    <row r="34" spans="2:20" s="14" customFormat="1">
      <c r="B34" s="14" t="s">
        <v>287</v>
      </c>
    </row>
    <row r="36" spans="2:20">
      <c r="B36" s="8" t="s">
        <v>286</v>
      </c>
      <c r="D36" s="8" t="s">
        <v>75</v>
      </c>
      <c r="F36" s="5">
        <v>0.01</v>
      </c>
      <c r="R36" s="8" t="s">
        <v>505</v>
      </c>
    </row>
    <row r="38" spans="2:20" s="14" customFormat="1">
      <c r="B38" s="14" t="s">
        <v>263</v>
      </c>
    </row>
    <row r="40" spans="2:20">
      <c r="B40" s="7" t="s">
        <v>242</v>
      </c>
    </row>
    <row r="41" spans="2:20">
      <c r="B41" s="8" t="s">
        <v>264</v>
      </c>
      <c r="D41" s="8" t="s">
        <v>75</v>
      </c>
      <c r="F41" s="118">
        <v>1</v>
      </c>
      <c r="R41" s="8" t="s">
        <v>495</v>
      </c>
    </row>
    <row r="43" spans="2:20">
      <c r="B43" s="7" t="s">
        <v>265</v>
      </c>
    </row>
    <row r="44" spans="2:20">
      <c r="B44" s="112" t="s">
        <v>266</v>
      </c>
      <c r="D44" s="8" t="s">
        <v>75</v>
      </c>
      <c r="F44" s="5">
        <v>0.01</v>
      </c>
      <c r="R44" s="8" t="s">
        <v>505</v>
      </c>
    </row>
    <row r="45" spans="2:20">
      <c r="B45" s="112" t="s">
        <v>267</v>
      </c>
      <c r="D45" s="8" t="s">
        <v>75</v>
      </c>
      <c r="F45" s="5">
        <v>3.4000000000000002E-2</v>
      </c>
      <c r="R45" s="8" t="s">
        <v>505</v>
      </c>
    </row>
    <row r="47" spans="2:20">
      <c r="B47" s="8" t="s">
        <v>268</v>
      </c>
      <c r="D47" s="8" t="s">
        <v>206</v>
      </c>
      <c r="F47" s="32">
        <v>134675214</v>
      </c>
      <c r="R47" s="8" t="s">
        <v>224</v>
      </c>
      <c r="T47" s="8" t="s">
        <v>488</v>
      </c>
    </row>
    <row r="48" spans="2:20">
      <c r="B48" s="8" t="s">
        <v>269</v>
      </c>
      <c r="D48" s="8" t="s">
        <v>206</v>
      </c>
      <c r="F48" s="32">
        <v>161207241</v>
      </c>
      <c r="R48" s="8" t="s">
        <v>209</v>
      </c>
      <c r="T48" s="8" t="s">
        <v>488</v>
      </c>
    </row>
    <row r="49" spans="2:20">
      <c r="B49" s="8" t="s">
        <v>270</v>
      </c>
      <c r="D49" s="8" t="s">
        <v>206</v>
      </c>
      <c r="F49" s="32">
        <v>19264075.840289921</v>
      </c>
      <c r="R49" s="8" t="s">
        <v>212</v>
      </c>
    </row>
    <row r="50" spans="2:20">
      <c r="B50" s="8" t="s">
        <v>271</v>
      </c>
      <c r="D50" s="8" t="s">
        <v>206</v>
      </c>
      <c r="F50" s="32">
        <v>10427249.13459645</v>
      </c>
      <c r="R50" s="8" t="s">
        <v>213</v>
      </c>
    </row>
    <row r="52" spans="2:20" s="1" customFormat="1">
      <c r="B52" s="1" t="s">
        <v>351</v>
      </c>
    </row>
    <row r="54" spans="2:20">
      <c r="B54" s="8" t="s">
        <v>345</v>
      </c>
      <c r="D54" s="8" t="s">
        <v>75</v>
      </c>
      <c r="F54" s="5">
        <v>0.33600000000000002</v>
      </c>
      <c r="R54" s="8" t="s">
        <v>335</v>
      </c>
      <c r="T54" s="8" t="s">
        <v>487</v>
      </c>
    </row>
    <row r="55" spans="2:20">
      <c r="B55" s="8" t="s">
        <v>346</v>
      </c>
      <c r="D55" s="8" t="s">
        <v>75</v>
      </c>
      <c r="F55" s="5">
        <v>0.16</v>
      </c>
      <c r="R55" s="8" t="s">
        <v>336</v>
      </c>
    </row>
    <row r="56" spans="2:20">
      <c r="B56" s="8" t="s">
        <v>347</v>
      </c>
      <c r="D56" s="8" t="s">
        <v>75</v>
      </c>
      <c r="F56" s="5">
        <v>0.24</v>
      </c>
      <c r="R56" s="8" t="s">
        <v>336</v>
      </c>
    </row>
    <row r="57" spans="2:20">
      <c r="B57" s="8" t="s">
        <v>348</v>
      </c>
      <c r="D57" s="8" t="s">
        <v>75</v>
      </c>
      <c r="F57" s="5">
        <v>0.33</v>
      </c>
      <c r="R57" s="8" t="s">
        <v>335</v>
      </c>
    </row>
    <row r="58" spans="2:20">
      <c r="B58" s="8" t="s">
        <v>349</v>
      </c>
      <c r="D58" s="8" t="s">
        <v>75</v>
      </c>
      <c r="F58" s="5">
        <v>0.50600000000000001</v>
      </c>
      <c r="R58" s="8" t="s">
        <v>336</v>
      </c>
    </row>
    <row r="59" spans="2:20">
      <c r="B59" s="8" t="s">
        <v>350</v>
      </c>
      <c r="D59" s="8" t="s">
        <v>75</v>
      </c>
      <c r="F59" s="5">
        <v>0.76</v>
      </c>
      <c r="R59" s="8" t="s">
        <v>336</v>
      </c>
    </row>
  </sheetData>
  <mergeCells count="1">
    <mergeCell ref="B5:C5"/>
  </mergeCells>
  <phoneticPr fontId="36"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10">
    <tabColor rgb="FFE1FFE1"/>
  </sheetPr>
  <dimension ref="A1:AD85"/>
  <sheetViews>
    <sheetView showGridLines="0" zoomScale="85" zoomScaleNormal="85" workbookViewId="0">
      <pane xSplit="4" ySplit="11" topLeftCell="E12" activePane="bottomRight" state="frozen"/>
      <selection pane="topRight" activeCell="E1" sqref="E1"/>
      <selection pane="bottomLeft" activeCell="A9" sqref="A9"/>
      <selection pane="bottomRight" activeCell="E12" sqref="E12"/>
    </sheetView>
  </sheetViews>
  <sheetFormatPr defaultColWidth="9.140625" defaultRowHeight="12.75"/>
  <cols>
    <col min="1" max="1" width="4.7109375" style="8" customWidth="1"/>
    <col min="2" max="2" width="91.28515625" style="8" customWidth="1"/>
    <col min="3" max="3" width="2.7109375" style="8" customWidth="1"/>
    <col min="4" max="4" width="12.140625" style="8" bestFit="1" customWidth="1"/>
    <col min="5" max="5" width="2.7109375" style="8" customWidth="1"/>
    <col min="6" max="6" width="13.7109375" style="8" customWidth="1"/>
    <col min="7" max="7" width="2.7109375" style="8" customWidth="1"/>
    <col min="8" max="16" width="14.7109375" style="8" customWidth="1"/>
    <col min="17" max="17" width="2.7109375" style="8" customWidth="1"/>
    <col min="18" max="18" width="43.5703125" style="8" bestFit="1" customWidth="1"/>
    <col min="19" max="19" width="2.7109375" style="8" customWidth="1"/>
    <col min="20" max="16384" width="9.140625" style="8"/>
  </cols>
  <sheetData>
    <row r="1" spans="1:30">
      <c r="B1"/>
      <c r="D1"/>
      <c r="F1"/>
      <c r="H1"/>
      <c r="I1"/>
      <c r="J1"/>
      <c r="K1"/>
      <c r="L1"/>
      <c r="M1"/>
      <c r="N1"/>
      <c r="O1"/>
      <c r="P1"/>
      <c r="R1"/>
      <c r="T1"/>
    </row>
    <row r="2" spans="1:30" s="23" customFormat="1" ht="18">
      <c r="B2" s="23" t="s">
        <v>508</v>
      </c>
    </row>
    <row r="4" spans="1:30">
      <c r="A4"/>
      <c r="B4" s="29" t="s">
        <v>29</v>
      </c>
      <c r="C4"/>
      <c r="D4"/>
      <c r="E4"/>
      <c r="F4"/>
      <c r="G4"/>
      <c r="H4"/>
      <c r="I4"/>
      <c r="J4"/>
      <c r="K4"/>
      <c r="L4"/>
      <c r="M4"/>
      <c r="N4"/>
      <c r="O4"/>
      <c r="P4"/>
      <c r="Q4"/>
      <c r="R4"/>
      <c r="S4"/>
      <c r="T4"/>
    </row>
    <row r="5" spans="1:30" ht="75" customHeight="1">
      <c r="A5" s="51"/>
      <c r="B5" s="141" t="s">
        <v>620</v>
      </c>
      <c r="C5" s="141"/>
      <c r="E5" s="51"/>
      <c r="F5" s="51"/>
      <c r="G5" s="51"/>
      <c r="H5" s="51"/>
      <c r="I5" s="51"/>
      <c r="J5" s="51"/>
      <c r="K5" s="51"/>
      <c r="L5" s="51"/>
      <c r="M5" s="51"/>
      <c r="N5" s="51"/>
      <c r="O5" s="51"/>
      <c r="P5" s="51"/>
      <c r="Q5" s="51"/>
      <c r="R5" s="51"/>
      <c r="S5" s="51"/>
      <c r="T5" s="51"/>
    </row>
    <row r="6" spans="1:30" ht="12.75" customHeight="1">
      <c r="A6" s="51"/>
      <c r="B6" s="135"/>
      <c r="C6" s="135"/>
      <c r="E6" s="51"/>
      <c r="F6" s="51"/>
      <c r="G6" s="51"/>
      <c r="H6" s="51"/>
      <c r="I6" s="51"/>
      <c r="J6" s="51"/>
      <c r="K6" s="51"/>
      <c r="L6" s="51"/>
      <c r="M6" s="51"/>
      <c r="N6" s="51"/>
      <c r="O6" s="51"/>
      <c r="P6" s="51"/>
      <c r="Q6" s="51"/>
      <c r="R6" s="51"/>
      <c r="S6" s="51"/>
      <c r="T6" s="51"/>
    </row>
    <row r="7" spans="1:30" ht="12.75" customHeight="1">
      <c r="A7" s="51"/>
      <c r="B7" s="30" t="s">
        <v>30</v>
      </c>
      <c r="C7" s="135"/>
      <c r="E7" s="51"/>
      <c r="F7" s="51"/>
      <c r="G7" s="51"/>
      <c r="H7" s="51"/>
      <c r="I7" s="51"/>
      <c r="J7" s="51"/>
      <c r="K7" s="51"/>
      <c r="L7" s="51"/>
      <c r="M7" s="51"/>
      <c r="N7" s="51"/>
      <c r="O7" s="51"/>
      <c r="P7" s="51"/>
      <c r="Q7" s="51"/>
      <c r="R7" s="51"/>
      <c r="S7" s="51"/>
      <c r="T7" s="51"/>
    </row>
    <row r="8" spans="1:30" ht="26.25" customHeight="1">
      <c r="A8" s="51"/>
      <c r="B8" s="135" t="s">
        <v>559</v>
      </c>
      <c r="C8" s="135"/>
      <c r="E8" s="51"/>
      <c r="F8" s="51"/>
      <c r="G8" s="51"/>
      <c r="H8" s="51"/>
      <c r="I8" s="51"/>
      <c r="J8" s="51"/>
      <c r="K8" s="51"/>
      <c r="L8" s="51"/>
      <c r="M8" s="51"/>
      <c r="N8" s="51"/>
      <c r="O8" s="51"/>
      <c r="P8" s="51"/>
      <c r="Q8" s="51"/>
      <c r="R8" s="51"/>
      <c r="S8" s="51"/>
      <c r="T8" s="51"/>
    </row>
    <row r="9" spans="1:30" ht="12.75" customHeight="1">
      <c r="A9" s="51"/>
      <c r="B9" s="135"/>
      <c r="C9" s="135"/>
      <c r="E9" s="51"/>
      <c r="F9" s="51"/>
      <c r="G9" s="51"/>
      <c r="H9" s="51"/>
      <c r="I9" s="51"/>
      <c r="J9" s="51"/>
      <c r="K9" s="51"/>
      <c r="L9" s="51"/>
      <c r="M9" s="51"/>
      <c r="N9" s="51"/>
      <c r="O9" s="51"/>
      <c r="P9" s="51"/>
      <c r="Q9" s="51"/>
      <c r="R9" s="51"/>
      <c r="S9" s="51"/>
      <c r="T9" s="51"/>
    </row>
    <row r="10" spans="1:30" s="14" customFormat="1">
      <c r="B10" s="14" t="s">
        <v>45</v>
      </c>
      <c r="D10" s="14" t="s">
        <v>27</v>
      </c>
      <c r="F10" s="14" t="s">
        <v>28</v>
      </c>
      <c r="H10" s="14">
        <v>2018</v>
      </c>
      <c r="I10" s="14" t="s">
        <v>86</v>
      </c>
      <c r="J10" s="14">
        <v>2020</v>
      </c>
      <c r="K10" s="14">
        <v>2021</v>
      </c>
      <c r="L10" s="14">
        <v>2022</v>
      </c>
      <c r="M10" s="14">
        <v>2023</v>
      </c>
      <c r="N10" s="14">
        <v>2024</v>
      </c>
      <c r="O10" s="14">
        <v>2025</v>
      </c>
      <c r="P10" s="14">
        <v>2026</v>
      </c>
      <c r="R10" s="14" t="s">
        <v>46</v>
      </c>
      <c r="T10" s="14" t="s">
        <v>47</v>
      </c>
    </row>
    <row r="13" spans="1:30" s="14" customFormat="1">
      <c r="B13" s="14" t="s">
        <v>617</v>
      </c>
    </row>
    <row r="15" spans="1:30">
      <c r="B15" s="8" t="s">
        <v>111</v>
      </c>
      <c r="C15"/>
      <c r="D15" s="8" t="s">
        <v>80</v>
      </c>
      <c r="E15"/>
      <c r="F15"/>
      <c r="G15"/>
      <c r="H15" s="45"/>
      <c r="I15" s="45"/>
      <c r="J15" s="45"/>
      <c r="K15" s="45"/>
      <c r="L15" s="32">
        <v>91851114.842521295</v>
      </c>
      <c r="M15" s="32">
        <v>92419829.829167292</v>
      </c>
      <c r="N15" s="32">
        <v>92159328.35934785</v>
      </c>
      <c r="O15" s="32">
        <v>92333385.163519576</v>
      </c>
      <c r="P15" s="32">
        <v>43788968.535590015</v>
      </c>
      <c r="Q15"/>
      <c r="R15" s="8" t="s">
        <v>509</v>
      </c>
      <c r="S15"/>
      <c r="T15"/>
      <c r="Y15" s="47"/>
      <c r="Z15" s="47"/>
      <c r="AA15" s="47"/>
      <c r="AB15" s="47"/>
      <c r="AC15" s="47"/>
      <c r="AD15" s="47"/>
    </row>
    <row r="16" spans="1:30">
      <c r="B16" s="8" t="s">
        <v>112</v>
      </c>
      <c r="C16"/>
      <c r="D16" s="8" t="s">
        <v>80</v>
      </c>
      <c r="E16"/>
      <c r="F16"/>
      <c r="G16"/>
      <c r="H16" s="45"/>
      <c r="I16" s="45"/>
      <c r="J16" s="45"/>
      <c r="K16" s="45"/>
      <c r="L16" s="32">
        <v>1593554583.9909317</v>
      </c>
      <c r="M16" s="32">
        <v>1515476745.4176815</v>
      </c>
      <c r="N16" s="32">
        <v>1436956707.7670937</v>
      </c>
      <c r="O16" s="32">
        <v>1357555932.9734786</v>
      </c>
      <c r="P16" s="32">
        <v>1325984967.8346488</v>
      </c>
      <c r="Q16"/>
      <c r="R16" s="8" t="s">
        <v>510</v>
      </c>
      <c r="S16"/>
      <c r="T16"/>
      <c r="Y16" s="47"/>
      <c r="Z16" s="47"/>
      <c r="AA16" s="47"/>
      <c r="AB16" s="47"/>
      <c r="AC16" s="47"/>
      <c r="AD16" s="47"/>
    </row>
    <row r="17" spans="1:30">
      <c r="B17" s="8" t="s">
        <v>272</v>
      </c>
      <c r="C17"/>
      <c r="D17" s="8" t="s">
        <v>80</v>
      </c>
      <c r="E17"/>
      <c r="F17"/>
      <c r="G17"/>
      <c r="H17" s="45"/>
      <c r="I17" s="45"/>
      <c r="J17" s="45"/>
      <c r="K17" s="45"/>
      <c r="L17" s="32">
        <v>7334471.3939507464</v>
      </c>
      <c r="M17" s="32">
        <v>7303675.2058256818</v>
      </c>
      <c r="N17" s="32">
        <v>7252723.3806415042</v>
      </c>
      <c r="O17" s="32">
        <v>7106170.9986589514</v>
      </c>
      <c r="P17" s="32">
        <v>5160907.6578129688</v>
      </c>
      <c r="Q17"/>
      <c r="R17" s="8" t="s">
        <v>511</v>
      </c>
      <c r="S17"/>
      <c r="T17"/>
      <c r="Y17" s="47"/>
      <c r="Z17" s="47"/>
      <c r="AA17" s="47"/>
      <c r="AB17" s="47"/>
      <c r="AC17" s="47"/>
      <c r="AD17" s="47"/>
    </row>
    <row r="18" spans="1:30">
      <c r="B18" s="8" t="s">
        <v>618</v>
      </c>
      <c r="C18"/>
      <c r="D18" s="8" t="s">
        <v>80</v>
      </c>
      <c r="E18"/>
      <c r="F18"/>
      <c r="G18"/>
      <c r="H18" s="45"/>
      <c r="I18" s="45"/>
      <c r="J18" s="45"/>
      <c r="K18" s="45"/>
      <c r="L18" s="32">
        <v>316953472.35924375</v>
      </c>
      <c r="M18" s="32">
        <v>312502378.40465128</v>
      </c>
      <c r="N18" s="32">
        <v>308062176.4296515</v>
      </c>
      <c r="O18" s="32">
        <v>303728565.01885933</v>
      </c>
      <c r="P18" s="32">
        <v>301301214.44621629</v>
      </c>
      <c r="Q18"/>
      <c r="R18" s="8" t="s">
        <v>512</v>
      </c>
      <c r="S18"/>
      <c r="T18"/>
      <c r="Y18" s="47"/>
      <c r="Z18" s="47"/>
      <c r="AA18" s="47"/>
      <c r="AB18" s="47"/>
      <c r="AC18" s="47"/>
      <c r="AD18" s="47"/>
    </row>
    <row r="19" spans="1:30">
      <c r="B19" s="8" t="s">
        <v>476</v>
      </c>
      <c r="C19"/>
      <c r="D19" s="8" t="s">
        <v>80</v>
      </c>
      <c r="E19"/>
      <c r="F19"/>
      <c r="G19"/>
      <c r="H19" s="45"/>
      <c r="I19" s="45"/>
      <c r="J19" s="45"/>
      <c r="K19" s="45"/>
      <c r="L19" s="32">
        <v>7656071.8244040236</v>
      </c>
      <c r="M19" s="32">
        <v>7724976.4708236568</v>
      </c>
      <c r="N19" s="32">
        <v>7471442.3596959189</v>
      </c>
      <c r="O19" s="32">
        <v>6560786.0525548644</v>
      </c>
      <c r="P19" s="32">
        <v>6619833.127027858</v>
      </c>
      <c r="Q19"/>
      <c r="R19" s="8" t="s">
        <v>513</v>
      </c>
      <c r="S19"/>
      <c r="T19"/>
      <c r="Y19" s="47"/>
      <c r="Z19" s="47"/>
      <c r="AA19" s="47"/>
      <c r="AB19" s="47"/>
      <c r="AC19" s="47"/>
      <c r="AD19" s="47"/>
    </row>
    <row r="20" spans="1:30">
      <c r="B20" s="8" t="s">
        <v>477</v>
      </c>
      <c r="C20"/>
      <c r="D20" s="8" t="s">
        <v>80</v>
      </c>
      <c r="E20"/>
      <c r="F20"/>
      <c r="G20"/>
      <c r="H20" s="45"/>
      <c r="I20" s="45"/>
      <c r="J20" s="45"/>
      <c r="K20" s="45"/>
      <c r="L20" s="32">
        <v>232612937.01180607</v>
      </c>
      <c r="M20" s="32">
        <v>226981476.97408861</v>
      </c>
      <c r="N20" s="32">
        <v>221552867.90715945</v>
      </c>
      <c r="O20" s="32">
        <v>216986057.66576904</v>
      </c>
      <c r="P20" s="32">
        <v>212319099.05773306</v>
      </c>
      <c r="Q20"/>
      <c r="R20" s="8" t="s">
        <v>514</v>
      </c>
      <c r="S20"/>
      <c r="T20"/>
      <c r="Y20" s="47"/>
      <c r="Z20" s="47"/>
      <c r="AA20" s="47"/>
      <c r="AB20" s="47"/>
      <c r="AC20" s="47"/>
      <c r="AD20" s="47"/>
    </row>
    <row r="21" spans="1:30">
      <c r="B21" s="8" t="s">
        <v>478</v>
      </c>
      <c r="C21"/>
      <c r="D21" s="8" t="s">
        <v>80</v>
      </c>
      <c r="E21"/>
      <c r="F21"/>
      <c r="G21"/>
      <c r="H21" s="45"/>
      <c r="I21" s="45"/>
      <c r="J21" s="45"/>
      <c r="K21" s="45"/>
      <c r="L21" s="32">
        <v>723064.62560992781</v>
      </c>
      <c r="M21" s="32">
        <v>729572.20724041725</v>
      </c>
      <c r="N21" s="32">
        <v>736138.35710558074</v>
      </c>
      <c r="O21" s="32">
        <v>742763.60231953091</v>
      </c>
      <c r="P21" s="32">
        <v>749448.47474040661</v>
      </c>
      <c r="Q21"/>
      <c r="R21" s="8" t="s">
        <v>515</v>
      </c>
      <c r="S21"/>
      <c r="T21"/>
      <c r="Y21" s="47"/>
      <c r="Z21" s="47"/>
      <c r="AA21" s="47"/>
      <c r="AB21" s="47"/>
      <c r="AC21" s="47"/>
      <c r="AD21" s="47"/>
    </row>
    <row r="22" spans="1:30">
      <c r="B22" s="8" t="s">
        <v>479</v>
      </c>
      <c r="C22"/>
      <c r="D22" s="8" t="s">
        <v>80</v>
      </c>
      <c r="E22"/>
      <c r="F22"/>
      <c r="G22"/>
      <c r="H22" s="45"/>
      <c r="I22" s="45"/>
      <c r="J22" s="45"/>
      <c r="K22" s="45"/>
      <c r="L22" s="32">
        <v>26572625.214475397</v>
      </c>
      <c r="M22" s="32">
        <v>26082206.634165261</v>
      </c>
      <c r="N22" s="32">
        <v>25580808.136767168</v>
      </c>
      <c r="O22" s="32">
        <v>25068271.807678536</v>
      </c>
      <c r="P22" s="32">
        <v>24544437.77920723</v>
      </c>
      <c r="Q22"/>
      <c r="R22" s="8" t="s">
        <v>516</v>
      </c>
      <c r="S22"/>
      <c r="T22"/>
      <c r="Y22" s="47"/>
      <c r="Z22" s="47"/>
      <c r="AA22" s="47"/>
      <c r="AB22" s="47"/>
      <c r="AC22" s="47"/>
      <c r="AD22" s="47"/>
    </row>
    <row r="24" spans="1:30" s="14" customFormat="1">
      <c r="B24" s="14" t="s">
        <v>619</v>
      </c>
    </row>
    <row r="26" spans="1:30">
      <c r="B26" s="8" t="s">
        <v>114</v>
      </c>
      <c r="C26"/>
      <c r="D26" s="8" t="s">
        <v>80</v>
      </c>
      <c r="E26"/>
      <c r="F26"/>
      <c r="G26"/>
      <c r="H26" s="45"/>
      <c r="I26" s="45"/>
      <c r="J26" s="45"/>
      <c r="K26" s="45"/>
      <c r="L26" s="32">
        <v>108052988.99631904</v>
      </c>
      <c r="M26" s="32">
        <v>108477037.51986828</v>
      </c>
      <c r="N26" s="32">
        <v>104508195.84862889</v>
      </c>
      <c r="O26" s="32">
        <v>88815353.497609496</v>
      </c>
      <c r="P26" s="32">
        <v>82131106.10614346</v>
      </c>
      <c r="Q26"/>
      <c r="R26" s="8" t="s">
        <v>517</v>
      </c>
      <c r="S26"/>
    </row>
    <row r="27" spans="1:30">
      <c r="B27" s="8" t="s">
        <v>621</v>
      </c>
      <c r="C27"/>
      <c r="D27" s="8" t="s">
        <v>80</v>
      </c>
      <c r="E27"/>
      <c r="F27"/>
      <c r="G27"/>
      <c r="H27" s="45"/>
      <c r="I27" s="45"/>
      <c r="J27" s="45"/>
      <c r="K27" s="45"/>
      <c r="L27" s="32">
        <v>1825011873.621788</v>
      </c>
      <c r="M27" s="32">
        <v>1732959942.9645152</v>
      </c>
      <c r="N27" s="32">
        <v>1644048386.6025686</v>
      </c>
      <c r="O27" s="32">
        <v>1570029468.5843813</v>
      </c>
      <c r="P27" s="32">
        <v>1502028627.6954982</v>
      </c>
      <c r="Q27"/>
      <c r="R27" s="8" t="s">
        <v>518</v>
      </c>
      <c r="S27"/>
    </row>
    <row r="28" spans="1:30">
      <c r="B28" s="8" t="s">
        <v>115</v>
      </c>
      <c r="C28"/>
      <c r="D28" s="8" t="s">
        <v>80</v>
      </c>
      <c r="E28"/>
      <c r="F28"/>
      <c r="G28"/>
      <c r="H28" s="45"/>
      <c r="I28" s="45"/>
      <c r="J28" s="45"/>
      <c r="K28" s="45"/>
      <c r="L28" s="137">
        <v>11254489.916840849</v>
      </c>
      <c r="M28" s="137">
        <v>11024097.279684626</v>
      </c>
      <c r="N28" s="137">
        <v>10677458.12047017</v>
      </c>
      <c r="O28" s="137">
        <v>9260872.0300318729</v>
      </c>
      <c r="P28" s="137">
        <v>7397483.8894698303</v>
      </c>
      <c r="Q28"/>
      <c r="R28" s="8" t="s">
        <v>519</v>
      </c>
      <c r="S28"/>
    </row>
    <row r="29" spans="1:30">
      <c r="B29" s="8" t="s">
        <v>116</v>
      </c>
      <c r="C29"/>
      <c r="D29" s="8" t="s">
        <v>80</v>
      </c>
      <c r="E29"/>
      <c r="F29"/>
      <c r="G29"/>
      <c r="H29" s="45"/>
      <c r="I29" s="45"/>
      <c r="J29" s="45"/>
      <c r="K29" s="45"/>
      <c r="L29" s="137">
        <v>224327201.32193375</v>
      </c>
      <c r="M29" s="137">
        <v>215322048.85414675</v>
      </c>
      <c r="N29" s="137">
        <v>206582489.17336366</v>
      </c>
      <c r="O29" s="137">
        <v>199180859.54589206</v>
      </c>
      <c r="P29" s="137">
        <v>193576003.39233527</v>
      </c>
      <c r="Q29"/>
      <c r="R29" s="8" t="s">
        <v>520</v>
      </c>
      <c r="S29"/>
    </row>
    <row r="31" spans="1:30" s="14" customFormat="1">
      <c r="B31" s="14" t="s">
        <v>616</v>
      </c>
    </row>
    <row r="32" spans="1:30">
      <c r="A32"/>
      <c r="B32" s="7"/>
      <c r="C32"/>
      <c r="D32"/>
      <c r="E32"/>
      <c r="F32"/>
      <c r="G32"/>
      <c r="H32"/>
      <c r="I32"/>
      <c r="J32"/>
      <c r="K32"/>
      <c r="L32"/>
      <c r="M32"/>
      <c r="N32"/>
      <c r="O32"/>
      <c r="P32"/>
      <c r="Q32"/>
      <c r="R32"/>
      <c r="S32"/>
    </row>
    <row r="33" spans="1:19">
      <c r="A33"/>
      <c r="B33" s="8" t="s">
        <v>251</v>
      </c>
      <c r="C33"/>
      <c r="D33" s="8" t="s">
        <v>80</v>
      </c>
      <c r="E33"/>
      <c r="F33"/>
      <c r="G33"/>
      <c r="H33" s="45"/>
      <c r="I33" s="45"/>
      <c r="J33" s="45"/>
      <c r="K33" s="45"/>
      <c r="L33" s="32">
        <v>2266153.7304028017</v>
      </c>
      <c r="M33" s="32">
        <v>3817809.3553878237</v>
      </c>
      <c r="N33" s="32">
        <v>5403198.450714333</v>
      </c>
      <c r="O33" s="32">
        <v>7022879.8298504399</v>
      </c>
      <c r="P33" s="32">
        <v>8484624.9184843637</v>
      </c>
      <c r="Q33"/>
      <c r="R33" s="8" t="s">
        <v>521</v>
      </c>
      <c r="S33"/>
    </row>
    <row r="34" spans="1:19">
      <c r="A34"/>
      <c r="B34" s="8" t="s">
        <v>248</v>
      </c>
      <c r="C34"/>
      <c r="D34" s="8" t="s">
        <v>80</v>
      </c>
      <c r="E34"/>
      <c r="F34"/>
      <c r="G34"/>
      <c r="H34" s="45"/>
      <c r="I34" s="45"/>
      <c r="J34" s="45"/>
      <c r="K34" s="45"/>
      <c r="L34" s="32">
        <v>72212745.667681336</v>
      </c>
      <c r="M34" s="32">
        <v>107220819.55866069</v>
      </c>
      <c r="N34" s="32">
        <v>141451428.77312377</v>
      </c>
      <c r="O34" s="32">
        <v>174869646.56131387</v>
      </c>
      <c r="P34" s="32">
        <v>207632542.54970348</v>
      </c>
      <c r="Q34"/>
      <c r="R34" s="8" t="s">
        <v>522</v>
      </c>
      <c r="S34"/>
    </row>
    <row r="35" spans="1:19">
      <c r="A35"/>
      <c r="B35" s="8" t="s">
        <v>250</v>
      </c>
      <c r="C35"/>
      <c r="D35" s="8" t="s">
        <v>80</v>
      </c>
      <c r="E35"/>
      <c r="F35"/>
      <c r="G35"/>
      <c r="H35" s="45"/>
      <c r="I35" s="45"/>
      <c r="J35" s="45"/>
      <c r="K35" s="45"/>
      <c r="L35" s="32">
        <v>995447.98512739839</v>
      </c>
      <c r="M35" s="32">
        <v>1677040.0787177959</v>
      </c>
      <c r="N35" s="32">
        <v>2373450.1939773676</v>
      </c>
      <c r="O35" s="32">
        <v>3084923.7995755291</v>
      </c>
      <c r="P35" s="32">
        <v>3663289.0798481647</v>
      </c>
      <c r="Q35"/>
      <c r="R35" s="8" t="s">
        <v>523</v>
      </c>
      <c r="S35"/>
    </row>
    <row r="36" spans="1:19">
      <c r="A36"/>
      <c r="B36" s="8" t="s">
        <v>249</v>
      </c>
      <c r="C36"/>
      <c r="D36" s="8" t="s">
        <v>80</v>
      </c>
      <c r="E36"/>
      <c r="F36"/>
      <c r="G36"/>
      <c r="H36" s="45"/>
      <c r="I36" s="45"/>
      <c r="J36" s="45"/>
      <c r="K36" s="45"/>
      <c r="L36" s="32">
        <v>35481808.709653236</v>
      </c>
      <c r="M36" s="32">
        <v>52802077.056788333</v>
      </c>
      <c r="N36" s="32">
        <v>69822950.324211851</v>
      </c>
      <c r="O36" s="32">
        <v>86529783.487997502</v>
      </c>
      <c r="P36" s="32">
        <v>103056011.72378334</v>
      </c>
      <c r="Q36"/>
      <c r="R36" s="8" t="s">
        <v>524</v>
      </c>
      <c r="S36"/>
    </row>
    <row r="37" spans="1:19">
      <c r="A37" s="52"/>
      <c r="B37" s="52"/>
      <c r="C37" s="52"/>
      <c r="D37" s="52"/>
      <c r="E37" s="52"/>
      <c r="F37"/>
      <c r="G37" s="52"/>
      <c r="H37"/>
      <c r="I37"/>
      <c r="J37"/>
      <c r="K37"/>
      <c r="L37"/>
      <c r="M37"/>
      <c r="N37"/>
      <c r="O37"/>
      <c r="P37"/>
      <c r="Q37" s="52"/>
      <c r="R37"/>
      <c r="S37" s="52"/>
    </row>
    <row r="38" spans="1:19" s="14" customFormat="1">
      <c r="B38" s="14" t="s">
        <v>615</v>
      </c>
    </row>
    <row r="39" spans="1:19">
      <c r="A39"/>
      <c r="B39"/>
      <c r="C39"/>
      <c r="D39"/>
      <c r="E39"/>
      <c r="F39"/>
      <c r="G39"/>
      <c r="H39" s="47"/>
      <c r="I39"/>
      <c r="J39"/>
      <c r="K39"/>
      <c r="L39"/>
      <c r="M39"/>
      <c r="N39"/>
      <c r="O39"/>
      <c r="P39"/>
      <c r="Q39"/>
      <c r="R39"/>
      <c r="S39"/>
    </row>
    <row r="40" spans="1:19">
      <c r="A40"/>
      <c r="B40" s="8" t="s">
        <v>110</v>
      </c>
      <c r="C40" s="48"/>
      <c r="D40" s="8" t="s">
        <v>80</v>
      </c>
      <c r="E40" s="48"/>
      <c r="F40" s="48"/>
      <c r="G40" s="48"/>
      <c r="H40" s="45"/>
      <c r="I40" s="45"/>
      <c r="J40" s="32">
        <v>2352577687.9437237</v>
      </c>
      <c r="K40" s="45"/>
      <c r="L40" s="45"/>
      <c r="M40" s="45"/>
      <c r="N40" s="45"/>
      <c r="O40" s="45"/>
      <c r="P40" s="45"/>
      <c r="Q40" s="48"/>
      <c r="R40" s="8" t="s">
        <v>525</v>
      </c>
      <c r="S40" s="48"/>
    </row>
    <row r="41" spans="1:19">
      <c r="A41" s="48"/>
      <c r="B41" s="48"/>
      <c r="C41" s="48"/>
      <c r="D41" s="48"/>
      <c r="E41" s="48"/>
      <c r="F41" s="48"/>
      <c r="G41" s="48"/>
      <c r="H41" s="48"/>
      <c r="I41" s="48"/>
      <c r="J41" s="50"/>
      <c r="K41" s="48"/>
      <c r="L41" s="48"/>
      <c r="M41" s="48"/>
      <c r="N41" s="48"/>
      <c r="O41" s="48"/>
      <c r="P41" s="48"/>
      <c r="Q41" s="48"/>
      <c r="R41" s="48"/>
      <c r="S41" s="48"/>
    </row>
    <row r="42" spans="1:19" s="14" customFormat="1">
      <c r="B42" s="14" t="s">
        <v>614</v>
      </c>
    </row>
    <row r="43" spans="1:19">
      <c r="A43"/>
      <c r="B43" s="7"/>
      <c r="C43"/>
      <c r="D43"/>
      <c r="E43"/>
      <c r="F43"/>
      <c r="G43"/>
      <c r="H43"/>
      <c r="I43"/>
      <c r="J43"/>
      <c r="K43"/>
      <c r="L43"/>
      <c r="M43"/>
      <c r="N43"/>
      <c r="O43"/>
      <c r="P43"/>
      <c r="Q43"/>
      <c r="R43"/>
      <c r="S43"/>
    </row>
    <row r="44" spans="1:19">
      <c r="A44"/>
      <c r="B44" s="8" t="s">
        <v>252</v>
      </c>
      <c r="C44"/>
      <c r="D44" s="8" t="s">
        <v>80</v>
      </c>
      <c r="E44"/>
      <c r="F44"/>
      <c r="G44"/>
      <c r="H44" s="45"/>
      <c r="I44" s="45"/>
      <c r="J44" s="45"/>
      <c r="K44" s="45"/>
      <c r="L44" s="32">
        <v>8893193.2643618844</v>
      </c>
      <c r="M44" s="32">
        <v>14982441.830156792</v>
      </c>
      <c r="N44" s="32">
        <v>21204072.531902872</v>
      </c>
      <c r="O44" s="32">
        <v>27560278.352407973</v>
      </c>
      <c r="P44" s="32">
        <v>33438650.239358876</v>
      </c>
      <c r="Q44"/>
      <c r="R44" s="8" t="s">
        <v>526</v>
      </c>
      <c r="S44"/>
    </row>
    <row r="45" spans="1:19">
      <c r="A45"/>
      <c r="B45" s="8" t="s">
        <v>253</v>
      </c>
      <c r="C45" s="52"/>
      <c r="D45" s="8" t="s">
        <v>80</v>
      </c>
      <c r="E45" s="52"/>
      <c r="F45"/>
      <c r="G45" s="52"/>
      <c r="H45" s="45"/>
      <c r="I45" s="45"/>
      <c r="J45" s="45"/>
      <c r="K45" s="45"/>
      <c r="L45" s="32">
        <v>373144387.34356242</v>
      </c>
      <c r="M45" s="32">
        <v>556881548.62711048</v>
      </c>
      <c r="N45" s="32">
        <v>738572828.09029698</v>
      </c>
      <c r="O45" s="32">
        <v>918097798.17526853</v>
      </c>
      <c r="P45" s="32">
        <v>1095947776.8844848</v>
      </c>
      <c r="Q45" s="52"/>
      <c r="R45" s="8" t="s">
        <v>527</v>
      </c>
      <c r="S45" s="52"/>
    </row>
    <row r="46" spans="1:19">
      <c r="A46"/>
      <c r="B46" s="8" t="s">
        <v>254</v>
      </c>
      <c r="C46" s="52"/>
      <c r="D46" s="8" t="s">
        <v>80</v>
      </c>
      <c r="E46" s="52"/>
      <c r="F46"/>
      <c r="G46" s="52"/>
      <c r="H46" s="45"/>
      <c r="I46" s="45"/>
      <c r="J46" s="45"/>
      <c r="K46" s="45"/>
      <c r="L46" s="32">
        <v>2396108.8460695189</v>
      </c>
      <c r="M46" s="32">
        <v>4036745.89518061</v>
      </c>
      <c r="N46" s="32">
        <v>5713050.8981508976</v>
      </c>
      <c r="O46" s="32">
        <v>7425614.7142307051</v>
      </c>
      <c r="P46" s="32">
        <v>8703648.6128957365</v>
      </c>
      <c r="Q46" s="52"/>
      <c r="R46" s="8" t="s">
        <v>528</v>
      </c>
      <c r="S46" s="52"/>
    </row>
    <row r="47" spans="1:19">
      <c r="A47"/>
      <c r="B47" s="8" t="s">
        <v>255</v>
      </c>
      <c r="C47" s="52"/>
      <c r="D47" s="8" t="s">
        <v>80</v>
      </c>
      <c r="E47" s="52"/>
      <c r="F47"/>
      <c r="G47" s="52"/>
      <c r="H47" s="45"/>
      <c r="I47" s="45"/>
      <c r="J47" s="45"/>
      <c r="K47" s="45"/>
      <c r="L47" s="32">
        <v>59215629.093850881</v>
      </c>
      <c r="M47" s="32">
        <v>87380505.041328818</v>
      </c>
      <c r="N47" s="32">
        <v>114531402.5434081</v>
      </c>
      <c r="O47" s="32">
        <v>140628215.13989246</v>
      </c>
      <c r="P47" s="32">
        <v>166101332.28400001</v>
      </c>
      <c r="Q47" s="52"/>
      <c r="R47" s="8" t="s">
        <v>529</v>
      </c>
      <c r="S47" s="52"/>
    </row>
    <row r="49" spans="1:19" s="14" customFormat="1">
      <c r="B49" s="14" t="s">
        <v>613</v>
      </c>
    </row>
    <row r="50" spans="1:19">
      <c r="A50"/>
      <c r="B50"/>
      <c r="C50"/>
      <c r="D50"/>
      <c r="E50"/>
      <c r="F50"/>
      <c r="G50"/>
      <c r="H50" s="47"/>
      <c r="I50" s="47"/>
      <c r="J50"/>
      <c r="K50"/>
      <c r="L50"/>
      <c r="M50"/>
      <c r="N50"/>
      <c r="O50"/>
      <c r="P50"/>
      <c r="Q50"/>
      <c r="R50"/>
      <c r="S50"/>
    </row>
    <row r="51" spans="1:19">
      <c r="A51"/>
      <c r="B51" s="8" t="s">
        <v>109</v>
      </c>
      <c r="C51" s="48"/>
      <c r="D51" s="8" t="s">
        <v>80</v>
      </c>
      <c r="E51" s="48"/>
      <c r="F51" s="48"/>
      <c r="G51"/>
      <c r="H51" s="45"/>
      <c r="I51" s="45"/>
      <c r="J51" s="32">
        <v>2248149453.7422318</v>
      </c>
      <c r="K51" s="45"/>
      <c r="L51" s="45"/>
      <c r="M51" s="45"/>
      <c r="N51" s="45"/>
      <c r="O51" s="45"/>
      <c r="P51" s="45"/>
      <c r="Q51" s="48"/>
      <c r="R51" s="8" t="s">
        <v>530</v>
      </c>
      <c r="S51" s="48"/>
    </row>
    <row r="52" spans="1:19">
      <c r="A52" s="48"/>
      <c r="B52" s="48"/>
      <c r="C52" s="48"/>
      <c r="D52" s="48"/>
      <c r="E52" s="48"/>
      <c r="F52" s="48"/>
      <c r="G52" s="48"/>
      <c r="H52" s="48"/>
      <c r="I52" s="50"/>
      <c r="J52" s="48"/>
      <c r="K52" s="48"/>
      <c r="L52" s="48"/>
      <c r="M52" s="48"/>
      <c r="N52" s="48"/>
      <c r="O52" s="48"/>
      <c r="P52" s="48"/>
      <c r="Q52" s="48"/>
      <c r="R52" s="48"/>
      <c r="S52" s="48"/>
    </row>
    <row r="53" spans="1:19" s="14" customFormat="1">
      <c r="B53" s="14" t="s">
        <v>293</v>
      </c>
    </row>
    <row r="54" spans="1:19">
      <c r="B54" s="46"/>
      <c r="D54"/>
      <c r="F54"/>
      <c r="H54"/>
      <c r="I54"/>
      <c r="J54"/>
      <c r="K54" s="53"/>
      <c r="L54" s="53"/>
      <c r="M54"/>
      <c r="N54"/>
      <c r="O54"/>
      <c r="P54"/>
      <c r="R54"/>
    </row>
    <row r="55" spans="1:19">
      <c r="B55" s="8" t="s">
        <v>422</v>
      </c>
      <c r="D55" s="8" t="s">
        <v>80</v>
      </c>
      <c r="H55" s="32">
        <v>2208557789.0624371</v>
      </c>
      <c r="I55" s="32">
        <v>2469632477.2863765</v>
      </c>
      <c r="J55" s="32">
        <v>2879841595.7457714</v>
      </c>
      <c r="K55" s="32">
        <v>2966897085.4281526</v>
      </c>
      <c r="L55" s="32">
        <v>3020301232.9658608</v>
      </c>
      <c r="M55" s="32">
        <v>3074666655.159246</v>
      </c>
      <c r="N55" s="32">
        <v>3130010654.9521141</v>
      </c>
      <c r="O55" s="32">
        <v>3186350846.7412548</v>
      </c>
      <c r="P55" s="32">
        <v>3243705161.9825974</v>
      </c>
      <c r="R55" s="8" t="s">
        <v>531</v>
      </c>
    </row>
    <row r="56" spans="1:19">
      <c r="B56" s="8" t="s">
        <v>398</v>
      </c>
      <c r="D56" s="8" t="s">
        <v>80</v>
      </c>
      <c r="H56" s="45"/>
      <c r="I56" s="45"/>
      <c r="J56" s="45"/>
      <c r="K56" s="32">
        <v>18604514.913461395</v>
      </c>
      <c r="L56" s="32">
        <v>37878792.363807403</v>
      </c>
      <c r="M56" s="32">
        <v>38560610.626355939</v>
      </c>
      <c r="N56" s="32">
        <v>39254701.61763034</v>
      </c>
      <c r="O56" s="32">
        <v>39961286.24674768</v>
      </c>
      <c r="P56" s="32">
        <v>40680589.399189152</v>
      </c>
      <c r="R56" s="8" t="s">
        <v>532</v>
      </c>
    </row>
    <row r="57" spans="1:19">
      <c r="B57" s="8" t="s">
        <v>399</v>
      </c>
      <c r="D57" s="8" t="s">
        <v>80</v>
      </c>
      <c r="H57" s="45"/>
      <c r="I57" s="45"/>
      <c r="J57" s="45"/>
      <c r="K57" s="45"/>
      <c r="L57" s="32">
        <v>18844699.200994186</v>
      </c>
      <c r="M57" s="32">
        <v>38367807.573224157</v>
      </c>
      <c r="N57" s="32">
        <v>39058428.109542198</v>
      </c>
      <c r="O57" s="32">
        <v>39761479.815513961</v>
      </c>
      <c r="P57" s="32">
        <v>40477186.452193215</v>
      </c>
      <c r="R57" s="8" t="s">
        <v>533</v>
      </c>
    </row>
    <row r="58" spans="1:19">
      <c r="B58" s="8" t="s">
        <v>400</v>
      </c>
      <c r="D58" s="8" t="s">
        <v>80</v>
      </c>
      <c r="H58" s="45"/>
      <c r="I58" s="45"/>
      <c r="J58" s="45"/>
      <c r="K58" s="45"/>
      <c r="L58" s="45"/>
      <c r="M58" s="32">
        <v>19087984.267679021</v>
      </c>
      <c r="N58" s="32">
        <v>38863135.968994476</v>
      </c>
      <c r="O58" s="32">
        <v>39562672.416436389</v>
      </c>
      <c r="P58" s="32">
        <v>40274800.51993224</v>
      </c>
      <c r="R58" s="8" t="s">
        <v>534</v>
      </c>
    </row>
    <row r="59" spans="1:19">
      <c r="B59" s="8" t="s">
        <v>401</v>
      </c>
      <c r="D59" s="8" t="s">
        <v>80</v>
      </c>
      <c r="H59" s="45"/>
      <c r="I59" s="45"/>
      <c r="J59" s="45"/>
      <c r="K59" s="45"/>
      <c r="L59" s="45"/>
      <c r="M59" s="125"/>
      <c r="N59" s="32">
        <v>19334410.14457475</v>
      </c>
      <c r="O59" s="32">
        <v>39364859.054354213</v>
      </c>
      <c r="P59" s="32">
        <v>40073426.517332576</v>
      </c>
      <c r="R59" s="8" t="s">
        <v>535</v>
      </c>
    </row>
    <row r="60" spans="1:19">
      <c r="B60" s="8" t="s">
        <v>402</v>
      </c>
      <c r="D60" s="8" t="s">
        <v>80</v>
      </c>
      <c r="H60" s="45"/>
      <c r="I60" s="45"/>
      <c r="J60" s="45"/>
      <c r="K60" s="45"/>
      <c r="L60" s="45"/>
      <c r="M60" s="45"/>
      <c r="N60" s="45"/>
      <c r="O60" s="32">
        <v>19584017.379541215</v>
      </c>
      <c r="P60" s="32">
        <v>39873059.384745903</v>
      </c>
      <c r="R60" s="8" t="s">
        <v>536</v>
      </c>
    </row>
    <row r="61" spans="1:19">
      <c r="B61" s="8" t="s">
        <v>403</v>
      </c>
      <c r="D61" s="8" t="s">
        <v>80</v>
      </c>
      <c r="H61" s="45"/>
      <c r="I61" s="45"/>
      <c r="J61" s="45"/>
      <c r="K61" s="45"/>
      <c r="L61" s="45"/>
      <c r="M61" s="45"/>
      <c r="N61" s="45"/>
      <c r="O61" s="45"/>
      <c r="P61" s="32">
        <v>19836847.043911099</v>
      </c>
      <c r="Q61" s="47"/>
      <c r="R61" s="8" t="s">
        <v>537</v>
      </c>
    </row>
    <row r="62" spans="1:19">
      <c r="H62" s="47"/>
    </row>
    <row r="63" spans="1:19">
      <c r="B63" s="8" t="s">
        <v>423</v>
      </c>
      <c r="D63" s="8" t="s">
        <v>80</v>
      </c>
      <c r="H63" s="32">
        <v>246155076.6395869</v>
      </c>
      <c r="I63" s="32">
        <v>307974376.07155591</v>
      </c>
      <c r="J63" s="32">
        <v>365464385.44380444</v>
      </c>
      <c r="K63" s="32">
        <v>386958326.75879067</v>
      </c>
      <c r="L63" s="32">
        <v>393923576.64044899</v>
      </c>
      <c r="M63" s="32">
        <v>401014201.01997727</v>
      </c>
      <c r="N63" s="32">
        <v>408232456.63833666</v>
      </c>
      <c r="O63" s="32">
        <v>415580640.85782695</v>
      </c>
      <c r="P63" s="32">
        <v>423061092.39326805</v>
      </c>
      <c r="R63" s="8" t="s">
        <v>538</v>
      </c>
    </row>
    <row r="64" spans="1:19">
      <c r="B64" s="8" t="s">
        <v>404</v>
      </c>
      <c r="D64" s="8" t="s">
        <v>80</v>
      </c>
      <c r="H64" s="45"/>
      <c r="I64" s="45"/>
      <c r="J64" s="45"/>
      <c r="K64" s="32">
        <v>9102443.8855795767</v>
      </c>
      <c r="L64" s="32">
        <v>18532575.751040015</v>
      </c>
      <c r="M64" s="32">
        <v>18866162.114558734</v>
      </c>
      <c r="N64" s="32">
        <v>19205753.032620795</v>
      </c>
      <c r="O64" s="32">
        <v>19551456.587207966</v>
      </c>
      <c r="P64" s="32">
        <v>19903382.805777714</v>
      </c>
      <c r="R64" s="8" t="s">
        <v>539</v>
      </c>
    </row>
    <row r="65" spans="2:18">
      <c r="B65" s="8" t="s">
        <v>405</v>
      </c>
      <c r="D65" s="8" t="s">
        <v>80</v>
      </c>
      <c r="H65" s="45"/>
      <c r="I65" s="45"/>
      <c r="J65" s="45"/>
      <c r="K65" s="45"/>
      <c r="L65" s="32">
        <v>9219956.4361424092</v>
      </c>
      <c r="M65" s="32">
        <v>18771831.303985946</v>
      </c>
      <c r="N65" s="32">
        <v>19109724.26745769</v>
      </c>
      <c r="O65" s="32">
        <v>19453699.304271929</v>
      </c>
      <c r="P65" s="32">
        <v>19803865.891748823</v>
      </c>
      <c r="R65" s="8" t="s">
        <v>540</v>
      </c>
    </row>
    <row r="66" spans="2:18">
      <c r="B66" s="8" t="s">
        <v>406</v>
      </c>
      <c r="D66" s="8" t="s">
        <v>80</v>
      </c>
      <c r="H66" s="45"/>
      <c r="I66" s="45"/>
      <c r="J66" s="45"/>
      <c r="K66" s="45"/>
      <c r="L66" s="45"/>
      <c r="M66" s="32">
        <v>9338986.0737330075</v>
      </c>
      <c r="N66" s="32">
        <v>19014175.646120403</v>
      </c>
      <c r="O66" s="32">
        <v>19356430.807750572</v>
      </c>
      <c r="P66" s="32">
        <v>19704846.56229008</v>
      </c>
      <c r="R66" s="8" t="s">
        <v>541</v>
      </c>
    </row>
    <row r="67" spans="2:18">
      <c r="B67" s="8" t="s">
        <v>407</v>
      </c>
      <c r="D67" s="8" t="s">
        <v>80</v>
      </c>
      <c r="H67" s="45"/>
      <c r="I67" s="45"/>
      <c r="J67" s="45"/>
      <c r="K67" s="45"/>
      <c r="L67" s="45"/>
      <c r="M67" s="125"/>
      <c r="N67" s="32">
        <v>9459552.3839449007</v>
      </c>
      <c r="O67" s="32">
        <v>19259648.653711814</v>
      </c>
      <c r="P67" s="32">
        <v>19606322.329478629</v>
      </c>
      <c r="R67" s="8" t="s">
        <v>542</v>
      </c>
    </row>
    <row r="68" spans="2:18">
      <c r="B68" s="8" t="s">
        <v>408</v>
      </c>
      <c r="D68" s="8" t="s">
        <v>80</v>
      </c>
      <c r="H68" s="45"/>
      <c r="I68" s="45"/>
      <c r="J68" s="45"/>
      <c r="K68" s="45"/>
      <c r="L68" s="45"/>
      <c r="M68" s="45"/>
      <c r="N68" s="45"/>
      <c r="O68" s="32">
        <v>9581675.2052216306</v>
      </c>
      <c r="P68" s="32">
        <v>19508290.717831239</v>
      </c>
      <c r="R68" s="8" t="s">
        <v>543</v>
      </c>
    </row>
    <row r="69" spans="2:18">
      <c r="B69" s="8" t="s">
        <v>409</v>
      </c>
      <c r="D69" s="8" t="s">
        <v>80</v>
      </c>
      <c r="H69" s="45"/>
      <c r="I69" s="45"/>
      <c r="J69" s="45"/>
      <c r="K69" s="45"/>
      <c r="L69" s="45"/>
      <c r="M69" s="45"/>
      <c r="N69" s="45"/>
      <c r="O69" s="45"/>
      <c r="P69" s="32">
        <v>9705374.6321210396</v>
      </c>
      <c r="R69" s="8" t="s">
        <v>544</v>
      </c>
    </row>
    <row r="71" spans="2:18">
      <c r="B71" s="8" t="s">
        <v>424</v>
      </c>
      <c r="D71" s="8" t="s">
        <v>80</v>
      </c>
      <c r="H71" s="32">
        <v>2661417413.9185042</v>
      </c>
      <c r="I71" s="32">
        <v>2909244156.5210791</v>
      </c>
      <c r="J71" s="32">
        <v>3247870144.7661071</v>
      </c>
      <c r="K71" s="32">
        <v>3382568640.1363845</v>
      </c>
      <c r="L71" s="32">
        <v>3443454875.6588373</v>
      </c>
      <c r="M71" s="32">
        <v>3505437063.4206977</v>
      </c>
      <c r="N71" s="32">
        <v>3555912527.3554735</v>
      </c>
      <c r="O71" s="32">
        <v>3606811255.2206302</v>
      </c>
      <c r="P71" s="32">
        <v>3671733857.8146043</v>
      </c>
      <c r="R71" s="8" t="s">
        <v>545</v>
      </c>
    </row>
    <row r="72" spans="2:18">
      <c r="B72" s="8" t="s">
        <v>410</v>
      </c>
      <c r="D72" s="8" t="s">
        <v>80</v>
      </c>
      <c r="H72" s="45"/>
      <c r="I72" s="45"/>
      <c r="J72" s="45"/>
      <c r="K72" s="32">
        <v>95206550.777798012</v>
      </c>
      <c r="L72" s="32">
        <v>193840537.38359678</v>
      </c>
      <c r="M72" s="32">
        <v>197329667.05650151</v>
      </c>
      <c r="N72" s="32">
        <v>200881601.06351852</v>
      </c>
      <c r="O72" s="32">
        <v>204497469.88266185</v>
      </c>
      <c r="P72" s="32">
        <v>208178424.3405498</v>
      </c>
      <c r="R72" s="8" t="s">
        <v>546</v>
      </c>
    </row>
    <row r="73" spans="2:18">
      <c r="B73" s="8" t="s">
        <v>411</v>
      </c>
      <c r="D73" s="8" t="s">
        <v>80</v>
      </c>
      <c r="H73" s="45"/>
      <c r="I73" s="45"/>
      <c r="J73" s="45"/>
      <c r="K73" s="45"/>
      <c r="L73" s="32">
        <v>96435667.348339379</v>
      </c>
      <c r="M73" s="32">
        <v>196343018.721219</v>
      </c>
      <c r="N73" s="32">
        <v>199877193.05820093</v>
      </c>
      <c r="O73" s="32">
        <v>203474982.53324857</v>
      </c>
      <c r="P73" s="32">
        <v>207137532.21884701</v>
      </c>
      <c r="R73" s="8" t="s">
        <v>547</v>
      </c>
    </row>
    <row r="74" spans="2:18">
      <c r="B74" s="8" t="s">
        <v>412</v>
      </c>
      <c r="D74" s="8" t="s">
        <v>80</v>
      </c>
      <c r="H74" s="45"/>
      <c r="I74" s="45"/>
      <c r="J74" s="45"/>
      <c r="K74" s="45"/>
      <c r="L74" s="45"/>
      <c r="M74" s="32">
        <v>97680651.813806459</v>
      </c>
      <c r="N74" s="32">
        <v>198877807.09290996</v>
      </c>
      <c r="O74" s="32">
        <v>202457607.62058228</v>
      </c>
      <c r="P74" s="32">
        <v>206101844.55775282</v>
      </c>
      <c r="R74" s="8" t="s">
        <v>548</v>
      </c>
    </row>
    <row r="75" spans="2:18">
      <c r="B75" s="8" t="s">
        <v>413</v>
      </c>
      <c r="D75" s="8" t="s">
        <v>80</v>
      </c>
      <c r="H75" s="45"/>
      <c r="I75" s="45"/>
      <c r="J75" s="45"/>
      <c r="K75" s="45"/>
      <c r="L75" s="45"/>
      <c r="M75" s="125"/>
      <c r="N75" s="32">
        <v>98941709.028722703</v>
      </c>
      <c r="O75" s="32">
        <v>201445319.58247942</v>
      </c>
      <c r="P75" s="32">
        <v>205071335.33496404</v>
      </c>
      <c r="R75" s="8" t="s">
        <v>549</v>
      </c>
    </row>
    <row r="76" spans="2:18">
      <c r="B76" s="8" t="s">
        <v>414</v>
      </c>
      <c r="D76" s="8" t="s">
        <v>80</v>
      </c>
      <c r="H76" s="45"/>
      <c r="I76" s="45"/>
      <c r="J76" s="45"/>
      <c r="K76" s="45"/>
      <c r="L76" s="45"/>
      <c r="M76" s="45"/>
      <c r="N76" s="45"/>
      <c r="O76" s="32">
        <v>100219046.49228351</v>
      </c>
      <c r="P76" s="32">
        <v>204045978.65828922</v>
      </c>
      <c r="R76" s="8" t="s">
        <v>550</v>
      </c>
    </row>
    <row r="77" spans="2:18">
      <c r="B77" s="8" t="s">
        <v>415</v>
      </c>
      <c r="D77" s="8" t="s">
        <v>80</v>
      </c>
      <c r="H77" s="45"/>
      <c r="I77" s="45"/>
      <c r="J77" s="45"/>
      <c r="K77" s="45"/>
      <c r="L77" s="45"/>
      <c r="M77" s="45"/>
      <c r="N77" s="45"/>
      <c r="O77" s="45"/>
      <c r="P77" s="32">
        <v>101512874.38249889</v>
      </c>
      <c r="R77" s="8" t="s">
        <v>551</v>
      </c>
    </row>
    <row r="79" spans="2:18">
      <c r="B79" s="8" t="s">
        <v>425</v>
      </c>
      <c r="D79" s="8" t="s">
        <v>80</v>
      </c>
      <c r="H79" s="32">
        <v>253075290.56766963</v>
      </c>
      <c r="I79" s="32">
        <v>269008108.64268476</v>
      </c>
      <c r="J79" s="137">
        <v>305144011.40594423</v>
      </c>
      <c r="K79" s="137">
        <v>336780276.44268548</v>
      </c>
      <c r="L79" s="137">
        <v>342842321.41865432</v>
      </c>
      <c r="M79" s="137">
        <v>349013483.20419008</v>
      </c>
      <c r="N79" s="137">
        <v>354633036.6904887</v>
      </c>
      <c r="O79" s="137">
        <v>360328263.68100071</v>
      </c>
      <c r="P79" s="137">
        <v>366814172.42725885</v>
      </c>
      <c r="R79" s="8" t="s">
        <v>552</v>
      </c>
    </row>
    <row r="80" spans="2:18">
      <c r="B80" s="8" t="s">
        <v>416</v>
      </c>
      <c r="D80" s="8" t="s">
        <v>80</v>
      </c>
      <c r="H80" s="45"/>
      <c r="I80" s="45"/>
      <c r="J80" s="45"/>
      <c r="K80" s="32">
        <v>15433281.038368836</v>
      </c>
      <c r="L80" s="32">
        <v>31422160.194118951</v>
      </c>
      <c r="M80" s="32">
        <v>31987759.077613093</v>
      </c>
      <c r="N80" s="32">
        <v>32563538.741010129</v>
      </c>
      <c r="O80" s="32">
        <v>33149682.438348308</v>
      </c>
      <c r="P80" s="32">
        <v>33746376.722238585</v>
      </c>
      <c r="R80" s="8" t="s">
        <v>553</v>
      </c>
    </row>
    <row r="81" spans="2:18">
      <c r="B81" s="8" t="s">
        <v>417</v>
      </c>
      <c r="D81" s="8" t="s">
        <v>80</v>
      </c>
      <c r="H81" s="45"/>
      <c r="I81" s="45"/>
      <c r="J81" s="45"/>
      <c r="K81" s="45"/>
      <c r="L81" s="32">
        <v>15632524.696574178</v>
      </c>
      <c r="M81" s="32">
        <v>31827820.282225028</v>
      </c>
      <c r="N81" s="32">
        <v>32400721.047305077</v>
      </c>
      <c r="O81" s="32">
        <v>32983934.026156567</v>
      </c>
      <c r="P81" s="32">
        <v>33577644.838627383</v>
      </c>
      <c r="R81" s="8" t="s">
        <v>554</v>
      </c>
    </row>
    <row r="82" spans="2:18">
      <c r="B82" s="8" t="s">
        <v>418</v>
      </c>
      <c r="D82" s="8" t="s">
        <v>80</v>
      </c>
      <c r="H82" s="45"/>
      <c r="I82" s="45"/>
      <c r="J82" s="45"/>
      <c r="K82" s="45"/>
      <c r="L82" s="45"/>
      <c r="M82" s="32">
        <v>15834340.590406951</v>
      </c>
      <c r="N82" s="32">
        <v>32238717.442068554</v>
      </c>
      <c r="O82" s="32">
        <v>32819014.356025785</v>
      </c>
      <c r="P82" s="32">
        <v>33409756.61443425</v>
      </c>
      <c r="R82" s="8" t="s">
        <v>555</v>
      </c>
    </row>
    <row r="83" spans="2:18">
      <c r="B83" s="8" t="s">
        <v>419</v>
      </c>
      <c r="D83" s="8" t="s">
        <v>80</v>
      </c>
      <c r="H83" s="45"/>
      <c r="I83" s="45"/>
      <c r="J83" s="45"/>
      <c r="K83" s="45"/>
      <c r="L83" s="45"/>
      <c r="M83" s="125"/>
      <c r="N83" s="32">
        <v>16038761.927429104</v>
      </c>
      <c r="O83" s="32">
        <v>32654919.284245655</v>
      </c>
      <c r="P83" s="32">
        <v>33242707.831362076</v>
      </c>
      <c r="R83" s="8" t="s">
        <v>556</v>
      </c>
    </row>
    <row r="84" spans="2:18">
      <c r="B84" s="8" t="s">
        <v>420</v>
      </c>
      <c r="D84" s="8" t="s">
        <v>80</v>
      </c>
      <c r="H84" s="45"/>
      <c r="I84" s="45"/>
      <c r="J84" s="45"/>
      <c r="K84" s="45"/>
      <c r="L84" s="45"/>
      <c r="M84" s="45"/>
      <c r="N84" s="45"/>
      <c r="O84" s="32">
        <v>16245822.343912216</v>
      </c>
      <c r="P84" s="32">
        <v>33076494.29220527</v>
      </c>
      <c r="R84" s="8" t="s">
        <v>557</v>
      </c>
    </row>
    <row r="85" spans="2:18">
      <c r="B85" s="8" t="s">
        <v>421</v>
      </c>
      <c r="D85" s="8" t="s">
        <v>80</v>
      </c>
      <c r="H85" s="45"/>
      <c r="I85" s="45"/>
      <c r="J85" s="45"/>
      <c r="K85" s="45"/>
      <c r="L85" s="45"/>
      <c r="M85" s="45"/>
      <c r="N85" s="45"/>
      <c r="O85" s="45"/>
      <c r="P85" s="32">
        <v>16455555.910372125</v>
      </c>
      <c r="R85" s="8" t="s">
        <v>558</v>
      </c>
    </row>
  </sheetData>
  <mergeCells count="1">
    <mergeCell ref="B5:C5"/>
  </mergeCells>
  <phoneticPr fontId="36" type="noConversion"/>
  <pageMargins left="0.7" right="0.7" top="0.75" bottom="0.75" header="0.3" footer="0.3"/>
  <pageSetup paperSize="9" orientation="portrait" r:id="rId1"/>
  <ignoredErrors>
    <ignoredError sqref="I10"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11">
    <tabColor rgb="FFE1FFE1"/>
  </sheetPr>
  <dimension ref="A2:T71"/>
  <sheetViews>
    <sheetView showGridLines="0" zoomScale="85" zoomScaleNormal="85" workbookViewId="0">
      <pane xSplit="4" ySplit="11" topLeftCell="E12" activePane="bottomRight" state="frozen"/>
      <selection activeCell="R6" sqref="R6"/>
      <selection pane="topRight" activeCell="R6" sqref="R6"/>
      <selection pane="bottomLeft" activeCell="R6" sqref="R6"/>
      <selection pane="bottomRight" activeCell="E12" sqref="E12"/>
    </sheetView>
  </sheetViews>
  <sheetFormatPr defaultColWidth="9.140625" defaultRowHeight="12.75"/>
  <cols>
    <col min="1" max="1" width="4.7109375" style="8" customWidth="1"/>
    <col min="2" max="2" width="94.28515625" style="8" customWidth="1"/>
    <col min="3" max="3" width="2.7109375" style="8" customWidth="1"/>
    <col min="4" max="4" width="13.7109375" style="8" customWidth="1"/>
    <col min="5" max="5" width="2.7109375" style="8" customWidth="1"/>
    <col min="6" max="6" width="13.7109375" style="8" customWidth="1"/>
    <col min="7" max="7" width="2.7109375" style="8" customWidth="1"/>
    <col min="8" max="10" width="13" style="8" bestFit="1" customWidth="1"/>
    <col min="11" max="16" width="12.5703125" style="8" customWidth="1"/>
    <col min="17" max="17" width="2.7109375" style="8" customWidth="1"/>
    <col min="18" max="18" width="80.5703125" style="8" bestFit="1" customWidth="1"/>
    <col min="19" max="19" width="2.7109375" style="8" customWidth="1"/>
    <col min="20" max="20" width="13.7109375" style="8" customWidth="1"/>
    <col min="21" max="21" width="2.7109375" style="8" customWidth="1"/>
    <col min="22" max="36" width="13.7109375" style="8" customWidth="1"/>
    <col min="37" max="16384" width="9.140625" style="8"/>
  </cols>
  <sheetData>
    <row r="2" spans="1:20" s="23" customFormat="1" ht="18">
      <c r="B2" s="23" t="s">
        <v>94</v>
      </c>
    </row>
    <row r="4" spans="1:20">
      <c r="B4" s="29" t="s">
        <v>29</v>
      </c>
      <c r="H4"/>
    </row>
    <row r="5" spans="1:20" ht="62.25" customHeight="1">
      <c r="A5" s="42"/>
      <c r="B5" s="143" t="s">
        <v>484</v>
      </c>
      <c r="C5" s="143"/>
      <c r="D5" s="143"/>
      <c r="E5" s="42"/>
      <c r="F5" s="42"/>
    </row>
    <row r="6" spans="1:20" ht="12.75" customHeight="1">
      <c r="A6" s="42"/>
      <c r="B6" s="120"/>
      <c r="C6" s="120"/>
      <c r="D6" s="42"/>
      <c r="E6" s="42"/>
      <c r="F6" s="42"/>
    </row>
    <row r="7" spans="1:20" ht="12.75" customHeight="1">
      <c r="A7" s="42"/>
      <c r="B7" s="122" t="s">
        <v>30</v>
      </c>
      <c r="C7" s="120"/>
      <c r="D7" s="42"/>
      <c r="E7" s="42"/>
      <c r="F7" s="42"/>
    </row>
    <row r="8" spans="1:20" ht="128.25" customHeight="1">
      <c r="A8" s="42"/>
      <c r="B8" s="141" t="s">
        <v>485</v>
      </c>
      <c r="C8" s="141"/>
      <c r="D8" s="141"/>
      <c r="E8" s="42"/>
      <c r="F8" s="42"/>
    </row>
    <row r="9" spans="1:20">
      <c r="A9" s="42"/>
      <c r="B9" s="42"/>
      <c r="C9" s="42"/>
      <c r="D9" s="42"/>
      <c r="E9" s="42"/>
      <c r="F9" s="42"/>
    </row>
    <row r="10" spans="1:20" s="14" customFormat="1">
      <c r="B10" s="14" t="s">
        <v>45</v>
      </c>
      <c r="D10" s="14" t="s">
        <v>27</v>
      </c>
      <c r="F10" s="14" t="s">
        <v>28</v>
      </c>
      <c r="H10" s="113">
        <v>2018</v>
      </c>
      <c r="I10" s="113">
        <v>2019</v>
      </c>
      <c r="J10" s="113">
        <v>2020</v>
      </c>
      <c r="K10" s="113">
        <v>2021</v>
      </c>
      <c r="L10" s="113">
        <v>2022</v>
      </c>
      <c r="M10" s="113">
        <v>2023</v>
      </c>
      <c r="N10" s="113">
        <v>2024</v>
      </c>
      <c r="O10" s="113">
        <v>2025</v>
      </c>
      <c r="P10" s="113">
        <v>2026</v>
      </c>
      <c r="R10" s="14" t="s">
        <v>46</v>
      </c>
      <c r="T10" s="14" t="s">
        <v>47</v>
      </c>
    </row>
    <row r="13" spans="1:20" s="14" customFormat="1">
      <c r="B13" s="14" t="s">
        <v>84</v>
      </c>
    </row>
    <row r="15" spans="1:20">
      <c r="B15" s="7" t="s">
        <v>243</v>
      </c>
    </row>
    <row r="16" spans="1:20">
      <c r="B16" s="8" t="s">
        <v>322</v>
      </c>
      <c r="D16" s="8" t="s">
        <v>80</v>
      </c>
      <c r="H16" s="32">
        <v>31016768.482756212</v>
      </c>
      <c r="I16" s="32">
        <v>14971151.168855133</v>
      </c>
      <c r="J16" s="32">
        <v>22400776.093696482</v>
      </c>
      <c r="K16" s="107"/>
      <c r="L16" s="41"/>
      <c r="M16" s="41"/>
      <c r="N16" s="41"/>
      <c r="O16" s="41"/>
      <c r="P16" s="41"/>
      <c r="R16" s="8" t="s">
        <v>325</v>
      </c>
    </row>
    <row r="17" spans="2:18">
      <c r="B17" s="8" t="s">
        <v>83</v>
      </c>
      <c r="D17" s="8" t="s">
        <v>80</v>
      </c>
      <c r="H17" s="32">
        <v>-10082448.097243795</v>
      </c>
      <c r="I17" s="32">
        <v>-8352546.3211448845</v>
      </c>
      <c r="J17" s="32">
        <v>-10170981.465065157</v>
      </c>
      <c r="K17" s="41"/>
      <c r="L17" s="41"/>
      <c r="M17" s="41"/>
      <c r="N17" s="41"/>
      <c r="O17" s="41"/>
      <c r="P17" s="41"/>
      <c r="R17" s="8" t="s">
        <v>326</v>
      </c>
    </row>
    <row r="19" spans="2:18">
      <c r="B19" s="7" t="s">
        <v>244</v>
      </c>
    </row>
    <row r="20" spans="2:18">
      <c r="B20" s="8" t="s">
        <v>333</v>
      </c>
      <c r="D20" s="8" t="s">
        <v>80</v>
      </c>
      <c r="H20" s="32">
        <v>1916795.0100000005</v>
      </c>
      <c r="I20" s="32">
        <v>1969643.6899999992</v>
      </c>
      <c r="J20" s="32">
        <v>2026487.56</v>
      </c>
      <c r="K20" s="41"/>
      <c r="L20" s="41"/>
      <c r="M20" s="41"/>
      <c r="N20" s="41"/>
      <c r="O20" s="41"/>
      <c r="P20" s="41"/>
      <c r="R20" s="124" t="s">
        <v>364</v>
      </c>
    </row>
    <row r="21" spans="2:18">
      <c r="B21" s="8" t="s">
        <v>210</v>
      </c>
      <c r="D21" s="8" t="s">
        <v>80</v>
      </c>
      <c r="H21" s="32">
        <v>1850619.4818000002</v>
      </c>
      <c r="I21" s="32">
        <v>2378233.3211999997</v>
      </c>
      <c r="J21" s="32">
        <v>2283915.7948000007</v>
      </c>
      <c r="K21" s="41"/>
      <c r="L21" s="41"/>
      <c r="M21" s="41"/>
      <c r="N21" s="41"/>
      <c r="O21" s="41"/>
      <c r="P21" s="41"/>
      <c r="R21" s="124" t="s">
        <v>366</v>
      </c>
    </row>
    <row r="22" spans="2:18">
      <c r="B22" s="8" t="s">
        <v>331</v>
      </c>
      <c r="D22" s="8" t="s">
        <v>80</v>
      </c>
      <c r="H22" s="32">
        <v>157721.62659999996</v>
      </c>
      <c r="I22" s="32">
        <v>225984.31639999998</v>
      </c>
      <c r="J22" s="32">
        <v>121173.02679999998</v>
      </c>
      <c r="K22" s="41"/>
      <c r="L22" s="41"/>
      <c r="M22" s="41"/>
      <c r="N22" s="41"/>
      <c r="O22" s="41"/>
      <c r="P22" s="41"/>
      <c r="R22" s="124" t="s">
        <v>367</v>
      </c>
    </row>
    <row r="23" spans="2:18">
      <c r="B23" s="8" t="s">
        <v>332</v>
      </c>
      <c r="D23" s="8" t="s">
        <v>80</v>
      </c>
      <c r="H23" s="32">
        <v>3690025.19</v>
      </c>
      <c r="I23" s="32">
        <v>2912891.6199999996</v>
      </c>
      <c r="J23" s="32">
        <v>2756493.4000000004</v>
      </c>
      <c r="K23" s="41"/>
      <c r="L23" s="41"/>
      <c r="M23" s="41"/>
      <c r="N23" s="41"/>
      <c r="O23" s="41"/>
      <c r="P23" s="41"/>
      <c r="R23" s="124" t="s">
        <v>368</v>
      </c>
    </row>
    <row r="24" spans="2:18">
      <c r="R24" s="119"/>
    </row>
    <row r="25" spans="2:18">
      <c r="B25" s="7" t="s">
        <v>203</v>
      </c>
    </row>
    <row r="26" spans="2:18">
      <c r="B26" s="8" t="s">
        <v>226</v>
      </c>
      <c r="D26" s="8" t="s">
        <v>80</v>
      </c>
      <c r="H26" s="140"/>
      <c r="I26" s="140"/>
      <c r="J26" s="140"/>
      <c r="K26" s="41"/>
      <c r="L26" s="41"/>
      <c r="M26" s="41"/>
      <c r="N26" s="41"/>
      <c r="O26" s="41"/>
      <c r="P26" s="41"/>
      <c r="R26" s="8" t="s">
        <v>563</v>
      </c>
    </row>
    <row r="27" spans="2:18">
      <c r="B27" s="8" t="s">
        <v>227</v>
      </c>
      <c r="D27" s="8" t="s">
        <v>80</v>
      </c>
      <c r="H27" s="140"/>
      <c r="I27" s="140"/>
      <c r="J27" s="140"/>
      <c r="K27" s="41"/>
      <c r="L27" s="41"/>
      <c r="M27" s="41"/>
      <c r="N27" s="41"/>
      <c r="O27" s="41"/>
      <c r="P27" s="41"/>
      <c r="R27" s="8" t="s">
        <v>563</v>
      </c>
    </row>
    <row r="28" spans="2:18">
      <c r="B28" s="8" t="s">
        <v>228</v>
      </c>
      <c r="D28" s="8" t="s">
        <v>80</v>
      </c>
      <c r="H28" s="140"/>
      <c r="I28" s="140"/>
      <c r="J28" s="140"/>
      <c r="K28" s="41"/>
      <c r="L28" s="41"/>
      <c r="M28" s="41"/>
      <c r="N28" s="41"/>
      <c r="O28" s="41"/>
      <c r="P28" s="41"/>
      <c r="R28" s="8" t="s">
        <v>563</v>
      </c>
    </row>
    <row r="30" spans="2:18" s="14" customFormat="1">
      <c r="B30" s="14" t="s">
        <v>85</v>
      </c>
    </row>
    <row r="32" spans="2:18">
      <c r="B32" s="7" t="s">
        <v>288</v>
      </c>
    </row>
    <row r="33" spans="2:18">
      <c r="B33" s="8" t="s">
        <v>323</v>
      </c>
      <c r="D33" s="8" t="s">
        <v>80</v>
      </c>
      <c r="H33" s="32">
        <v>59519146.070000015</v>
      </c>
      <c r="I33" s="32">
        <v>71643410.619999945</v>
      </c>
      <c r="J33" s="32">
        <v>73023761.894999951</v>
      </c>
      <c r="K33" s="41"/>
      <c r="L33" s="41"/>
      <c r="M33" s="41"/>
      <c r="N33" s="41"/>
      <c r="O33" s="41"/>
      <c r="P33" s="41"/>
      <c r="R33" s="8" t="s">
        <v>324</v>
      </c>
    </row>
    <row r="34" spans="2:18">
      <c r="B34" s="8" t="s">
        <v>211</v>
      </c>
      <c r="D34" s="8" t="s">
        <v>80</v>
      </c>
      <c r="H34" s="32">
        <v>21124302.600000001</v>
      </c>
      <c r="I34" s="32">
        <v>20364643.440000001</v>
      </c>
      <c r="J34" s="32">
        <v>20963010.800000001</v>
      </c>
      <c r="K34" s="41"/>
      <c r="L34" s="41"/>
      <c r="M34" s="41"/>
      <c r="N34" s="41"/>
      <c r="O34" s="41"/>
      <c r="P34" s="41"/>
      <c r="R34" s="8" t="s">
        <v>327</v>
      </c>
    </row>
    <row r="35" spans="2:18">
      <c r="H35" s="37"/>
      <c r="I35" s="37"/>
      <c r="K35" s="37"/>
      <c r="L35" s="37"/>
      <c r="M35" s="37"/>
      <c r="N35" s="37"/>
      <c r="O35" s="37"/>
      <c r="P35" s="37"/>
    </row>
    <row r="36" spans="2:18">
      <c r="B36" s="7" t="s">
        <v>246</v>
      </c>
      <c r="H36" s="37"/>
      <c r="I36" s="37"/>
      <c r="K36" s="37"/>
      <c r="L36" s="37"/>
      <c r="M36" s="37"/>
      <c r="N36" s="37"/>
      <c r="O36" s="37"/>
      <c r="P36" s="37"/>
    </row>
    <row r="37" spans="2:18">
      <c r="B37" s="8" t="s">
        <v>333</v>
      </c>
      <c r="D37" s="8" t="s">
        <v>80</v>
      </c>
      <c r="H37" s="32">
        <v>2714075.2500000005</v>
      </c>
      <c r="I37" s="32">
        <v>2438124.1699999995</v>
      </c>
      <c r="J37" s="32">
        <v>2660609.0799999996</v>
      </c>
      <c r="K37" s="41"/>
      <c r="L37" s="41"/>
      <c r="M37" s="41"/>
      <c r="N37" s="41"/>
      <c r="O37" s="41"/>
      <c r="P37" s="41"/>
      <c r="R37" s="8" t="s">
        <v>365</v>
      </c>
    </row>
    <row r="38" spans="2:18">
      <c r="B38" s="8" t="s">
        <v>210</v>
      </c>
      <c r="D38" s="8" t="s">
        <v>80</v>
      </c>
      <c r="H38" s="32">
        <v>1261796.2781999989</v>
      </c>
      <c r="I38" s="32">
        <v>1392655.9087999999</v>
      </c>
      <c r="J38" s="32">
        <v>1244763.2351999998</v>
      </c>
      <c r="K38" s="41"/>
      <c r="L38" s="41"/>
      <c r="M38" s="41"/>
      <c r="N38" s="41"/>
      <c r="O38" s="41"/>
      <c r="P38" s="41"/>
      <c r="R38" s="8" t="s">
        <v>369</v>
      </c>
    </row>
    <row r="39" spans="2:18">
      <c r="B39" s="8" t="s">
        <v>331</v>
      </c>
      <c r="D39" s="8" t="s">
        <v>80</v>
      </c>
      <c r="H39" s="32">
        <v>730937.00339999981</v>
      </c>
      <c r="I39" s="32">
        <v>1149996.3835999998</v>
      </c>
      <c r="J39" s="32">
        <v>531339.9632</v>
      </c>
      <c r="K39" s="41"/>
      <c r="L39" s="41"/>
      <c r="M39" s="41"/>
      <c r="N39" s="41"/>
      <c r="O39" s="41"/>
      <c r="P39" s="41"/>
      <c r="R39" s="124" t="s">
        <v>370</v>
      </c>
    </row>
    <row r="40" spans="2:18">
      <c r="R40" s="119"/>
    </row>
    <row r="41" spans="2:18">
      <c r="B41" s="7" t="s">
        <v>204</v>
      </c>
      <c r="H41" s="37"/>
      <c r="I41" s="37"/>
      <c r="K41" s="37"/>
      <c r="L41" s="37"/>
      <c r="M41" s="37"/>
      <c r="N41" s="37"/>
      <c r="O41" s="37"/>
      <c r="P41" s="37"/>
      <c r="R41" s="119"/>
    </row>
    <row r="42" spans="2:18">
      <c r="B42" s="8" t="s">
        <v>226</v>
      </c>
      <c r="D42" s="8" t="s">
        <v>80</v>
      </c>
      <c r="H42" s="140"/>
      <c r="I42" s="140"/>
      <c r="J42" s="140"/>
      <c r="K42" s="41"/>
      <c r="L42" s="41"/>
      <c r="M42" s="41"/>
      <c r="N42" s="41"/>
      <c r="O42" s="41"/>
      <c r="P42" s="41"/>
      <c r="R42" s="8" t="s">
        <v>563</v>
      </c>
    </row>
    <row r="43" spans="2:18">
      <c r="B43" s="8" t="s">
        <v>227</v>
      </c>
      <c r="D43" s="8" t="s">
        <v>80</v>
      </c>
      <c r="H43" s="140"/>
      <c r="I43" s="140"/>
      <c r="J43" s="140"/>
      <c r="K43" s="41"/>
      <c r="L43" s="41"/>
      <c r="M43" s="41"/>
      <c r="N43" s="41"/>
      <c r="O43" s="41"/>
      <c r="P43" s="41"/>
      <c r="R43" s="8" t="s">
        <v>563</v>
      </c>
    </row>
    <row r="44" spans="2:18">
      <c r="B44" s="8" t="s">
        <v>228</v>
      </c>
      <c r="D44" s="8" t="s">
        <v>80</v>
      </c>
      <c r="H44" s="140"/>
      <c r="I44" s="140"/>
      <c r="J44" s="140"/>
      <c r="K44" s="41"/>
      <c r="L44" s="41"/>
      <c r="M44" s="41"/>
      <c r="N44" s="41"/>
      <c r="O44" s="41"/>
      <c r="P44" s="41"/>
      <c r="R44" s="8" t="s">
        <v>563</v>
      </c>
    </row>
    <row r="46" spans="2:18" s="14" customFormat="1">
      <c r="B46" s="14" t="s">
        <v>247</v>
      </c>
    </row>
    <row r="48" spans="2:18">
      <c r="B48" s="7" t="s">
        <v>373</v>
      </c>
    </row>
    <row r="49" spans="2:18">
      <c r="B49" s="8" t="s">
        <v>358</v>
      </c>
      <c r="D49" s="8" t="s">
        <v>80</v>
      </c>
      <c r="H49" s="32">
        <v>95973462.635111362</v>
      </c>
      <c r="I49" s="32">
        <v>94619920.99212943</v>
      </c>
      <c r="J49" s="32">
        <v>114764840.91223219</v>
      </c>
      <c r="K49" s="41"/>
      <c r="L49" s="41"/>
      <c r="M49" s="41"/>
      <c r="N49" s="41"/>
      <c r="O49" s="41"/>
      <c r="P49" s="41"/>
      <c r="R49" s="8" t="s">
        <v>328</v>
      </c>
    </row>
    <row r="50" spans="2:18">
      <c r="B50" s="8" t="s">
        <v>359</v>
      </c>
      <c r="D50" s="8" t="s">
        <v>80</v>
      </c>
      <c r="H50" s="32">
        <v>52186641.654888637</v>
      </c>
      <c r="I50" s="32">
        <v>58966676.657870598</v>
      </c>
      <c r="J50" s="32">
        <v>57727032.277767785</v>
      </c>
      <c r="K50" s="41"/>
      <c r="L50" s="41"/>
      <c r="M50" s="41"/>
      <c r="N50" s="41"/>
      <c r="O50" s="41"/>
      <c r="P50" s="41"/>
      <c r="R50" s="8" t="s">
        <v>329</v>
      </c>
    </row>
    <row r="51" spans="2:18">
      <c r="B51" s="8" t="s">
        <v>360</v>
      </c>
      <c r="D51" s="8" t="s">
        <v>80</v>
      </c>
      <c r="H51" s="32">
        <v>13332997.349999862</v>
      </c>
      <c r="I51" s="32">
        <v>-4033775.4499998912</v>
      </c>
      <c r="J51" s="32">
        <v>4257567.7600001208</v>
      </c>
      <c r="K51" s="41"/>
      <c r="L51" s="41"/>
      <c r="M51" s="41"/>
      <c r="N51" s="41"/>
      <c r="O51" s="41"/>
      <c r="P51" s="41"/>
      <c r="R51" s="8" t="s">
        <v>330</v>
      </c>
    </row>
    <row r="53" spans="2:18">
      <c r="B53" s="7" t="s">
        <v>396</v>
      </c>
    </row>
    <row r="54" spans="2:18">
      <c r="B54" s="8" t="s">
        <v>333</v>
      </c>
      <c r="D54" s="8" t="s">
        <v>80</v>
      </c>
      <c r="H54" s="32">
        <v>62678.673099999993</v>
      </c>
      <c r="I54" s="32">
        <v>149300.92079999999</v>
      </c>
      <c r="J54" s="32">
        <v>126001.21919999999</v>
      </c>
      <c r="K54" s="41"/>
      <c r="L54" s="41"/>
      <c r="M54" s="41"/>
      <c r="N54" s="41"/>
      <c r="O54" s="41"/>
      <c r="P54" s="41"/>
      <c r="R54" s="8" t="s">
        <v>378</v>
      </c>
    </row>
    <row r="55" spans="2:18">
      <c r="B55" s="8" t="s">
        <v>374</v>
      </c>
      <c r="D55" s="8" t="s">
        <v>80</v>
      </c>
      <c r="H55" s="32">
        <v>25069.307497870712</v>
      </c>
      <c r="I55" s="32">
        <v>25085.645318458082</v>
      </c>
      <c r="J55" s="32">
        <v>40786.908784958643</v>
      </c>
      <c r="K55" s="41"/>
      <c r="L55" s="41"/>
      <c r="M55" s="41"/>
      <c r="N55" s="41"/>
      <c r="O55" s="41"/>
      <c r="P55" s="41"/>
      <c r="R55" s="8" t="s">
        <v>379</v>
      </c>
    </row>
    <row r="56" spans="2:18">
      <c r="B56" s="8" t="s">
        <v>375</v>
      </c>
      <c r="D56" s="8" t="s">
        <v>80</v>
      </c>
      <c r="H56" s="32">
        <v>8638139.9810210541</v>
      </c>
      <c r="I56" s="32">
        <v>7372072.1377573246</v>
      </c>
      <c r="J56" s="32">
        <v>8657622.4433206506</v>
      </c>
      <c r="K56" s="41"/>
      <c r="L56" s="41"/>
      <c r="M56" s="41"/>
      <c r="N56" s="41"/>
      <c r="O56" s="41"/>
      <c r="P56" s="41"/>
      <c r="R56" s="8" t="s">
        <v>380</v>
      </c>
    </row>
    <row r="57" spans="2:18">
      <c r="B57" s="8" t="s">
        <v>334</v>
      </c>
      <c r="D57" s="8" t="s">
        <v>80</v>
      </c>
      <c r="H57" s="32">
        <v>941479.55991384038</v>
      </c>
      <c r="I57" s="32">
        <v>948122.07470568479</v>
      </c>
      <c r="J57" s="32">
        <v>896623.43631474697</v>
      </c>
      <c r="K57" s="41"/>
      <c r="L57" s="41"/>
      <c r="M57" s="41"/>
      <c r="N57" s="41"/>
      <c r="O57" s="41"/>
      <c r="P57" s="41"/>
      <c r="R57" s="8" t="s">
        <v>381</v>
      </c>
    </row>
    <row r="58" spans="2:18">
      <c r="B58" s="8" t="s">
        <v>390</v>
      </c>
      <c r="D58" s="8" t="s">
        <v>80</v>
      </c>
      <c r="H58" s="32">
        <v>379443.06701699505</v>
      </c>
      <c r="I58" s="32">
        <v>272702.39978741592</v>
      </c>
      <c r="J58" s="32">
        <v>245267.37996084959</v>
      </c>
      <c r="K58" s="41"/>
      <c r="L58" s="41"/>
      <c r="M58" s="41"/>
      <c r="N58" s="41"/>
      <c r="O58" s="41"/>
      <c r="P58" s="41"/>
      <c r="R58" s="8" t="s">
        <v>392</v>
      </c>
    </row>
    <row r="59" spans="2:18">
      <c r="B59" s="8" t="s">
        <v>391</v>
      </c>
      <c r="D59" s="8" t="s">
        <v>80</v>
      </c>
      <c r="H59" s="32">
        <v>552417.73588101869</v>
      </c>
      <c r="I59" s="32">
        <v>694649.38925039407</v>
      </c>
      <c r="J59" s="32">
        <v>785398.78668973362</v>
      </c>
      <c r="K59" s="41"/>
      <c r="L59" s="41"/>
      <c r="M59" s="41"/>
      <c r="N59" s="41"/>
      <c r="O59" s="41"/>
      <c r="P59" s="41"/>
      <c r="R59" s="8" t="s">
        <v>393</v>
      </c>
    </row>
    <row r="60" spans="2:18">
      <c r="B60" s="8" t="s">
        <v>376</v>
      </c>
      <c r="D60" s="8" t="s">
        <v>80</v>
      </c>
      <c r="H60" s="32">
        <v>280927.35520436661</v>
      </c>
      <c r="I60" s="32">
        <v>298110.95553787274</v>
      </c>
      <c r="J60" s="32">
        <v>404556.57786120451</v>
      </c>
      <c r="K60" s="41"/>
      <c r="L60" s="41"/>
      <c r="M60" s="41"/>
      <c r="N60" s="41"/>
      <c r="O60" s="41"/>
      <c r="P60" s="41"/>
      <c r="R60" s="8" t="s">
        <v>382</v>
      </c>
    </row>
    <row r="61" spans="2:18">
      <c r="B61" s="8" t="s">
        <v>377</v>
      </c>
      <c r="D61" s="8" t="s">
        <v>80</v>
      </c>
      <c r="H61" s="32">
        <v>1850097.579797494</v>
      </c>
      <c r="I61" s="32">
        <v>1912103.8707169078</v>
      </c>
      <c r="J61" s="32">
        <v>1873339.7464666641</v>
      </c>
      <c r="K61" s="41"/>
      <c r="L61" s="41"/>
      <c r="M61" s="41"/>
      <c r="N61" s="41"/>
      <c r="O61" s="41"/>
      <c r="P61" s="41"/>
      <c r="R61" s="8" t="s">
        <v>383</v>
      </c>
    </row>
    <row r="63" spans="2:18">
      <c r="B63" s="7" t="s">
        <v>395</v>
      </c>
    </row>
    <row r="64" spans="2:18">
      <c r="B64" s="8" t="s">
        <v>333</v>
      </c>
      <c r="D64" s="8" t="s">
        <v>80</v>
      </c>
      <c r="H64" s="32">
        <v>209837.29689999999</v>
      </c>
      <c r="I64" s="32">
        <v>472786.24920000002</v>
      </c>
      <c r="J64" s="32">
        <v>399003.86079999997</v>
      </c>
      <c r="K64" s="41"/>
      <c r="L64" s="41"/>
      <c r="M64" s="41"/>
      <c r="N64" s="41"/>
      <c r="O64" s="41"/>
      <c r="P64" s="41"/>
      <c r="R64" s="8" t="s">
        <v>384</v>
      </c>
    </row>
    <row r="65" spans="2:18">
      <c r="B65" s="8" t="s">
        <v>374</v>
      </c>
      <c r="D65" s="8" t="s">
        <v>80</v>
      </c>
      <c r="H65" s="32">
        <v>83927.681623306285</v>
      </c>
      <c r="I65" s="32">
        <v>79437.876841783931</v>
      </c>
      <c r="J65" s="32">
        <v>129158.54448570237</v>
      </c>
      <c r="K65" s="41"/>
      <c r="L65" s="41"/>
      <c r="M65" s="41"/>
      <c r="N65" s="41"/>
      <c r="O65" s="41"/>
      <c r="P65" s="41"/>
      <c r="R65" s="8" t="s">
        <v>385</v>
      </c>
    </row>
    <row r="66" spans="2:18">
      <c r="B66" s="8" t="s">
        <v>375</v>
      </c>
      <c r="D66" s="8" t="s">
        <v>80</v>
      </c>
      <c r="H66" s="32">
        <v>7871372.8113389993</v>
      </c>
      <c r="I66" s="32">
        <v>6763470.699494265</v>
      </c>
      <c r="J66" s="32">
        <v>8478904.0944230184</v>
      </c>
      <c r="K66" s="41"/>
      <c r="L66" s="41"/>
      <c r="M66" s="41"/>
      <c r="N66" s="41"/>
      <c r="O66" s="41"/>
      <c r="P66" s="41"/>
      <c r="R66" s="8" t="s">
        <v>386</v>
      </c>
    </row>
    <row r="67" spans="2:18">
      <c r="B67" s="8" t="s">
        <v>334</v>
      </c>
      <c r="D67" s="8" t="s">
        <v>80</v>
      </c>
      <c r="H67" s="32">
        <v>3151909.8310158891</v>
      </c>
      <c r="I67" s="32">
        <v>3002386.5699013392</v>
      </c>
      <c r="J67" s="32">
        <v>2839307.5483300369</v>
      </c>
      <c r="K67" s="41"/>
      <c r="L67" s="41"/>
      <c r="M67" s="41"/>
      <c r="N67" s="41"/>
      <c r="O67" s="41"/>
      <c r="P67" s="41"/>
      <c r="R67" s="8" t="s">
        <v>387</v>
      </c>
    </row>
    <row r="68" spans="2:18">
      <c r="B68" s="8" t="s">
        <v>390</v>
      </c>
      <c r="D68" s="8" t="s">
        <v>80</v>
      </c>
      <c r="H68" s="32">
        <v>1270309.3982742878</v>
      </c>
      <c r="I68" s="32">
        <v>863557.59932681732</v>
      </c>
      <c r="J68" s="32">
        <v>776680.03654269036</v>
      </c>
      <c r="K68" s="41"/>
      <c r="L68" s="41"/>
      <c r="M68" s="41"/>
      <c r="N68" s="41"/>
      <c r="O68" s="41"/>
      <c r="P68" s="41"/>
      <c r="R68" s="8" t="s">
        <v>426</v>
      </c>
    </row>
    <row r="69" spans="2:18">
      <c r="B69" s="8" t="s">
        <v>391</v>
      </c>
      <c r="D69" s="8" t="s">
        <v>80</v>
      </c>
      <c r="H69" s="32">
        <v>1849398.5070799321</v>
      </c>
      <c r="I69" s="32">
        <v>2199723.0659595812</v>
      </c>
      <c r="J69" s="32">
        <v>2487096.1578508229</v>
      </c>
      <c r="K69" s="41"/>
      <c r="L69" s="41"/>
      <c r="M69" s="41"/>
      <c r="N69" s="41"/>
      <c r="O69" s="41"/>
      <c r="P69" s="41"/>
      <c r="R69" s="8" t="s">
        <v>394</v>
      </c>
    </row>
    <row r="70" spans="2:18">
      <c r="B70" s="8" t="s">
        <v>376</v>
      </c>
      <c r="D70" s="8" t="s">
        <v>80</v>
      </c>
      <c r="H70" s="32">
        <v>940495.92829286936</v>
      </c>
      <c r="I70" s="32">
        <v>944018.02586993435</v>
      </c>
      <c r="J70" s="32">
        <v>1281095.8298938205</v>
      </c>
      <c r="K70" s="41"/>
      <c r="L70" s="41"/>
      <c r="M70" s="41"/>
      <c r="N70" s="41"/>
      <c r="O70" s="41"/>
      <c r="P70" s="41"/>
      <c r="R70" s="8" t="s">
        <v>388</v>
      </c>
    </row>
    <row r="71" spans="2:18">
      <c r="B71" s="8" t="s">
        <v>377</v>
      </c>
      <c r="D71" s="8" t="s">
        <v>80</v>
      </c>
      <c r="H71" s="32">
        <v>6193804.9410611782</v>
      </c>
      <c r="I71" s="32">
        <v>6054995.5906035407</v>
      </c>
      <c r="J71" s="32">
        <v>5932242.5304777697</v>
      </c>
      <c r="K71" s="41"/>
      <c r="L71" s="41"/>
      <c r="M71" s="41"/>
      <c r="N71" s="41"/>
      <c r="O71" s="41"/>
      <c r="P71" s="41"/>
      <c r="R71" s="8" t="s">
        <v>389</v>
      </c>
    </row>
  </sheetData>
  <mergeCells count="2">
    <mergeCell ref="B5:D5"/>
    <mergeCell ref="B8:D8"/>
  </mergeCells>
  <phoneticPr fontId="36"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2">
    <tabColor theme="0" tint="-4.9989318521683403E-2"/>
  </sheetPr>
  <dimension ref="A1"/>
  <sheetViews>
    <sheetView showGridLines="0" zoomScale="85" zoomScaleNormal="85" workbookViewId="0"/>
  </sheetViews>
  <sheetFormatPr defaultColWidth="9.140625" defaultRowHeight="12.75"/>
  <cols>
    <col min="1" max="16384" width="9.140625" style="26"/>
  </cols>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20B76403CB6F24694D915B3C168C0E6" ma:contentTypeVersion="0" ma:contentTypeDescription="Een nieuw document maken." ma:contentTypeScope="" ma:versionID="bf02a18621bcb6325d2ad5de47f96fac">
  <xsd:schema xmlns:xsd="http://www.w3.org/2001/XMLSchema" xmlns:xs="http://www.w3.org/2001/XMLSchema" xmlns:p="http://schemas.microsoft.com/office/2006/metadata/properties" targetNamespace="http://schemas.microsoft.com/office/2006/metadata/properties" ma:root="true" ma:fieldsID="a17e5968c79d9fe2fc9f8835eee23f5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1BDC70D-3516-47CA-A74A-26D77D0F6E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5AD5E579-EDEB-42CD-B662-5E3E21C16D27}">
  <ds:schemaRefs>
    <ds:schemaRef ds:uri="http://schemas.microsoft.com/sharepoint/v3/contenttype/forms"/>
  </ds:schemaRefs>
</ds:datastoreItem>
</file>

<file path=customXml/itemProps3.xml><?xml version="1.0" encoding="utf-8"?>
<ds:datastoreItem xmlns:ds="http://schemas.openxmlformats.org/officeDocument/2006/customXml" ds:itemID="{9CDAB9D1-B815-4B0E-93E7-4496A7FE99F6}">
  <ds:schemaRefs>
    <ds:schemaRef ds:uri="http://purl.org/dc/terms/"/>
    <ds:schemaRef ds:uri="http://www.w3.org/XML/1998/namespace"/>
    <ds:schemaRef ds:uri="http://purl.org/dc/dcmitype/"/>
    <ds:schemaRef ds:uri="http://schemas.openxmlformats.org/package/2006/metadata/core-properties"/>
    <ds:schemaRef ds:uri="http://schemas.microsoft.com/office/infopath/2007/PartnerControls"/>
    <ds:schemaRef ds:uri="http://schemas.microsoft.com/office/2006/documentManagement/types"/>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14</vt:i4>
      </vt:variant>
    </vt:vector>
  </HeadingPairs>
  <TitlesOfParts>
    <vt:vector size="14" baseType="lpstr">
      <vt:lpstr>Titelblad</vt:lpstr>
      <vt:lpstr>Toelichting</vt:lpstr>
      <vt:lpstr>Bronnen en toepassingen</vt:lpstr>
      <vt:lpstr>1. Resultaat</vt:lpstr>
      <vt:lpstr>Input --&gt;</vt:lpstr>
      <vt:lpstr>2. Reguleringsparameters</vt:lpstr>
      <vt:lpstr>3. GAW model</vt:lpstr>
      <vt:lpstr>4. Operationele kosten</vt:lpstr>
      <vt:lpstr>Berekeningen --&gt;</vt:lpstr>
      <vt:lpstr>5. Berekening op parameters</vt:lpstr>
      <vt:lpstr>6. Berekening doorrollen </vt:lpstr>
      <vt:lpstr>7. Berekening bijschatten </vt:lpstr>
      <vt:lpstr>8. Berekening oper. kosten</vt:lpstr>
      <vt:lpstr>9. Berekening x-factor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2018-05-15T11:27:11Z</dcterms:created>
  <dcterms:modified xsi:type="dcterms:W3CDTF">2024-03-27T15:46:07Z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0x010100E20B76403CB6F24694D915B3C168C0E6</vt:lpwstr>
  </property>
</Properties>
</file>