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07 RN\04 Projecten en zaken\Herstel x-factorbesluiten 22-26 RNB E+G\Te versturen definitieve berekeningen 4-4\Elektriciteit\"/>
    </mc:Choice>
  </mc:AlternateContent>
  <xr:revisionPtr revIDLastSave="0" documentId="13_ncr:1_{EC83183A-C4B5-4700-BD27-414EED66B09F}" xr6:coauthVersionLast="47" xr6:coauthVersionMax="47" xr10:uidLastSave="{00000000-0000-0000-0000-000000000000}"/>
  <bookViews>
    <workbookView xWindow="-120" yWindow="-120" windowWidth="29040" windowHeight="15840" tabRatio="894" xr2:uid="{00000000-000D-0000-FFFF-FFFF00000000}"/>
  </bookViews>
  <sheets>
    <sheet name="Titelblad" sheetId="24" r:id="rId1"/>
    <sheet name="Toelichting" sheetId="25" r:id="rId2"/>
    <sheet name="Bronnen en toepassingen" sheetId="26" r:id="rId3"/>
    <sheet name="Bijlage 1" sheetId="21" r:id="rId4"/>
    <sheet name="Input -&gt;" sheetId="15" r:id="rId5"/>
    <sheet name="1) Reguleringsparameters" sheetId="14" r:id="rId6"/>
    <sheet name="2) Kosten 2021" sheetId="8" r:id="rId7"/>
    <sheet name="3) BI, EAV, SO &amp; PV" sheetId="17" r:id="rId8"/>
    <sheet name="Berekeningen --&gt;" sheetId="19" r:id="rId9"/>
    <sheet name="4) Berekeningen op parameters" sheetId="29" r:id="rId10"/>
    <sheet name="5) Totale kosten maatstaf" sheetId="7" r:id="rId11"/>
    <sheet name="6) X-factor + begininkomsten" sheetId="2" r:id="rId12"/>
    <sheet name="7) Q-factor &amp; tariefruimte" sheetId="28" r:id="rId13"/>
  </sheets>
  <definedNames>
    <definedName name="AS2DocOpenMode" hidden="1">"AS2DocumentEdit"</definedName>
    <definedName name="SAPBEXhrIndnt" hidden="1">"Wide"</definedName>
    <definedName name="SAPsysID" hidden="1">"708C5W7SBKP804JT78WJ0JNKI"</definedName>
    <definedName name="SAPwbID" hidden="1">"ARS"</definedName>
    <definedName name="solver_adj" localSheetId="11" hidden="1">'6) X-factor + begininkomsten'!$H$84</definedName>
    <definedName name="solver_adj" localSheetId="12" hidden="1">'7) Q-factor &amp; tariefruimte'!$L$31,'7) Q-factor &amp; tariefruimte'!$M$31,'7) Q-factor &amp; tariefruimte'!$N$31,'7) Q-factor &amp; tariefruimte'!$O$31,'7) Q-factor &amp; tariefruimte'!$P$31,'7) Q-factor &amp; tariefruimte'!$Q$31</definedName>
    <definedName name="solver_cvg" localSheetId="11" hidden="1">0.0001</definedName>
    <definedName name="solver_cvg" localSheetId="12" hidden="1">0.0001</definedName>
    <definedName name="solver_drv" localSheetId="11" hidden="1">1</definedName>
    <definedName name="solver_drv" localSheetId="12" hidden="1">1</definedName>
    <definedName name="solver_eng" localSheetId="11" hidden="1">1</definedName>
    <definedName name="solver_eng" localSheetId="12" hidden="1">1</definedName>
    <definedName name="solver_est" localSheetId="11" hidden="1">1</definedName>
    <definedName name="solver_est" localSheetId="12" hidden="1">1</definedName>
    <definedName name="solver_itr" localSheetId="11" hidden="1">2147483647</definedName>
    <definedName name="solver_itr" localSheetId="12" hidden="1">2147483647</definedName>
    <definedName name="solver_lhs0" localSheetId="11" hidden="1">'6) X-factor + begininkomsten'!$H$94</definedName>
    <definedName name="solver_lhs0" localSheetId="12" hidden="1">'7) Q-factor &amp; tariefruimte'!$Q$28</definedName>
    <definedName name="solver_lhs1" localSheetId="11" hidden="1">'6) X-factor + begininkomsten'!$H$81</definedName>
    <definedName name="solver_lhs1" localSheetId="12" hidden="1">'7) Q-factor &amp; tariefruimte'!$L$28</definedName>
    <definedName name="solver_lhs10" localSheetId="11" hidden="1">'6) X-factor + begininkomsten'!#REF!</definedName>
    <definedName name="solver_lhs10" localSheetId="12" hidden="1">'7) Q-factor &amp; tariefruimte'!#REF!</definedName>
    <definedName name="solver_lhs11" localSheetId="11" hidden="1">'6) X-factor + begininkomsten'!#REF!</definedName>
    <definedName name="solver_lhs11" localSheetId="12" hidden="1">'7) Q-factor &amp; tariefruimte'!#REF!</definedName>
    <definedName name="solver_lhs12" localSheetId="11" hidden="1">'6) X-factor + begininkomsten'!#REF!</definedName>
    <definedName name="solver_lhs12" localSheetId="12" hidden="1">'7) Q-factor &amp; tariefruimte'!#REF!</definedName>
    <definedName name="solver_lhs13" localSheetId="11" hidden="1">'6) X-factor + begininkomsten'!#REF!</definedName>
    <definedName name="solver_lhs13" localSheetId="12" hidden="1">'7) Q-factor &amp; tariefruimte'!#REF!</definedName>
    <definedName name="solver_lhs14" localSheetId="11" hidden="1">'6) X-factor + begininkomsten'!#REF!</definedName>
    <definedName name="solver_lhs14" localSheetId="12" hidden="1">'7) Q-factor &amp; tariefruimte'!#REF!</definedName>
    <definedName name="solver_lhs15" localSheetId="11" hidden="1">'6) X-factor + begininkomsten'!#REF!</definedName>
    <definedName name="solver_lhs15" localSheetId="12" hidden="1">'7) Q-factor &amp; tariefruimte'!#REF!</definedName>
    <definedName name="solver_lhs2" localSheetId="11" hidden="1">'6) X-factor + begininkomsten'!#REF!</definedName>
    <definedName name="solver_lhs2" localSheetId="12" hidden="1">'7) Q-factor &amp; tariefruimte'!$M$28</definedName>
    <definedName name="solver_lhs3" localSheetId="11" hidden="1">'6) X-factor + begininkomsten'!#REF!</definedName>
    <definedName name="solver_lhs3" localSheetId="12" hidden="1">'7) Q-factor &amp; tariefruimte'!$N$28</definedName>
    <definedName name="solver_lhs4" localSheetId="11" hidden="1">'6) X-factor + begininkomsten'!#REF!</definedName>
    <definedName name="solver_lhs4" localSheetId="12" hidden="1">'7) Q-factor &amp; tariefruimte'!$O$28</definedName>
    <definedName name="solver_lhs5" localSheetId="11" hidden="1">'6) X-factor + begininkomsten'!#REF!</definedName>
    <definedName name="solver_lhs5" localSheetId="12" hidden="1">'7) Q-factor &amp; tariefruimte'!$P$28</definedName>
    <definedName name="solver_lhs6" localSheetId="11" hidden="1">'6) X-factor + begininkomsten'!#REF!</definedName>
    <definedName name="solver_lhs6" localSheetId="12" hidden="1">'7) Q-factor &amp; tariefruimte'!$Q$28</definedName>
    <definedName name="solver_lhs7" localSheetId="11" hidden="1">'6) X-factor + begininkomsten'!#REF!</definedName>
    <definedName name="solver_lhs7" localSheetId="12" hidden="1">'7) Q-factor &amp; tariefruimte'!$Q$28</definedName>
    <definedName name="solver_lhs8" localSheetId="11" hidden="1">'6) X-factor + begininkomsten'!#REF!</definedName>
    <definedName name="solver_lhs8" localSheetId="12" hidden="1">'7) Q-factor &amp; tariefruimte'!#REF!</definedName>
    <definedName name="solver_lhs9" localSheetId="11" hidden="1">'6) X-factor + begininkomsten'!$Q$94</definedName>
    <definedName name="solver_lhs9" localSheetId="12" hidden="1">'7) Q-factor &amp; tariefruimte'!#REF!</definedName>
    <definedName name="solver_mip" localSheetId="11" hidden="1">2147483647</definedName>
    <definedName name="solver_mip" localSheetId="12" hidden="1">2147483647</definedName>
    <definedName name="solver_mni" localSheetId="11" hidden="1">30</definedName>
    <definedName name="solver_mni" localSheetId="12" hidden="1">30</definedName>
    <definedName name="solver_mrt" localSheetId="11" hidden="1">0.075</definedName>
    <definedName name="solver_mrt" localSheetId="12" hidden="1">0.075</definedName>
    <definedName name="solver_msl" localSheetId="11" hidden="1">2</definedName>
    <definedName name="solver_msl" localSheetId="12" hidden="1">2</definedName>
    <definedName name="solver_neg" localSheetId="11" hidden="1">2</definedName>
    <definedName name="solver_neg" localSheetId="12" hidden="1">2</definedName>
    <definedName name="solver_nod" localSheetId="11" hidden="1">2147483647</definedName>
    <definedName name="solver_nod" localSheetId="12" hidden="1">2147483647</definedName>
    <definedName name="solver_num" localSheetId="11" hidden="1">1</definedName>
    <definedName name="solver_num" localSheetId="12" hidden="1">6</definedName>
    <definedName name="solver_nwt" localSheetId="11" hidden="1">1</definedName>
    <definedName name="solver_nwt" localSheetId="12" hidden="1">1</definedName>
    <definedName name="solver_opt" localSheetId="11" hidden="1">'6) X-factor + begininkomsten'!$H$94</definedName>
    <definedName name="solver_opt" localSheetId="12" hidden="1">'7) Q-factor &amp; tariefruimte'!$L$31</definedName>
    <definedName name="solver_pre" localSheetId="11" hidden="1">0.0000001</definedName>
    <definedName name="solver_pre" localSheetId="12" hidden="1">0.0000000001</definedName>
    <definedName name="solver_rbv" localSheetId="11" hidden="1">1</definedName>
    <definedName name="solver_rbv" localSheetId="12" hidden="1">1</definedName>
    <definedName name="solver_rel0" localSheetId="11" hidden="1">2</definedName>
    <definedName name="solver_rel0" localSheetId="12" hidden="1">2</definedName>
    <definedName name="solver_rel1" localSheetId="11" hidden="1">2</definedName>
    <definedName name="solver_rel1" localSheetId="12" hidden="1">2</definedName>
    <definedName name="solver_rel10" localSheetId="11" hidden="1">2</definedName>
    <definedName name="solver_rel10" localSheetId="12" hidden="1">2</definedName>
    <definedName name="solver_rel11" localSheetId="11" hidden="1">2</definedName>
    <definedName name="solver_rel11" localSheetId="12" hidden="1">2</definedName>
    <definedName name="solver_rel12" localSheetId="11" hidden="1">2</definedName>
    <definedName name="solver_rel12" localSheetId="12" hidden="1">2</definedName>
    <definedName name="solver_rel13" localSheetId="11" hidden="1">2</definedName>
    <definedName name="solver_rel13" localSheetId="12" hidden="1">2</definedName>
    <definedName name="solver_rel14" localSheetId="11" hidden="1">2</definedName>
    <definedName name="solver_rel14" localSheetId="12" hidden="1">2</definedName>
    <definedName name="solver_rel15" localSheetId="11" hidden="1">2</definedName>
    <definedName name="solver_rel15" localSheetId="12" hidden="1">2</definedName>
    <definedName name="solver_rel2" localSheetId="11" hidden="1">2</definedName>
    <definedName name="solver_rel2" localSheetId="12" hidden="1">2</definedName>
    <definedName name="solver_rel3" localSheetId="11" hidden="1">2</definedName>
    <definedName name="solver_rel3" localSheetId="12" hidden="1">2</definedName>
    <definedName name="solver_rel4" localSheetId="11" hidden="1">2</definedName>
    <definedName name="solver_rel4" localSheetId="12" hidden="1">2</definedName>
    <definedName name="solver_rel5" localSheetId="11" hidden="1">2</definedName>
    <definedName name="solver_rel5" localSheetId="12" hidden="1">2</definedName>
    <definedName name="solver_rel6" localSheetId="11" hidden="1">2</definedName>
    <definedName name="solver_rel6" localSheetId="12" hidden="1">2</definedName>
    <definedName name="solver_rel7" localSheetId="11" hidden="1">2</definedName>
    <definedName name="solver_rel7" localSheetId="12" hidden="1">2</definedName>
    <definedName name="solver_rel8" localSheetId="11" hidden="1">2</definedName>
    <definedName name="solver_rel8" localSheetId="12" hidden="1">2</definedName>
    <definedName name="solver_rel9" localSheetId="11" hidden="1">2</definedName>
    <definedName name="solver_rel9" localSheetId="12" hidden="1">2</definedName>
    <definedName name="solver_rhs0" localSheetId="11" hidden="1">'6) X-factor + begininkomsten'!#REF!</definedName>
    <definedName name="solver_rhs0" localSheetId="12" hidden="1">'7) Q-factor &amp; tariefruimte'!$Q$27</definedName>
    <definedName name="solver_rhs1" localSheetId="11" hidden="1">'6) X-factor + begininkomsten'!$H$94</definedName>
    <definedName name="solver_rhs1" localSheetId="12" hidden="1">'7) Q-factor &amp; tariefruimte'!$L$27</definedName>
    <definedName name="solver_rhs10" localSheetId="11" hidden="1">'6) X-factor + begininkomsten'!$Q$94</definedName>
    <definedName name="solver_rhs10" localSheetId="12" hidden="1">'7) Q-factor &amp; tariefruimte'!#REF!</definedName>
    <definedName name="solver_rhs11" localSheetId="11" hidden="1">'6) X-factor + begininkomsten'!$Q$94</definedName>
    <definedName name="solver_rhs11" localSheetId="12" hidden="1">'7) Q-factor &amp; tariefruimte'!#REF!</definedName>
    <definedName name="solver_rhs12" localSheetId="11" hidden="1">'6) X-factor + begininkomsten'!$Q$94</definedName>
    <definedName name="solver_rhs12" localSheetId="12" hidden="1">'7) Q-factor &amp; tariefruimte'!#REF!</definedName>
    <definedName name="solver_rhs13" localSheetId="11" hidden="1">'6) X-factor + begininkomsten'!$Q$94</definedName>
    <definedName name="solver_rhs13" localSheetId="12" hidden="1">'7) Q-factor &amp; tariefruimte'!#REF!</definedName>
    <definedName name="solver_rhs14" localSheetId="11" hidden="1">'6) X-factor + begininkomsten'!$Q$94</definedName>
    <definedName name="solver_rhs14" localSheetId="12" hidden="1">'7) Q-factor &amp; tariefruimte'!#REF!</definedName>
    <definedName name="solver_rhs15" localSheetId="11" hidden="1">'6) X-factor + begininkomsten'!$Q$94</definedName>
    <definedName name="solver_rhs15" localSheetId="12" hidden="1">'7) Q-factor &amp; tariefruimte'!#REF!</definedName>
    <definedName name="solver_rhs2" localSheetId="11" hidden="1">'6) X-factor + begininkomsten'!#REF!</definedName>
    <definedName name="solver_rhs2" localSheetId="12" hidden="1">'7) Q-factor &amp; tariefruimte'!$M$27</definedName>
    <definedName name="solver_rhs3" localSheetId="11" hidden="1">'6) X-factor + begininkomsten'!#REF!</definedName>
    <definedName name="solver_rhs3" localSheetId="12" hidden="1">'7) Q-factor &amp; tariefruimte'!$N$27</definedName>
    <definedName name="solver_rhs4" localSheetId="11" hidden="1">'6) X-factor + begininkomsten'!#REF!</definedName>
    <definedName name="solver_rhs4" localSheetId="12" hidden="1">'7) Q-factor &amp; tariefruimte'!$O$27</definedName>
    <definedName name="solver_rhs5" localSheetId="11" hidden="1">'6) X-factor + begininkomsten'!#REF!</definedName>
    <definedName name="solver_rhs5" localSheetId="12" hidden="1">'7) Q-factor &amp; tariefruimte'!$P$27</definedName>
    <definedName name="solver_rhs6" localSheetId="11" hidden="1">'6) X-factor + begininkomsten'!#REF!</definedName>
    <definedName name="solver_rhs6" localSheetId="12" hidden="1">'7) Q-factor &amp; tariefruimte'!$Q$27</definedName>
    <definedName name="solver_rhs7" localSheetId="11" hidden="1">'6) X-factor + begininkomsten'!#REF!</definedName>
    <definedName name="solver_rhs7" localSheetId="12" hidden="1">'7) Q-factor &amp; tariefruimte'!$Q$27</definedName>
    <definedName name="solver_rhs8" localSheetId="11" hidden="1">'6) X-factor + begininkomsten'!#REF!</definedName>
    <definedName name="solver_rhs8" localSheetId="12" hidden="1">'7) Q-factor &amp; tariefruimte'!#REF!</definedName>
    <definedName name="solver_rhs9" localSheetId="11" hidden="1">'6) X-factor + begininkomsten'!#REF!</definedName>
    <definedName name="solver_rhs9" localSheetId="12" hidden="1">'7) Q-factor &amp; tariefruimte'!#REF!</definedName>
    <definedName name="solver_rlx" localSheetId="11" hidden="1">2</definedName>
    <definedName name="solver_rlx" localSheetId="12" hidden="1">2</definedName>
    <definedName name="solver_rsd" localSheetId="11" hidden="1">0</definedName>
    <definedName name="solver_rsd" localSheetId="12" hidden="1">0</definedName>
    <definedName name="solver_scl" localSheetId="11" hidden="1">1</definedName>
    <definedName name="solver_scl" localSheetId="12" hidden="1">1</definedName>
    <definedName name="solver_sho" localSheetId="11" hidden="1">2</definedName>
    <definedName name="solver_sho" localSheetId="12" hidden="1">2</definedName>
    <definedName name="solver_ssz" localSheetId="11" hidden="1">100</definedName>
    <definedName name="solver_ssz" localSheetId="12" hidden="1">100</definedName>
    <definedName name="solver_tim" localSheetId="11" hidden="1">2147483647</definedName>
    <definedName name="solver_tim" localSheetId="12" hidden="1">2147483647</definedName>
    <definedName name="solver_tol" localSheetId="11" hidden="1">0.01</definedName>
    <definedName name="solver_tol" localSheetId="12" hidden="1">0.01</definedName>
    <definedName name="solver_typ" localSheetId="11" hidden="1">1</definedName>
    <definedName name="solver_typ" localSheetId="12" hidden="1">1</definedName>
    <definedName name="solver_val" localSheetId="11" hidden="1">0</definedName>
    <definedName name="solver_val" localSheetId="12" hidden="1">0</definedName>
    <definedName name="solver_ver" localSheetId="11" hidden="1">3</definedName>
    <definedName name="solver_ver" localSheetId="12"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7" l="1"/>
  <c r="N17" i="7"/>
  <c r="O17" i="7"/>
  <c r="P17" i="7"/>
  <c r="Q17" i="7"/>
  <c r="L17" i="7"/>
  <c r="M12" i="7"/>
  <c r="N12" i="7"/>
  <c r="O12" i="7"/>
  <c r="P12" i="7"/>
  <c r="Q12" i="7"/>
  <c r="M13" i="7"/>
  <c r="M32" i="2" s="1"/>
  <c r="N13" i="7"/>
  <c r="N32" i="2" s="1"/>
  <c r="O13" i="7"/>
  <c r="O32" i="2" s="1"/>
  <c r="P13" i="7"/>
  <c r="P32" i="2" s="1"/>
  <c r="Q13" i="7"/>
  <c r="Q32" i="2" s="1"/>
  <c r="M14" i="7"/>
  <c r="N14" i="7"/>
  <c r="O14" i="7"/>
  <c r="P14" i="7"/>
  <c r="Q14" i="7"/>
  <c r="M15" i="7"/>
  <c r="N15" i="7"/>
  <c r="O15" i="7"/>
  <c r="P15" i="7"/>
  <c r="Q15" i="7"/>
  <c r="L13" i="7"/>
  <c r="L32" i="2" s="1"/>
  <c r="L14" i="7"/>
  <c r="L15" i="7"/>
  <c r="L12" i="7"/>
  <c r="J16" i="17"/>
  <c r="J12" i="7" l="1"/>
  <c r="J15" i="7"/>
  <c r="J14" i="7"/>
  <c r="J17" i="7"/>
  <c r="J13" i="7"/>
  <c r="J15" i="8"/>
  <c r="J14" i="8"/>
  <c r="J13" i="8"/>
  <c r="J12" i="8"/>
  <c r="H25" i="7" l="1"/>
  <c r="H31" i="7"/>
  <c r="L27" i="29" l="1"/>
  <c r="H26" i="29"/>
  <c r="H25" i="29"/>
  <c r="L18" i="28" l="1"/>
  <c r="M18" i="28"/>
  <c r="N18" i="28"/>
  <c r="O18" i="28"/>
  <c r="P18" i="28"/>
  <c r="Q18" i="28"/>
  <c r="H99" i="2" l="1"/>
  <c r="L28" i="29" s="1"/>
  <c r="H30" i="29" s="1"/>
  <c r="H15" i="2"/>
  <c r="Q15" i="29"/>
  <c r="L15" i="29"/>
  <c r="L19" i="29" s="1"/>
  <c r="M19" i="29" s="1"/>
  <c r="N21" i="29" s="1"/>
  <c r="N19" i="29" l="1"/>
  <c r="O19" i="29" s="1"/>
  <c r="P19" i="29" s="1"/>
  <c r="Q19" i="29" s="1"/>
  <c r="H16" i="2"/>
  <c r="H28" i="2"/>
  <c r="F28" i="21"/>
  <c r="O21" i="29" l="1"/>
  <c r="P21" i="29"/>
  <c r="H17" i="2"/>
  <c r="Q41" i="2"/>
  <c r="O41" i="2"/>
  <c r="N41" i="2"/>
  <c r="Q40" i="2"/>
  <c r="O40" i="2"/>
  <c r="N40" i="2"/>
  <c r="Q39" i="2"/>
  <c r="O39" i="2"/>
  <c r="N39" i="2"/>
  <c r="Q38" i="2"/>
  <c r="P38" i="2"/>
  <c r="O38" i="2"/>
  <c r="N38" i="2"/>
  <c r="Q21" i="29" l="1"/>
  <c r="H19" i="2" s="1"/>
  <c r="H18" i="2"/>
  <c r="M32" i="28" l="1"/>
  <c r="N32" i="28"/>
  <c r="O32" i="28"/>
  <c r="P32" i="28"/>
  <c r="Q32" i="28"/>
  <c r="L32" i="28"/>
  <c r="J18" i="28" l="1"/>
  <c r="L25" i="2" l="1"/>
  <c r="M25" i="2"/>
  <c r="I16" i="21"/>
  <c r="J16" i="21"/>
  <c r="K16" i="21"/>
  <c r="L16" i="21"/>
  <c r="M16" i="21"/>
  <c r="H16" i="21"/>
  <c r="B71" i="25"/>
  <c r="B59" i="25"/>
  <c r="B60" i="25" s="1"/>
  <c r="N25" i="2"/>
  <c r="O25" i="2"/>
  <c r="P25" i="2"/>
  <c r="Q25" i="2"/>
  <c r="M20" i="7"/>
  <c r="N20" i="7"/>
  <c r="O20" i="7"/>
  <c r="P20" i="7"/>
  <c r="Q20" i="7"/>
  <c r="L20" i="7"/>
  <c r="F22" i="21"/>
  <c r="F21" i="21"/>
  <c r="J21" i="17"/>
  <c r="J12" i="17"/>
  <c r="J20" i="7" l="1"/>
  <c r="B66" i="25"/>
  <c r="B61" i="25"/>
  <c r="B65" i="25" s="1"/>
  <c r="J25" i="2"/>
  <c r="Q46" i="2" s="1"/>
  <c r="M25" i="21" s="1"/>
  <c r="H26" i="7" l="1"/>
  <c r="L28" i="7" s="1"/>
  <c r="L46" i="2"/>
  <c r="O28" i="7"/>
  <c r="O35" i="2" s="1"/>
  <c r="N28" i="7"/>
  <c r="N35" i="2" s="1"/>
  <c r="P28" i="7"/>
  <c r="P35" i="2" s="1"/>
  <c r="M46" i="2"/>
  <c r="I25" i="21" s="1"/>
  <c r="P46" i="2"/>
  <c r="L25" i="21" s="1"/>
  <c r="N46" i="2"/>
  <c r="J25" i="21" s="1"/>
  <c r="O46" i="2"/>
  <c r="K25" i="21" s="1"/>
  <c r="H22" i="2"/>
  <c r="H15" i="28"/>
  <c r="M28" i="7" l="1"/>
  <c r="M35" i="2" s="1"/>
  <c r="Q28" i="7"/>
  <c r="Q35" i="2" s="1"/>
  <c r="L55" i="2"/>
  <c r="L35" i="2"/>
  <c r="J46" i="2"/>
  <c r="F25" i="21" s="1"/>
  <c r="H25" i="21"/>
  <c r="J28" i="7" l="1"/>
  <c r="Q55" i="2" l="1"/>
  <c r="O55" i="2"/>
  <c r="N55" i="2"/>
  <c r="P55" i="2"/>
  <c r="M55" i="2"/>
  <c r="J55" i="2" l="1"/>
  <c r="J32" i="2"/>
  <c r="H100" i="2" l="1"/>
  <c r="L102" i="2" s="1"/>
  <c r="L103" i="2" s="1"/>
  <c r="H12" i="21" s="1"/>
  <c r="H31" i="2"/>
  <c r="H54" i="2" s="1"/>
  <c r="H57" i="2" s="1"/>
  <c r="H59" i="2" s="1"/>
  <c r="H60" i="2" s="1"/>
  <c r="Q102" i="2" l="1"/>
  <c r="Q103" i="2" s="1"/>
  <c r="M12" i="21" s="1"/>
  <c r="N102" i="2"/>
  <c r="P102" i="2"/>
  <c r="P103" i="2" s="1"/>
  <c r="O102" i="2"/>
  <c r="O103" i="2" s="1"/>
  <c r="M102" i="2"/>
  <c r="M103" i="2" s="1"/>
  <c r="Q21" i="28" l="1"/>
  <c r="M21" i="28"/>
  <c r="I12" i="21"/>
  <c r="O21" i="28"/>
  <c r="K12" i="21"/>
  <c r="P21" i="28"/>
  <c r="L12" i="21"/>
  <c r="L21" i="28"/>
  <c r="J102" i="2"/>
  <c r="N103" i="2"/>
  <c r="J12" i="21" s="1"/>
  <c r="J35" i="2" l="1"/>
  <c r="H51" i="2" s="1"/>
  <c r="H63" i="2" s="1"/>
  <c r="H66" i="2" s="1"/>
  <c r="H75" i="2" s="1"/>
  <c r="F12" i="21"/>
  <c r="J103" i="2"/>
  <c r="N21" i="28"/>
  <c r="H67" i="2" l="1"/>
  <c r="H68" i="2" l="1"/>
  <c r="H69" i="2" l="1"/>
  <c r="H70" i="2" l="1"/>
  <c r="M38" i="2" l="1"/>
  <c r="M39" i="2" l="1"/>
  <c r="P39" i="2"/>
  <c r="P41" i="2" l="1"/>
  <c r="P40" i="2"/>
  <c r="M41" i="2"/>
  <c r="M40" i="2"/>
  <c r="L38" i="2" l="1"/>
  <c r="J38" i="2" s="1"/>
  <c r="H76" i="2" s="1"/>
  <c r="L39" i="2" l="1"/>
  <c r="J39" i="2" s="1"/>
  <c r="H77" i="2" s="1"/>
  <c r="L40" i="2" l="1"/>
  <c r="J40" i="2" s="1"/>
  <c r="H78" i="2" s="1"/>
  <c r="L41" i="2" l="1"/>
  <c r="J41" i="2" s="1"/>
  <c r="H79" i="2" s="1"/>
  <c r="H85" i="2" s="1"/>
  <c r="H106" i="2" l="1"/>
  <c r="H107" i="2" s="1"/>
  <c r="H86" i="2"/>
  <c r="H88" i="2" s="1"/>
  <c r="H81" i="2"/>
  <c r="O109" i="2" l="1"/>
  <c r="O110" i="2" s="1"/>
  <c r="M109" i="2"/>
  <c r="M110" i="2" s="1"/>
  <c r="N109" i="2"/>
  <c r="N110" i="2" s="1"/>
  <c r="Q109" i="2"/>
  <c r="Q110" i="2" s="1"/>
  <c r="L109" i="2"/>
  <c r="L110" i="2" s="1"/>
  <c r="P109" i="2"/>
  <c r="P110" i="2" s="1"/>
  <c r="H89" i="2"/>
  <c r="H90" i="2" s="1"/>
  <c r="H91" i="2" s="1"/>
  <c r="H92" i="2" s="1"/>
  <c r="H94" i="2" l="1"/>
  <c r="N113" i="2"/>
  <c r="N114" i="2" s="1"/>
  <c r="J13" i="21"/>
  <c r="P113" i="2"/>
  <c r="P114" i="2" s="1"/>
  <c r="L13" i="21"/>
  <c r="M113" i="2"/>
  <c r="M114" i="2" s="1"/>
  <c r="I13" i="21"/>
  <c r="Q113" i="2"/>
  <c r="Q114" i="2" s="1"/>
  <c r="M13" i="21"/>
  <c r="J109" i="2"/>
  <c r="H13" i="21"/>
  <c r="L113" i="2"/>
  <c r="L114" i="2" s="1"/>
  <c r="J110" i="2"/>
  <c r="J113" i="2" s="1"/>
  <c r="J114" i="2" s="1"/>
  <c r="J22" i="28" s="1"/>
  <c r="O113" i="2"/>
  <c r="O114" i="2" s="1"/>
  <c r="K13" i="21"/>
  <c r="L22" i="28" l="1"/>
  <c r="H15" i="21"/>
  <c r="L15" i="21"/>
  <c r="P22" i="28"/>
  <c r="M15" i="21"/>
  <c r="Q22" i="28"/>
  <c r="F13" i="21"/>
  <c r="O22" i="28"/>
  <c r="K15" i="21"/>
  <c r="I15" i="21"/>
  <c r="M22" i="28"/>
  <c r="N22" i="28"/>
  <c r="J15" i="21"/>
  <c r="N28" i="28" l="1"/>
  <c r="N36" i="28"/>
  <c r="N27" i="28"/>
  <c r="M36" i="28"/>
  <c r="M28" i="28"/>
  <c r="M27" i="28"/>
  <c r="Q36" i="28"/>
  <c r="Q28" i="28"/>
  <c r="Q27" i="28"/>
  <c r="O27" i="28"/>
  <c r="O36" i="28"/>
  <c r="O28" i="28"/>
  <c r="P28" i="28"/>
  <c r="P27" i="28"/>
  <c r="P36" i="28"/>
  <c r="L27" i="28"/>
  <c r="L36" i="28"/>
  <c r="L28" i="28"/>
  <c r="J27" i="28" l="1"/>
  <c r="I32" i="21"/>
  <c r="M37" i="28"/>
  <c r="L32" i="21"/>
  <c r="P37" i="28"/>
  <c r="O37" i="28"/>
  <c r="K32" i="21"/>
  <c r="Q37" i="28"/>
  <c r="M32" i="21"/>
  <c r="J28" i="28"/>
  <c r="J32" i="21"/>
  <c r="N37" i="28"/>
  <c r="H32" i="21"/>
  <c r="L37" i="28"/>
  <c r="J36" i="28"/>
  <c r="F32" i="21" l="1"/>
  <c r="P38" i="28"/>
  <c r="L33" i="21"/>
  <c r="N38" i="28"/>
  <c r="J33" i="21"/>
  <c r="M33" i="21"/>
  <c r="Q38" i="28"/>
  <c r="I33" i="21"/>
  <c r="M38" i="28"/>
  <c r="L38" i="28"/>
  <c r="H33" i="21"/>
  <c r="J37" i="28"/>
  <c r="K33" i="21"/>
  <c r="O38" i="28"/>
  <c r="N39" i="28" l="1"/>
  <c r="J34" i="21"/>
  <c r="F33" i="21"/>
  <c r="Q39" i="28"/>
  <c r="M34" i="21"/>
  <c r="M39" i="28"/>
  <c r="I34" i="21"/>
  <c r="O39" i="28"/>
  <c r="K34" i="21"/>
  <c r="L39" i="28"/>
  <c r="H34" i="21"/>
  <c r="J38" i="28"/>
  <c r="P39" i="28"/>
  <c r="L34" i="21"/>
  <c r="K35" i="21" l="1"/>
  <c r="O40" i="28"/>
  <c r="K36" i="21" s="1"/>
  <c r="F34" i="21"/>
  <c r="L40" i="28"/>
  <c r="H35" i="21"/>
  <c r="J39" i="28"/>
  <c r="M40" i="28"/>
  <c r="I36" i="21" s="1"/>
  <c r="I35" i="21"/>
  <c r="M35" i="21"/>
  <c r="Q40" i="28"/>
  <c r="M36" i="21" s="1"/>
  <c r="P40" i="28"/>
  <c r="L36" i="21" s="1"/>
  <c r="L35" i="21"/>
  <c r="N40" i="28"/>
  <c r="J36" i="21" s="1"/>
  <c r="J35" i="21"/>
  <c r="F35" i="21" l="1"/>
  <c r="J40" i="28"/>
  <c r="H36" i="21"/>
  <c r="F36"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65"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<sst xmlns="http://schemas.openxmlformats.org/spreadsheetml/2006/main" count="585" uniqueCount="336">
  <si>
    <t>Ophalen gegevens</t>
  </si>
  <si>
    <t>Eenheid</t>
  </si>
  <si>
    <t>Enexis</t>
  </si>
  <si>
    <t>Liander</t>
  </si>
  <si>
    <t>RENDO</t>
  </si>
  <si>
    <t>Stedin</t>
  </si>
  <si>
    <t>Westland</t>
  </si>
  <si>
    <t>#</t>
  </si>
  <si>
    <t>Toelichting</t>
  </si>
  <si>
    <t>Berekende waarde</t>
  </si>
  <si>
    <t>Productiviteitsverandering</t>
  </si>
  <si>
    <t>%</t>
  </si>
  <si>
    <t>WACC</t>
  </si>
  <si>
    <t>Op basis van</t>
  </si>
  <si>
    <t>CPI</t>
  </si>
  <si>
    <t>EUR, pp 2021</t>
  </si>
  <si>
    <t>EUR/#, pp 2021</t>
  </si>
  <si>
    <t>WACC-percentages voor berekening kapitaalkosten (reëel, voor belasting)</t>
  </si>
  <si>
    <t>Eindinkomstenniveau voor berekening x-factor (excl. Inkoop Transport)</t>
  </si>
  <si>
    <t>Maatstaf</t>
  </si>
  <si>
    <t>Samengestelde Output voor Maatstaf</t>
  </si>
  <si>
    <t xml:space="preserve">Bron </t>
  </si>
  <si>
    <t>Bron</t>
  </si>
  <si>
    <t>ná FNOP- en HS-overdracht</t>
  </si>
  <si>
    <t>Bijlage 1</t>
  </si>
  <si>
    <t>Deze tabel bevat een overzicht van de gehanteerde gegevens (op hoofdlijnen) om te komen tot vaststelling van de x- en q-factor voor regionale netbeheerders elektriciteit</t>
  </si>
  <si>
    <t>Resultaten x-factor en q-factor elektriciteit</t>
  </si>
  <si>
    <t>Gegevens berekening x-factor</t>
  </si>
  <si>
    <t>X-factor</t>
  </si>
  <si>
    <t>Q-factor</t>
  </si>
  <si>
    <t>Overige parameters</t>
  </si>
  <si>
    <t>Samengestelde Output (SO)</t>
  </si>
  <si>
    <t>Aandeel SO</t>
  </si>
  <si>
    <t>Coteq</t>
  </si>
  <si>
    <t xml:space="preserve"> </t>
  </si>
  <si>
    <t>Beschrijving gegevens</t>
  </si>
  <si>
    <t>Omschrijving</t>
  </si>
  <si>
    <t>Beginkomsten 2021</t>
  </si>
  <si>
    <t>in EUR, pp 2021</t>
  </si>
  <si>
    <t>Inschatting productiviteitsverandering 2021-2026</t>
  </si>
  <si>
    <t>Netto; WACC EI2026</t>
  </si>
  <si>
    <t>Netto; WACC BI2021</t>
  </si>
  <si>
    <t>Totale begininkomsten 2021</t>
  </si>
  <si>
    <t>SO Totaal voor Maatstaf 2022-2026</t>
  </si>
  <si>
    <t>WACC EI2026</t>
  </si>
  <si>
    <t>Opmerkingen</t>
  </si>
  <si>
    <t>Tabblad 1 - Reguleringsparameters</t>
  </si>
  <si>
    <t>Begininkomsten</t>
  </si>
  <si>
    <t>EAV</t>
  </si>
  <si>
    <t>SO</t>
  </si>
  <si>
    <t>RNBs Elektriciteit 2017-2021 gewijzigd X-factormodel</t>
  </si>
  <si>
    <t>Toelichting bijzonderheden</t>
  </si>
  <si>
    <t>EUR, pp jaar</t>
  </si>
  <si>
    <t>EUR, pp 2022</t>
  </si>
  <si>
    <t>Samengestelde output</t>
  </si>
  <si>
    <t>SO Totaal voor Maatstaf 2021-2026</t>
  </si>
  <si>
    <t>Q-bedrag te verrekenen</t>
  </si>
  <si>
    <t>Q-bedrag te verrekenen Coteq</t>
  </si>
  <si>
    <t>Q-bedrag te verrekenen Enexis</t>
  </si>
  <si>
    <t>Q-bedrag te verrekenen Liander</t>
  </si>
  <si>
    <t>Q-bedrag te verrekenen RENDO</t>
  </si>
  <si>
    <t>Q-bedrag te verrekenen Westland</t>
  </si>
  <si>
    <t>Beschrijving</t>
  </si>
  <si>
    <t>EUR, pp 2026</t>
  </si>
  <si>
    <t>Efficiënte kosten per eenheid SO</t>
  </si>
  <si>
    <t>EUR/#, pp 2026</t>
  </si>
  <si>
    <t>Efficiënte eindinkomsten exclusief inkoopkosten transport</t>
  </si>
  <si>
    <t>Begininkomsten exclusief inkoopkosten transport (na toepassing one-off)</t>
  </si>
  <si>
    <t>Efficiënte inkoopkosten transport 2026</t>
  </si>
  <si>
    <t>Efficiënte kosten 2026 per eenheid SO</t>
  </si>
  <si>
    <t>Begininkomsten t.b.v. berekening x-factor</t>
  </si>
  <si>
    <t>Efficiënte eindinkomsten</t>
  </si>
  <si>
    <t>Berekening q-factor</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</si>
  <si>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</si>
  <si>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</si>
  <si>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</si>
  <si>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</si>
  <si>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</si>
  <si>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</si>
  <si>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</si>
  <si>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</si>
  <si>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</si>
  <si>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</si>
  <si>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</si>
  <si>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Is of wordt gepubliceerd? (j/n)</t>
  </si>
  <si>
    <t>Juridisch integraal onderdeel van bovenstaande besluit(en) (j/n)?</t>
  </si>
  <si>
    <t>Bevat bedrijfsvertrouwelijke gegevens? (j/n)</t>
  </si>
  <si>
    <t>Opmerkingen openbare versiegeschiedenis</t>
  </si>
  <si>
    <t>Toelichting bij dit bestand</t>
  </si>
  <si>
    <t>Toelichting bij de werking van dit model</t>
  </si>
  <si>
    <t>Samenhang van dit bestand met andere bestanden</t>
  </si>
  <si>
    <t>GAW model</t>
  </si>
  <si>
    <t>Schematische weergave en/of inhoudsopgave van de werking van dit model</t>
  </si>
  <si>
    <t>Toelichting samenhang tabbladen:</t>
  </si>
  <si>
    <t>Inputs</t>
  </si>
  <si>
    <t>Berekeningen</t>
  </si>
  <si>
    <t>Resultaat</t>
  </si>
  <si>
    <t>Legenda voor gebruik van celkleuren en tabkleuren</t>
  </si>
  <si>
    <t>Celkleur getallen</t>
  </si>
  <si>
    <t>Data en input (bron wordt vermeld)</t>
  </si>
  <si>
    <t>Waarde die zonder berekening wordt overgenomen uit een andere cel</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</si>
  <si>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</si>
  <si>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</si>
  <si>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</si>
  <si>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</si>
  <si>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</si>
  <si>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</si>
  <si>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</si>
  <si>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</si>
  <si>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</si>
  <si>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</si>
  <si>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</si>
  <si>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</si>
  <si>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</si>
  <si>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</si>
  <si>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</si>
  <si>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</si>
  <si>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</si>
  <si>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</si>
  <si>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</si>
  <si>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</si>
  <si>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</si>
  <si>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</si>
  <si>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</si>
  <si>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</si>
  <si>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</si>
  <si>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</si>
  <si>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</si>
  <si>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</si>
  <si>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</si>
  <si>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</si>
  <si>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</si>
  <si>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</si>
  <si>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</si>
  <si>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</si>
  <si>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Duiding van specifieke Excel-toepassingen en overige bijzonderheden</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</si>
  <si>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</si>
  <si>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</si>
  <si>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Oplosser</t>
  </si>
  <si>
    <t>Gebruik van oplosser</t>
  </si>
  <si>
    <t xml:space="preserve">Op het tabblad ‘X-factor berekening’ berekent de ACM de totale verwachte efficiënte kosten. Vervolgens gebruikt de ACM de oplosser om de begininkomsten te berekenen zodanig dat gesommeerd over de reguleringsperiode (2022-2026) de verwachte efficiënte kosten terugverdiend kunnen worden. De totale verwachte efficiënte kosten zijn daarbij gelijk aan de totale toegestane inkomsten. 
Indien de verwachte efficiënte kosten op het tabblad ‘X-factorberekening’ worden aangepast, dan veranderen de begininkomsten niet automatisch mee. In dat geval moet de oplosser worden gebruikt om de begininkomsten opnieuw te berekenen.  De begininkomsten met de oplosserworden als volgt berekend:
Op het tabblad 'X-factor berekening' gebruikt de ACM de invoegtoepassing "oplosser". Uitleg over hoe deze invoegtoepassing ingeladen kan worden is te vinden via deze link:
</t>
  </si>
  <si>
    <t>https://support.office.com/nl-nl/article/de-invoegtoepassing-oplosser-laden-in-excel-612926fc-d53b-46b4-872c-e24772f078ca</t>
  </si>
  <si>
    <t>1. De oplosser kan worden geopend via Gegevens – Analysis – Solver
2. Klik op “Solve” om de begininkomsten te berekenen.
3. Er verschijnt nu een pop-up. Controleer of “Keep solver solution” is aangevinkt. Klik vervolgens op “OK”.
4. De begininkomsten zijn nu opnieuw berekend.</t>
  </si>
  <si>
    <t>Kosten</t>
  </si>
  <si>
    <t>Investeringen</t>
  </si>
  <si>
    <t>2) Kosten 2015-2020</t>
  </si>
  <si>
    <t>3) BI, EAV, SO &amp; PV</t>
  </si>
  <si>
    <t>1) Reguleringsparameters</t>
  </si>
  <si>
    <t>n.v.t.</t>
  </si>
  <si>
    <t>Berekening inkomsten exclusief correctie afschrijvingsklif</t>
  </si>
  <si>
    <t>Correctie afschrijvingsklif</t>
  </si>
  <si>
    <t>X-factor inclusief correctie</t>
  </si>
  <si>
    <t>Afgeronde x-factor</t>
  </si>
  <si>
    <t>Inschatting kosten incl. correctie klif 2022</t>
  </si>
  <si>
    <t>Inschatting kosten incl. correctie klif 2023</t>
  </si>
  <si>
    <t>Inschatting kosten incl. correctie klif 2024</t>
  </si>
  <si>
    <t>Inschatting kosten incl. correctie klif 2025</t>
  </si>
  <si>
    <t>Inschatting kosten incl. correctie klif 2026</t>
  </si>
  <si>
    <t>Inschatting kosten incl. correctie klif totaal</t>
  </si>
  <si>
    <t>Berekening q-factor (met behulp van oplosser)</t>
  </si>
  <si>
    <t>Inkomsten &amp; x-factor</t>
  </si>
  <si>
    <t>Afgeronde q-factor</t>
  </si>
  <si>
    <t>Totale correctie afschrijvingsklif Coteq</t>
  </si>
  <si>
    <t>Totale correctie afschrijvingsklif RENDO</t>
  </si>
  <si>
    <t>Totale correctie afschrijvingsklif Westland</t>
  </si>
  <si>
    <t>Op dit tabblad berekenen we de q-factor en de indicatieve tariefruimte</t>
  </si>
  <si>
    <t>Indicatieve tariefruimte 2022</t>
  </si>
  <si>
    <t>Indicatieve tariefruimte 2023</t>
  </si>
  <si>
    <t>Indicatieve tariefruimte 2024</t>
  </si>
  <si>
    <t>Indicatieve tariefruimte 2025</t>
  </si>
  <si>
    <t>Indicatieve tariefruimte 2026</t>
  </si>
  <si>
    <t>EUR, pp 2023</t>
  </si>
  <si>
    <t>EUR, pp 2024</t>
  </si>
  <si>
    <t>EUR, pp 2025</t>
  </si>
  <si>
    <t>Kosten 2021 per netbeheerder</t>
  </si>
  <si>
    <t>WACC BI 2021</t>
  </si>
  <si>
    <t>Begininkomsten voor berekening x-factor exclusief inkoopkosten transport</t>
  </si>
  <si>
    <t>Eindinkomsten</t>
  </si>
  <si>
    <t>Berekening begin- en eindinkomsten na correctie afschrijvingsklif</t>
  </si>
  <si>
    <t>Eindinkomsten voor berekening x-factor exclusief inkoopkosten transport</t>
  </si>
  <si>
    <t>X-factor berekening</t>
  </si>
  <si>
    <t>X-factor voor de periode 2022-2026 (onafgerond)</t>
  </si>
  <si>
    <t>X-factor voor de periode 2022-2026 (afgerond)</t>
  </si>
  <si>
    <t>Begininkomsten exclusief inkoopkosten transport</t>
  </si>
  <si>
    <t>BI - x + totale bedrag dat verrekend moet worden in q-factor</t>
  </si>
  <si>
    <t>Begininkomsten transport incl. correctie klif</t>
  </si>
  <si>
    <t>Eindinkomsten transport incl. correctie klif</t>
  </si>
  <si>
    <t>Kosten per eenheid SO inclusief inkoopkosten transport</t>
  </si>
  <si>
    <t>Efficiënte kosten per eenheid SO inclusief inkoopkosten transport</t>
  </si>
  <si>
    <t>Berekening indicatieve tariefruimte exclusief inkoopkosten transport</t>
  </si>
  <si>
    <t>Totale correctie afschrijvingsklif Stedin + Enduris</t>
  </si>
  <si>
    <t>Q-bedrag te verrekenen Stedin + Enduris</t>
  </si>
  <si>
    <t>Constante</t>
  </si>
  <si>
    <t>Rijtotaal</t>
  </si>
  <si>
    <t>Begininkomstenniveau 2021 (excl. Inkoop Transport)</t>
  </si>
  <si>
    <t>Totale correctie afschrijvingsklif Liander</t>
  </si>
  <si>
    <t>Totale correctie afschrijvingsklif Enexis + Endinet</t>
  </si>
  <si>
    <t>Enexis incl. BV</t>
  </si>
  <si>
    <t>Reële WACC begininkomstenjaar 2021</t>
  </si>
  <si>
    <t>Reële WACC eindinkomstenjaar 2026</t>
  </si>
  <si>
    <t>Efficiënte kosten 2021 per netbeheerder</t>
  </si>
  <si>
    <t>Op dit blad berekenen we de efficiënte kosten 2021 zoals we die hanteren voor de vergelijking met de begininkomsten en de gemiddelde totale kosten voor de maatstafberekening.</t>
  </si>
  <si>
    <t xml:space="preserve">Op dit tabblad berekenen we de x-factor. Hiervoor berekenen we de begininkomsten exclusief inkoopkosten transport, en de efficiënte eindinkomsten exclusief inkoopkosten transport. De begininkomsten worden gebaseerd op de efficiënte kosten inclusief een redelijk rendement, de eindinkomsten op de toepassing van de maatstaf. Ook corrigeren we op dit tabblad voor de afschrijvingsklif. </t>
  </si>
  <si>
    <t>Inschatting jaarlijkse CPI voor de periode 2021-2026 (afgerond)</t>
  </si>
  <si>
    <t>Eindinkomsten 2026 sector</t>
  </si>
  <si>
    <t>Inschatting kosten excl. Inkoopkosten transport en correctie klif</t>
  </si>
  <si>
    <t xml:space="preserve">Berekening totale kosten inclusief correctie &amp; q-bedrag </t>
  </si>
  <si>
    <t>BI - x + q-factor</t>
  </si>
  <si>
    <t>Berekening aandeel maatstaf</t>
  </si>
  <si>
    <t>De ACM gebruikt de oplosser om de begininkomsten te berekenen. De aanleiding daarvoor is de afschrijvingsklif als gevolg van de uniforme afschrijvingstermijn van de start-GAW.
In de oude schattingsmethode bepaalde de ACM de efficiënte kosten in het jaar voorafgaand aan de reguleringsperiode en de verwachte efficiënte kosten in het laatste jaar van de reguleringsperiode. De consequentie daarvan is dat alle ontwikkelingen van de verwachte efficiënte kosten in tussenliggende jaren niet tot uitdrukking komen in de x-factor. Daardoor ontstaat – zeker bij een ongelijkmatige ontwikkeling van de verwachte efficiënte kosten – het risico dat de RNB's gesommeerd over de reguleringsperiode aanzienlijk meer of minder dan haar verwachte efficiënte kosten kunnenn terugverdienen via de tarieven. Dat zou leiden tot over- of onderdekking van de verwachte efficiënte kosten over de reguleringsperiode.
Het doel van de methode is dat de RNB's in beginsel haar verwachte efficiënte kosten inclusief een redelijk rendement dat in het economisch verkeer gebruikelijk is terug kunnen verdienen binnen de betrokken reguleringsperiode.  Daarom is het noodzakelijk om de manier waarop de ACM het efficiënte kostenniveau ten behoeve van het bepalen van de begininkomsten vaststelt te wijzigen. In plaats van de verwachte efficiënte kosten voor het beginjaar (2021) te bepalen, bepaalt de ACM het efficiënte kostenniveau van 2021 zodanig dat gesommeerd over de reguleringsperiode (2022-2026) de RNB's  hun verwachte efficiënte kosten terug kunnen verdienen.
Een expliciete berekening voor de begininkomsten 2021 inbouwen in het x-factormodel is onevenredig complex, omdat er dan wiskundig geoptimaliseerd moet worden. Daarom maakt de ACM gebruik van de oplosser. De oplosser kan het efficiënte kostenniveau 2021 vinden zodanig dat gesommeerd over de reguleringsperiode (2022-2026) de verwachte efficiënte kosten terugverdiend kunnen worden.</t>
  </si>
  <si>
    <t xml:space="preserve">https://www.acm.nl/nl/publicaties/berekening-x-factor-bij-gewijzigde-x-factorbesluiten-elektriciteit-2017-2021 </t>
  </si>
  <si>
    <t>WACC onderzoek Brattle</t>
  </si>
  <si>
    <t>The Brattle Group - The WACC for the Dutch Electricity TSO and Electricity and Gas DSOs (draft of 20 january 2021)</t>
  </si>
  <si>
    <t>9) Q-factor &amp; tariefruimte</t>
  </si>
  <si>
    <t>8) X-factor + begininkomsten</t>
  </si>
  <si>
    <t>7) Toetsen toepassing one-off</t>
  </si>
  <si>
    <t>6) Totale kosten maatstaf</t>
  </si>
  <si>
    <t>5) Productiviteitsverandering</t>
  </si>
  <si>
    <t>4) Berekeningen op parameters</t>
  </si>
  <si>
    <t>Opmerking</t>
  </si>
  <si>
    <t>Begininkomsten na aanpassing naar efficiënte kostenniveau</t>
  </si>
  <si>
    <t>Tabblad 3 - BI, EAV, SO &amp; PV</t>
  </si>
  <si>
    <t>Tabblad 6 -  Totale kosten maatstaf</t>
  </si>
  <si>
    <t>Inschatting jaarlijkse CPI voor de periode 2022-2026 (afgerond)</t>
  </si>
  <si>
    <t>Inschatting CPI 2022-2026</t>
  </si>
  <si>
    <t>Correctie afschrijvingsklif 2023</t>
  </si>
  <si>
    <t>Correctie afschrijvingsklif 2024</t>
  </si>
  <si>
    <t>Correctie afschrijvingsklif 2025</t>
  </si>
  <si>
    <t>Correctie afschrijvingsklif 2026</t>
  </si>
  <si>
    <t>Berekening kosten totaal inclusief correctie kapitaalkosten</t>
  </si>
  <si>
    <t>Totale kosten inclusief correctie kapitaalkosten 2022</t>
  </si>
  <si>
    <t>Totale kosten inclusief correctie kapitaalkosten 2023</t>
  </si>
  <si>
    <t>Totale kosten inclusief correctie kapitaalkosten 2024</t>
  </si>
  <si>
    <t>Totale kosten inclusief correctie kapitaalkosten 2025</t>
  </si>
  <si>
    <t>Totale kosten inclusief correctie kapitaalkosten 2026</t>
  </si>
  <si>
    <t>Berekening gecorrigeerde inkomsten (met behulp van oplosser)</t>
  </si>
  <si>
    <t xml:space="preserve">Nominale WACC </t>
  </si>
  <si>
    <t>WACC-percentages (nominaal, voor belasting)</t>
  </si>
  <si>
    <t>Nominale WACC begininkomstenjaar 2021</t>
  </si>
  <si>
    <t>Nominale WACC eindinkomstenjaar 2026</t>
  </si>
  <si>
    <t>Berekening discontovoet</t>
  </si>
  <si>
    <t>Discontovoet</t>
  </si>
  <si>
    <t>1+%</t>
  </si>
  <si>
    <t>1+ discontovoet van 2022 naar 2022</t>
  </si>
  <si>
    <t>1+ discontovoet van 2022 naar 2023</t>
  </si>
  <si>
    <t>1+ discontovoet van 2022 naar 2024</t>
  </si>
  <si>
    <t>1+ discontovoet van 2022 naar 2025</t>
  </si>
  <si>
    <t>1+ discontovoet van 2022 naar 2026</t>
  </si>
  <si>
    <t>Totale kosten inclusief correctie kapitaalkosten</t>
  </si>
  <si>
    <t>Tabblad 4 -  Berekeningen op parameters</t>
  </si>
  <si>
    <t>RENDO incl. BV</t>
  </si>
  <si>
    <t xml:space="preserve">Tabblad 7 -  Berekening x-factor &amp; begininkomsten </t>
  </si>
  <si>
    <t>Tabblad 8 -  Berekening q-factor &amp; indicatieve tariefruimte</t>
  </si>
  <si>
    <t>PV 2021-2026</t>
  </si>
  <si>
    <t>Berekening PV 2021-2026</t>
  </si>
  <si>
    <t>Correctie op de PV voor 50% van de inflatievergoeding t/m 2021</t>
  </si>
  <si>
    <t>Kapitaalkosten 50% inflatievergoeding t/m 2021</t>
  </si>
  <si>
    <t>Eindinkomsten 2026 voor berekening x-factor (excl. Inkoop Transport)</t>
  </si>
  <si>
    <t>Totale kosten 2021</t>
  </si>
  <si>
    <t>Reguliere operationele kosten 2021</t>
  </si>
  <si>
    <t xml:space="preserve">Netto; Excl. IT </t>
  </si>
  <si>
    <t>Totale inkoopkosten transport 2021</t>
  </si>
  <si>
    <t>Totale reguliere kapitaalkosten 2021</t>
  </si>
  <si>
    <t>Totale bijdrage uit Eenmalige Aansluitvergoedingen 2021</t>
  </si>
  <si>
    <t>Kosten 2021 voor maatstafberekening</t>
  </si>
  <si>
    <t>Totale kosten voor aanpassing begininkomsten</t>
  </si>
  <si>
    <t>Totale kosten</t>
  </si>
  <si>
    <t>Kosten 2021</t>
  </si>
  <si>
    <t>Totale kosten voor maatstafberekening</t>
  </si>
  <si>
    <t>Totale efficiënte kosten excl. inkoopkosten transport</t>
  </si>
  <si>
    <t>Herstel x-factorberekening RNB-E 2022-2026</t>
  </si>
  <si>
    <t>ACM/23/184726</t>
  </si>
  <si>
    <t>Herstel x-factorbesluit RNB-E 2022-2026</t>
  </si>
  <si>
    <t>Herstel GAW-bestand RNB-E 2022-2026, herstel kostenbestand RNB-E 2022-2026, herstel SO-bestand RNB-E 2022-2026, herstel berekeningsbestand PV RNB-E voor kostenontwikkeling 2021-2026, herstel berekeningsbestand correctie PV erfenis RNB-E 2022-2026, herstel berekeningsbestand afschrijvingsklif RNB-E 2022-2026, Q-bedragberekening RNB-E 2022-2026</t>
  </si>
  <si>
    <t>Regulering.energie@acm.nl</t>
  </si>
  <si>
    <t>Contactgegevens ACM</t>
  </si>
  <si>
    <t>Dit bestand bevat de berekening van de begininkomsten en x-factoren voor regionale netbeheerders elektriciteit voor de periode 2022-2026. De verhouding tussen de begininkomsten 2021 en de eindinkomsten 2026 bepaalt de x-factor.</t>
  </si>
  <si>
    <t>Dit blad bevat de input gegevens voor de WACC en de CPI. Voor de WACC kan worden verwezen naar de WACC bijlage. De CPI komt van het CBS.</t>
  </si>
  <si>
    <t>Herstel methodebesluit 2022-2026</t>
  </si>
  <si>
    <t>Correctie betreft afschrijvingsklif Endinet</t>
  </si>
  <si>
    <t>Correctie betreft afschrijvingsklif Enduris</t>
  </si>
  <si>
    <t>Herstel berekeningsbestand correctie afschrijvingsklif, tabblad 1) Resultaat, cel J29 t/m J32</t>
  </si>
  <si>
    <t>Herstel berekeningsbestand correctie afschrijvingsklif, tabblad 1) Resultaat, cel K29 t/m K32</t>
  </si>
  <si>
    <t>Herstel berekeningsbestand correctie afschrijvingsklif, tabblad 1) Resultaat, cel N29 t/m N32</t>
  </si>
  <si>
    <t>Q-bedragberekening RNB-E 2022-2026, tabblad resultaat, cel L14</t>
  </si>
  <si>
    <t>Q-bedragberekening RNB-E 2022-2026, tabblad resultaat, cel M14</t>
  </si>
  <si>
    <t>Q-bedragberekening RNB-E 2022-2026, tabblad resultaat, cel N14</t>
  </si>
  <si>
    <t>Q-bedragberekening RNB-E 2022-2026, tabblad resultaat, cel O14</t>
  </si>
  <si>
    <t>Q-bedragberekening RNB-E 2022-2026, tabblad resultaat, cel P14</t>
  </si>
  <si>
    <t>Q-bedragberekening RNB-E 2022-2026, tabblad resultaat, cel Q14</t>
  </si>
  <si>
    <t>Herstel berekeningsbestand PV RNB-E voor kostenontwikkeling 2021-2026, tabblad 1) berekening PV, cel H57</t>
  </si>
  <si>
    <t>Tabblad 2 -  Import kosten 2021</t>
  </si>
  <si>
    <t>Op dit tabblad halen we de historische kosten gegevens uit 2021 op voor berekening van de maatstaf.</t>
  </si>
  <si>
    <t>Stedin incl. BV</t>
  </si>
  <si>
    <t>Totale bijdragen EAV 2021</t>
  </si>
  <si>
    <t xml:space="preserve">Op dit tabblad halen we de begininkomsten, bijdrage EAV, samengestelde output &amp; productiviteitsverandering op. </t>
  </si>
  <si>
    <t>Herstel SO-bestand RNB-E 2022-2026, tabblad "Output, EAV en SO", regel 13</t>
  </si>
  <si>
    <t>Herstel SO-bestand RNB-E 2022-2026, tabblad "Output, EAV en SO", regel 32</t>
  </si>
  <si>
    <t>1+ discontovoet van 2022 naar jaar t</t>
  </si>
  <si>
    <t>Op dit blad voert de ACM berekent de ACM de discontovoet op basis van de geschatte nominale WACC in 2021 en 2026.
Ook corrigeert de ACM de PV 2021-2026 voor de inflatievergoeding t/m 2021 en de afschrijvingsklif.</t>
  </si>
  <si>
    <t>Op dit tabblad berekenen we niet alleen de x-factor, maar corrigeren we ook voor de afschrijvingsklif. Dit doen we door eerst de totale inkomsten over de gehele periode te schatten. Dit doen we op basis van de begininkomsten na aanpassing naar efficiënte kostenniveau en de efficiënte eindinkomsten. Met deze twee waardes berekenen we een x-factor, en hiermee berekenen we de geschatte inkomsten voor elk jaar van de reguleringsperiode. De correctie van de afschrijvingsklif halen we op vanuit een ander bestand. Dan berekenen we de totale kosten inclusief correctie voor elk jaar. Tot slot gebruiken we de "oplosser invoegtoepassing om de begininkomsten zo vast te stellen dat de totale geschatte inkomsten over de gehele periode kloppen. Meer uitleg over deze invoegtoepassing is te vinden op het tabblad "Bronnen en toepassingen".</t>
  </si>
  <si>
    <t>Productiviteitsverandering 2021-2026</t>
  </si>
  <si>
    <t>Samengestelde output 2021</t>
  </si>
  <si>
    <t>SO 2021 ten behoeve van de maatstaf</t>
  </si>
  <si>
    <t>WACC BI2021</t>
  </si>
  <si>
    <t>Inkoopkosten transport 2021</t>
  </si>
  <si>
    <t>Totale efficiënte kosten 2021 o.b.v. WACC EI2026 excl. inkoopkosten transport</t>
  </si>
  <si>
    <t>Begininkomsten 2021 o.b.v. WACC BI2021 incl. inkoopkosten transport</t>
  </si>
  <si>
    <t>X-factor voor de periode 2022-2026 excl. correctie afschrijvingsklif</t>
  </si>
  <si>
    <t>Berekening x-factor excl. correctie afschrijvingsklif</t>
  </si>
  <si>
    <t>Inschatting kosten excl. correctie afschrijvingsklif 2022</t>
  </si>
  <si>
    <t>Inschatting kosten excl. correctie afschrijvingsklif 2023</t>
  </si>
  <si>
    <t>Inschatting kosten excl. correctie afschrijvingsklif 2024</t>
  </si>
  <si>
    <t>Inschatting kosten excl. correctie afschrijvingsklif 2025</t>
  </si>
  <si>
    <t>Inschatting kosten excl. correctie afschrijvingsklif 2026</t>
  </si>
  <si>
    <t>De waardes in de roze cel worden door de oplosser ingevuld</t>
  </si>
  <si>
    <t>Eindinkomsten exclusief inkoopkosten transport</t>
  </si>
  <si>
    <t>Efficiënte kosten 2026 per netbeheerder inclusief inkoopkosten transport</t>
  </si>
  <si>
    <t>Vooruitverwijzing naar tabblad 6</t>
  </si>
  <si>
    <t>Voor het berekenen van de PV voor 2021-2026 berekent de ACM een gewogen gemiddelde PV van de erfenis en de overige kosten. Hiervoor verwijst de ACM vooruit naar tabblad 6.</t>
  </si>
  <si>
    <t xml:space="preserve">Bij de berekening van de q-factor gebruiken we (net als in tabblad 6) de "oplosser" invoegtoepassing. We schatten de totale kosten over de gehele periode, en corrigeren dit voor het te verrekenen q-bedrag. We gebruiken dan de oplosser om de q-factor zo vast te stellen dat de totale geschatte kosten inclusief correctie van de afschrijvingsklif en de q-factor klopt. </t>
  </si>
  <si>
    <t>Constante/rijtotaal</t>
  </si>
  <si>
    <t>Herstel SO-bestand RNB-E 2022-2026, tabblad "Output, EAV en SO", regel 21</t>
  </si>
  <si>
    <t>Herstel berekeningsbestand correctie PV erfenis RNB-E</t>
  </si>
  <si>
    <t>Herstel kostenbestand RNB-E 2022-2026</t>
  </si>
  <si>
    <t>Herstel SO-bestand RNB-E 2022-2026</t>
  </si>
  <si>
    <t xml:space="preserve">Q-bedragberekening RNB-E 2022-2026 </t>
  </si>
  <si>
    <t>Herstel berekeningsbestand afschrijvingsklif RNB-E 2022-2026</t>
  </si>
  <si>
    <t>Gewijzigd methodebesluit regionale netbeheerders elektriciteit 2022-2026</t>
  </si>
  <si>
    <t>Herstel berekeningsbestand correctie PV erfenis RNB-E 2022-2026, tabblad 1) Berekening correctie, cel F29</t>
  </si>
  <si>
    <t>Herstel berekeningsbestand correctie PV erfenis RNB-E 2022-2026, tabblad 1) Berekening correctie, cel H27</t>
  </si>
  <si>
    <t>Herstel kostenbestand RNB-E 2022-2026, tabblad "1) Totale kosten", regel 37</t>
  </si>
  <si>
    <t>Herstel kostenbestand RNB-E 2022-2026, tabblad "1) Totale kosten", regel 38</t>
  </si>
  <si>
    <t>Herstel kostenbestand RNB-E 2022-2026, tabblad "1) Totale kosten", regel 39</t>
  </si>
  <si>
    <t>Herstel kostenbestand RNB-E 2022-2026, tabblad "1) Totale kosten", regel 40</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</si>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</sst>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3" formatCode="_ * #,##0.00_ ;_ * \-#,##0.00_ ;_ * &quot;-&quot;??_ ;_ @_ "/>
    <numFmt numFmtId="164" formatCode="_(* #,##0.00_);_(* \(#,##0.00\);_(* &quot;-&quot;??_);_(@_)"/>
    <numFmt numFmtId="165" formatCode="_ * #,##0_ ;_ * \-#,##0_ ;_ * &quot;-&quot;??_ ;_ @_ "/>
    <numFmt numFmtId="166" formatCode="0.0%"/>
    <numFmt numFmtId="167" formatCode="_ * #,##0.000_ ;_ * \-#,##0.000_ ;_ * &quot;-&quot;??_ ;_ @_ "/>
    <numFmt numFmtId="168" formatCode="_(* #,##0_);_(* \(#,##0\);_(* &quot;-&quot;_);_(@_)"/>
    <numFmt numFmtId="169" formatCode="_ * #,##0.000_ ;_ * \-#,##0.000_ ;_ * &quot;-&quot;_ ;_ @_ "/>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sz val="10"/>
      <color theme="1"/>
      <name val="Arial"/>
      <family val="2"/>
    </font>
    <font>
      <sz val="10"/>
      <name val="Arial"/>
      <family val="2"/>
    </font>
    <font>
      <sz val="10"/>
      <color rgb="FFFF0000"/>
      <name val="Arial"/>
      <family val="2"/>
    </font>
    <font>
      <b/>
      <sz val="10"/>
      <name val="Arial"/>
      <family val="2"/>
    </font>
    <font>
      <i/>
      <sz val="10"/>
      <name val="Arial"/>
      <family val="2"/>
    </font>
    <font>
      <sz val="8"/>
      <color indexed="81"/>
      <name val="Tahoma"/>
      <family val="2"/>
    </font>
    <font>
      <b/>
      <sz val="10"/>
      <color rgb="FFFF0000"/>
      <name val="Arial"/>
      <family val="2"/>
    </font>
    <font>
      <sz val="10"/>
      <color indexed="8"/>
      <name val="MS Sans Serif"/>
      <family val="2"/>
    </font>
    <font>
      <b/>
      <sz val="14"/>
      <color theme="0"/>
      <name val="Arial"/>
      <family val="2"/>
    </font>
    <font>
      <b/>
      <sz val="10"/>
      <color indexed="8"/>
      <name val="Arial"/>
      <family val="2"/>
    </font>
    <font>
      <sz val="10"/>
      <color indexed="55"/>
      <name val="Arial"/>
      <family val="2"/>
    </font>
    <font>
      <b/>
      <sz val="10"/>
      <color theme="0"/>
      <name val="Arial"/>
      <family val="2"/>
    </font>
    <font>
      <u/>
      <sz val="10"/>
      <color theme="10"/>
      <name val="Arial"/>
      <family val="2"/>
    </font>
    <font>
      <i/>
      <sz val="10"/>
      <color theme="1"/>
      <name val="Arial"/>
      <family val="2"/>
    </font>
    <font>
      <sz val="8"/>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rgb="FF5F1F7A"/>
        <bgColor indexed="64"/>
      </patternFill>
    </fill>
    <fill>
      <patternFill patternType="solid">
        <fgColor rgb="FFCCC8D9"/>
        <bgColor indexed="64"/>
      </patternFill>
    </fill>
    <fill>
      <patternFill patternType="solid">
        <fgColor theme="0"/>
        <bgColor indexed="64"/>
      </patternFill>
    </fill>
    <fill>
      <patternFill patternType="solid">
        <fgColor rgb="FF99FF99"/>
        <bgColor indexed="64"/>
      </patternFill>
    </fill>
    <fill>
      <patternFill patternType="solid">
        <fgColor rgb="FFE1FFE1"/>
        <bgColor indexed="64"/>
      </patternFill>
    </fill>
    <fill>
      <patternFill patternType="solid">
        <fgColor indexed="41"/>
        <bgColor indexed="64"/>
      </patternFill>
    </fill>
    <fill>
      <patternFill patternType="solid">
        <fgColor indexed="14"/>
        <bgColor indexed="64"/>
      </patternFill>
    </fill>
    <fill>
      <patternFill patternType="solid">
        <fgColor theme="0" tint="-4.9989318521683403E-2"/>
        <bgColor indexed="64"/>
      </patternFill>
    </fill>
    <fill>
      <gradientFill>
        <stop position="0">
          <color rgb="FFFFFFCC"/>
        </stop>
        <stop position="1">
          <color rgb="FFCCFFCC"/>
        </stop>
      </gradientFill>
    </fill>
    <fill>
      <patternFill patternType="solid">
        <fgColor theme="0" tint="-0.14996795556505021"/>
        <bgColor indexed="64"/>
      </patternFill>
    </fill>
  </fills>
  <borders count="12">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thin">
        <color indexed="64"/>
      </top>
      <bottom style="thin">
        <color indexed="64"/>
      </bottom>
      <diagonal/>
    </border>
  </borders>
  <cellStyleXfs count="31">
    <xf numFmtId="0" fontId="0" fillId="0" borderId="0"/>
    <xf numFmtId="43"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0" fontId="15" fillId="0" borderId="0"/>
    <xf numFmtId="0" fontId="15" fillId="0" borderId="0">
      <alignment vertical="top"/>
    </xf>
    <xf numFmtId="49" fontId="22" fillId="10" borderId="1">
      <alignment vertical="top"/>
    </xf>
    <xf numFmtId="49" fontId="17" fillId="0" borderId="0">
      <alignment vertical="top"/>
    </xf>
    <xf numFmtId="49" fontId="18" fillId="0" borderId="0">
      <alignment vertical="top"/>
    </xf>
    <xf numFmtId="49" fontId="17" fillId="11" borderId="1">
      <alignment vertical="top"/>
    </xf>
    <xf numFmtId="0" fontId="15" fillId="0" borderId="0" applyNumberFormat="0" applyFill="0" applyBorder="0" applyAlignment="0" applyProtection="0"/>
    <xf numFmtId="49" fontId="22" fillId="10" borderId="1">
      <alignment vertical="top"/>
    </xf>
    <xf numFmtId="49" fontId="17" fillId="11" borderId="1">
      <alignment vertical="top"/>
    </xf>
    <xf numFmtId="168" fontId="15" fillId="4" borderId="0">
      <alignment vertical="top"/>
    </xf>
    <xf numFmtId="168" fontId="15" fillId="2" borderId="0">
      <alignment vertical="top"/>
    </xf>
    <xf numFmtId="168" fontId="15" fillId="5" borderId="0">
      <alignment vertical="top"/>
    </xf>
    <xf numFmtId="168" fontId="15" fillId="13" borderId="0">
      <alignment vertical="top"/>
    </xf>
    <xf numFmtId="168" fontId="15" fillId="14" borderId="0">
      <alignment vertical="top"/>
    </xf>
    <xf numFmtId="168" fontId="15" fillId="6" borderId="0">
      <alignment vertical="top"/>
    </xf>
    <xf numFmtId="168" fontId="15" fillId="3" borderId="0">
      <alignment vertical="top"/>
    </xf>
    <xf numFmtId="164" fontId="15" fillId="2" borderId="0" applyFont="0" applyFill="0" applyBorder="0" applyAlignment="0" applyProtection="0">
      <alignment vertical="top"/>
    </xf>
    <xf numFmtId="49" fontId="20" fillId="0" borderId="0">
      <alignment vertical="top"/>
    </xf>
    <xf numFmtId="0" fontId="14" fillId="0" borderId="0">
      <alignment vertical="top"/>
    </xf>
    <xf numFmtId="49" fontId="26" fillId="0" borderId="0" applyFill="0" applyBorder="0" applyAlignment="0" applyProtection="0"/>
    <xf numFmtId="0" fontId="21" fillId="0" borderId="0"/>
    <xf numFmtId="41" fontId="15" fillId="4" borderId="0">
      <alignment vertical="top"/>
    </xf>
    <xf numFmtId="41" fontId="15" fillId="2" borderId="0">
      <alignment vertical="top"/>
    </xf>
    <xf numFmtId="43" fontId="15" fillId="19" borderId="0" applyNumberFormat="0">
      <alignment vertical="top"/>
    </xf>
    <xf numFmtId="0" fontId="15" fillId="0" borderId="0"/>
    <xf numFmtId="49" fontId="17" fillId="11" borderId="1">
      <alignment vertical="top"/>
    </xf>
    <xf numFmtId="0" fontId="15" fillId="0" borderId="0"/>
  </cellStyleXfs>
  <cellXfs count="172">
    <xf numFmtId="0" fontId="0" fillId="0" borderId="0" xfId="0"/>
    <xf numFmtId="0" fontId="14" fillId="0" borderId="0" xfId="0" applyFont="1"/>
    <xf numFmtId="0" fontId="13" fillId="0" borderId="0" xfId="0" applyFont="1"/>
    <xf numFmtId="165" fontId="14" fillId="3" borderId="0" xfId="1" applyNumberFormat="1" applyFont="1" applyFill="1"/>
    <xf numFmtId="165" fontId="14" fillId="0" borderId="0" xfId="0" applyNumberFormat="1" applyFont="1"/>
    <xf numFmtId="0" fontId="0" fillId="7" borderId="0" xfId="0" applyFill="1"/>
    <xf numFmtId="0" fontId="14" fillId="0" borderId="0" xfId="0" applyFont="1" applyFill="1"/>
    <xf numFmtId="165" fontId="14" fillId="0" borderId="0" xfId="1" applyNumberFormat="1" applyFont="1"/>
    <xf numFmtId="165" fontId="14" fillId="0" borderId="0" xfId="0" applyNumberFormat="1" applyFont="1" applyFill="1"/>
    <xf numFmtId="10" fontId="14" fillId="0" borderId="0" xfId="0" applyNumberFormat="1" applyFont="1" applyFill="1"/>
    <xf numFmtId="0" fontId="15" fillId="0" borderId="0" xfId="0" applyFont="1"/>
    <xf numFmtId="165" fontId="14" fillId="4" borderId="0" xfId="0" applyNumberFormat="1" applyFont="1" applyFill="1"/>
    <xf numFmtId="0" fontId="15" fillId="0" borderId="0" xfId="0" applyFont="1" applyFill="1"/>
    <xf numFmtId="42" fontId="14" fillId="0" borderId="0" xfId="0" applyNumberFormat="1" applyFont="1"/>
    <xf numFmtId="10" fontId="15" fillId="3" borderId="0" xfId="0" applyNumberFormat="1" applyFont="1" applyFill="1"/>
    <xf numFmtId="165" fontId="15" fillId="3" borderId="0" xfId="0" applyNumberFormat="1" applyFont="1" applyFill="1"/>
    <xf numFmtId="165" fontId="15" fillId="3" borderId="0" xfId="1" applyNumberFormat="1" applyFont="1" applyFill="1"/>
    <xf numFmtId="166" fontId="15" fillId="3" borderId="0" xfId="0" applyNumberFormat="1" applyFont="1" applyFill="1"/>
    <xf numFmtId="41" fontId="14" fillId="2" borderId="0" xfId="0" applyNumberFormat="1" applyFont="1" applyFill="1"/>
    <xf numFmtId="0" fontId="14" fillId="0" borderId="0" xfId="0" applyFont="1" applyAlignment="1">
      <alignment vertical="center"/>
    </xf>
    <xf numFmtId="0" fontId="17" fillId="0" borderId="0" xfId="0" applyFont="1"/>
    <xf numFmtId="10" fontId="14" fillId="2" borderId="0" xfId="2" applyNumberFormat="1" applyFont="1" applyFill="1"/>
    <xf numFmtId="0" fontId="14" fillId="0" borderId="0" xfId="0" applyFont="1"/>
    <xf numFmtId="165" fontId="14" fillId="2" borderId="0" xfId="1" applyNumberFormat="1" applyFont="1" applyFill="1"/>
    <xf numFmtId="165" fontId="14" fillId="2" borderId="0" xfId="0" applyNumberFormat="1" applyFont="1" applyFill="1"/>
    <xf numFmtId="0" fontId="15" fillId="0" borderId="0" xfId="0" applyFont="1"/>
    <xf numFmtId="0" fontId="16" fillId="0" borderId="0" xfId="0" applyFont="1"/>
    <xf numFmtId="0" fontId="14" fillId="0" borderId="0" xfId="0" applyFont="1" applyFill="1" applyBorder="1"/>
    <xf numFmtId="41" fontId="14" fillId="0" borderId="0" xfId="0" applyNumberFormat="1" applyFont="1"/>
    <xf numFmtId="41" fontId="14" fillId="0" borderId="0" xfId="0" applyNumberFormat="1" applyFont="1" applyFill="1"/>
    <xf numFmtId="41" fontId="14" fillId="4" borderId="0" xfId="0" applyNumberFormat="1" applyFont="1" applyFill="1"/>
    <xf numFmtId="0" fontId="14" fillId="0" borderId="0" xfId="0" applyFont="1" applyBorder="1"/>
    <xf numFmtId="0" fontId="13" fillId="0" borderId="0" xfId="0" applyFont="1" applyBorder="1"/>
    <xf numFmtId="10" fontId="14" fillId="0" borderId="0" xfId="0" applyNumberFormat="1" applyFont="1" applyFill="1" applyBorder="1"/>
    <xf numFmtId="10" fontId="14" fillId="3" borderId="0" xfId="2" applyNumberFormat="1" applyFont="1" applyFill="1"/>
    <xf numFmtId="0" fontId="15" fillId="0" borderId="0" xfId="5">
      <alignment vertical="top"/>
    </xf>
    <xf numFmtId="0" fontId="22" fillId="10" borderId="1" xfId="6" applyNumberFormat="1">
      <alignment vertical="top"/>
    </xf>
    <xf numFmtId="49" fontId="17" fillId="0" borderId="0" xfId="7">
      <alignment vertical="top"/>
    </xf>
    <xf numFmtId="0" fontId="0" fillId="0" borderId="0" xfId="0" applyAlignment="1">
      <alignment vertical="top"/>
    </xf>
    <xf numFmtId="0" fontId="15" fillId="0" borderId="0" xfId="5" applyFont="1">
      <alignment vertical="top"/>
    </xf>
    <xf numFmtId="49" fontId="18" fillId="0" borderId="0" xfId="8">
      <alignment vertical="top"/>
    </xf>
    <xf numFmtId="49" fontId="17" fillId="11" borderId="1" xfId="9">
      <alignment vertical="top"/>
    </xf>
    <xf numFmtId="0" fontId="17" fillId="11" borderId="1" xfId="9" applyNumberFormat="1">
      <alignment vertical="top"/>
    </xf>
    <xf numFmtId="0" fontId="14" fillId="12" borderId="0" xfId="0" applyFont="1" applyFill="1"/>
    <xf numFmtId="0" fontId="18" fillId="0" borderId="0" xfId="0" applyFont="1" applyFill="1"/>
    <xf numFmtId="167" fontId="14" fillId="2" borderId="0" xfId="0" applyNumberFormat="1" applyFont="1" applyFill="1"/>
    <xf numFmtId="0" fontId="15" fillId="12" borderId="0" xfId="0" applyFont="1" applyFill="1"/>
    <xf numFmtId="165" fontId="14" fillId="12" borderId="0" xfId="0" applyNumberFormat="1" applyFont="1" applyFill="1"/>
    <xf numFmtId="0" fontId="14" fillId="0" borderId="0" xfId="0" applyFont="1" applyBorder="1" applyAlignment="1">
      <alignment horizontal="left" vertical="top" wrapText="1"/>
    </xf>
    <xf numFmtId="0" fontId="15" fillId="12" borderId="0" xfId="5" applyFill="1">
      <alignment vertical="top"/>
    </xf>
    <xf numFmtId="0" fontId="13" fillId="12" borderId="0" xfId="0" applyFont="1" applyFill="1" applyBorder="1"/>
    <xf numFmtId="49" fontId="22" fillId="10" borderId="1" xfId="6">
      <alignment vertical="top"/>
    </xf>
    <xf numFmtId="0" fontId="15" fillId="0" borderId="0" xfId="5" applyFill="1">
      <alignment vertical="top"/>
    </xf>
    <xf numFmtId="0" fontId="15" fillId="0" borderId="2" xfId="5" applyFont="1" applyBorder="1" applyAlignment="1">
      <alignment horizontal="left" vertical="top" wrapText="1"/>
    </xf>
    <xf numFmtId="0" fontId="15" fillId="0" borderId="2" xfId="5" applyBorder="1" applyAlignment="1">
      <alignment horizontal="left" vertical="top" wrapText="1"/>
    </xf>
    <xf numFmtId="0" fontId="15" fillId="0" borderId="0" xfId="5" applyFont="1" applyFill="1" applyBorder="1" applyAlignment="1">
      <alignment horizontal="left" vertical="top" wrapText="1"/>
    </xf>
    <xf numFmtId="0" fontId="20" fillId="0" borderId="0" xfId="5" applyFont="1">
      <alignment vertical="top"/>
    </xf>
    <xf numFmtId="49" fontId="22" fillId="10" borderId="1" xfId="11">
      <alignment vertical="top"/>
    </xf>
    <xf numFmtId="49" fontId="17" fillId="11" borderId="1" xfId="12">
      <alignment vertical="top"/>
    </xf>
    <xf numFmtId="0" fontId="23" fillId="0" borderId="0" xfId="22" applyFont="1" applyFill="1" applyBorder="1" applyAlignment="1"/>
    <xf numFmtId="0" fontId="15" fillId="0" borderId="3" xfId="5" applyBorder="1">
      <alignment vertical="top"/>
    </xf>
    <xf numFmtId="0" fontId="15" fillId="0" borderId="4" xfId="5" applyBorder="1">
      <alignment vertical="top"/>
    </xf>
    <xf numFmtId="0" fontId="15" fillId="0" borderId="5" xfId="5" applyBorder="1">
      <alignment vertical="top"/>
    </xf>
    <xf numFmtId="0" fontId="15" fillId="0" borderId="6" xfId="5" applyBorder="1">
      <alignment vertical="top"/>
    </xf>
    <xf numFmtId="0" fontId="15" fillId="14" borderId="0" xfId="5" applyFill="1" applyBorder="1" applyAlignment="1">
      <alignment horizontal="center" vertical="top"/>
    </xf>
    <xf numFmtId="0" fontId="15" fillId="0" borderId="7" xfId="5" applyBorder="1">
      <alignment vertical="top"/>
    </xf>
    <xf numFmtId="0" fontId="15" fillId="2" borderId="0" xfId="5" applyFill="1" applyBorder="1" applyAlignment="1">
      <alignment horizontal="center" vertical="top"/>
    </xf>
    <xf numFmtId="0" fontId="15" fillId="0" borderId="8" xfId="5" applyBorder="1">
      <alignment vertical="top"/>
    </xf>
    <xf numFmtId="0" fontId="15" fillId="0" borderId="9" xfId="5" applyBorder="1">
      <alignment vertical="top"/>
    </xf>
    <xf numFmtId="0" fontId="15" fillId="0" borderId="10" xfId="5" applyBorder="1">
      <alignment vertical="top"/>
    </xf>
    <xf numFmtId="0" fontId="15" fillId="0" borderId="0" xfId="5" applyBorder="1">
      <alignment vertical="top"/>
    </xf>
    <xf numFmtId="0" fontId="23" fillId="0" borderId="0" xfId="22" applyFont="1" applyFill="1" applyBorder="1" applyAlignment="1">
      <alignment horizontal="center" vertical="top"/>
    </xf>
    <xf numFmtId="0" fontId="20" fillId="0" borderId="0" xfId="5" applyFont="1" applyFill="1">
      <alignment vertical="top"/>
    </xf>
    <xf numFmtId="168" fontId="15" fillId="14" borderId="0" xfId="17">
      <alignment vertical="top"/>
    </xf>
    <xf numFmtId="168" fontId="15" fillId="3" borderId="0" xfId="19">
      <alignment vertical="top"/>
    </xf>
    <xf numFmtId="168" fontId="15" fillId="2" borderId="0" xfId="14">
      <alignment vertical="top"/>
    </xf>
    <xf numFmtId="168" fontId="15" fillId="4" borderId="0" xfId="13">
      <alignment vertical="top"/>
    </xf>
    <xf numFmtId="0" fontId="15" fillId="7" borderId="0" xfId="5" applyFill="1">
      <alignment vertical="top"/>
    </xf>
    <xf numFmtId="168" fontId="15" fillId="5" borderId="0" xfId="15">
      <alignment vertical="top"/>
    </xf>
    <xf numFmtId="168" fontId="15" fillId="6" borderId="0" xfId="18">
      <alignment vertical="top"/>
    </xf>
    <xf numFmtId="1" fontId="15" fillId="0" borderId="0" xfId="5" applyNumberFormat="1" applyFill="1">
      <alignment vertical="top"/>
    </xf>
    <xf numFmtId="1" fontId="18" fillId="0" borderId="0" xfId="5" applyNumberFormat="1" applyFont="1" applyFill="1">
      <alignment vertical="top"/>
    </xf>
    <xf numFmtId="168" fontId="15" fillId="13" borderId="0" xfId="16">
      <alignment vertical="top"/>
    </xf>
    <xf numFmtId="168" fontId="15" fillId="14" borderId="2" xfId="17" applyBorder="1">
      <alignment vertical="top"/>
    </xf>
    <xf numFmtId="164" fontId="24" fillId="0" borderId="0" xfId="20" applyFont="1" applyFill="1">
      <alignment vertical="top"/>
    </xf>
    <xf numFmtId="0" fontId="24" fillId="0" borderId="0" xfId="5" applyFont="1" applyFill="1">
      <alignment vertical="top"/>
    </xf>
    <xf numFmtId="0" fontId="17" fillId="0" borderId="0" xfId="5" applyFont="1">
      <alignment vertical="top"/>
    </xf>
    <xf numFmtId="0" fontId="15" fillId="15" borderId="0" xfId="5" applyFont="1" applyFill="1">
      <alignment vertical="top"/>
    </xf>
    <xf numFmtId="0" fontId="15" fillId="2" borderId="0" xfId="5" applyFont="1" applyFill="1">
      <alignment vertical="top"/>
    </xf>
    <xf numFmtId="2" fontId="15" fillId="16" borderId="0" xfId="5" applyNumberFormat="1" applyFill="1">
      <alignment vertical="top"/>
    </xf>
    <xf numFmtId="0" fontId="15" fillId="17" borderId="0" xfId="5" applyFill="1">
      <alignment vertical="top"/>
    </xf>
    <xf numFmtId="49" fontId="15" fillId="11" borderId="0" xfId="12" applyFont="1" applyBorder="1">
      <alignment vertical="top"/>
    </xf>
    <xf numFmtId="0" fontId="25" fillId="8" borderId="1" xfId="5" applyFont="1" applyFill="1" applyBorder="1">
      <alignment vertical="top"/>
    </xf>
    <xf numFmtId="49" fontId="15" fillId="11" borderId="2" xfId="9" applyFont="1" applyBorder="1">
      <alignment vertical="top"/>
    </xf>
    <xf numFmtId="0" fontId="15" fillId="0" borderId="2" xfId="5" applyFont="1" applyBorder="1">
      <alignment vertical="top"/>
    </xf>
    <xf numFmtId="0" fontId="15" fillId="0" borderId="2" xfId="5" applyBorder="1">
      <alignment vertical="top"/>
    </xf>
    <xf numFmtId="0" fontId="15" fillId="0" borderId="11" xfId="5" applyBorder="1">
      <alignment vertical="top"/>
    </xf>
    <xf numFmtId="49" fontId="26" fillId="0" borderId="2" xfId="23" applyBorder="1" applyAlignment="1">
      <alignment vertical="top"/>
    </xf>
    <xf numFmtId="0" fontId="15" fillId="0" borderId="0" xfId="5" applyAlignment="1">
      <alignment horizontal="left" vertical="top"/>
    </xf>
    <xf numFmtId="0" fontId="15" fillId="18" borderId="0" xfId="5" applyFill="1" applyBorder="1" applyAlignment="1">
      <alignment horizontal="center" vertical="top"/>
    </xf>
    <xf numFmtId="0" fontId="15" fillId="2" borderId="0" xfId="5" applyFont="1" applyFill="1" applyBorder="1" applyAlignment="1">
      <alignment horizontal="center" vertical="top"/>
    </xf>
    <xf numFmtId="43" fontId="14" fillId="2" borderId="0" xfId="0" applyNumberFormat="1" applyFont="1" applyFill="1"/>
    <xf numFmtId="165" fontId="14" fillId="5" borderId="0" xfId="0" applyNumberFormat="1" applyFont="1" applyFill="1"/>
    <xf numFmtId="43" fontId="14" fillId="4" borderId="0" xfId="0" applyNumberFormat="1" applyFont="1" applyFill="1"/>
    <xf numFmtId="43" fontId="15" fillId="3" borderId="0" xfId="1" applyFont="1" applyFill="1"/>
    <xf numFmtId="0" fontId="15" fillId="0" borderId="0" xfId="24" applyFont="1" applyFill="1"/>
    <xf numFmtId="10" fontId="14" fillId="0" borderId="0" xfId="2" applyNumberFormat="1" applyFont="1" applyFill="1" applyAlignment="1">
      <alignment horizontal="center"/>
    </xf>
    <xf numFmtId="10" fontId="14" fillId="0" borderId="0" xfId="2" applyNumberFormat="1" applyFont="1" applyFill="1"/>
    <xf numFmtId="166" fontId="14" fillId="0" borderId="0" xfId="2" applyNumberFormat="1" applyFont="1" applyFill="1"/>
    <xf numFmtId="10" fontId="15" fillId="0" borderId="0" xfId="0" applyNumberFormat="1" applyFont="1" applyFill="1"/>
    <xf numFmtId="165" fontId="15" fillId="0" borderId="0" xfId="1" applyNumberFormat="1" applyFont="1" applyFill="1"/>
    <xf numFmtId="0" fontId="15" fillId="0" borderId="0" xfId="0" applyFont="1" applyFill="1"/>
    <xf numFmtId="165" fontId="14" fillId="0" borderId="0" xfId="1" applyNumberFormat="1" applyFont="1" applyFill="1"/>
    <xf numFmtId="165" fontId="15" fillId="0" borderId="0" xfId="0" applyNumberFormat="1" applyFont="1" applyFill="1"/>
    <xf numFmtId="166" fontId="15" fillId="0" borderId="0" xfId="0" applyNumberFormat="1" applyFont="1" applyFill="1"/>
    <xf numFmtId="43" fontId="14" fillId="0" borderId="0" xfId="0" applyNumberFormat="1" applyFont="1" applyFill="1"/>
    <xf numFmtId="43" fontId="14" fillId="0" borderId="0" xfId="1" applyFont="1" applyFill="1"/>
    <xf numFmtId="43" fontId="15" fillId="0" borderId="0" xfId="0" applyNumberFormat="1" applyFont="1" applyFill="1"/>
    <xf numFmtId="169" fontId="16" fillId="0" borderId="0" xfId="0" applyNumberFormat="1" applyFont="1"/>
    <xf numFmtId="43" fontId="14" fillId="5" borderId="0" xfId="1" applyFont="1" applyFill="1"/>
    <xf numFmtId="43" fontId="14" fillId="4" borderId="0" xfId="1" applyFont="1" applyFill="1" applyAlignment="1">
      <alignment horizontal="right" vertical="top"/>
    </xf>
    <xf numFmtId="165" fontId="15" fillId="14" borderId="0" xfId="1" applyNumberFormat="1" applyFont="1" applyFill="1"/>
    <xf numFmtId="10" fontId="15" fillId="14" borderId="0" xfId="0" applyNumberFormat="1" applyFont="1" applyFill="1"/>
    <xf numFmtId="165" fontId="14" fillId="14" borderId="0" xfId="0" applyNumberFormat="1" applyFont="1" applyFill="1"/>
    <xf numFmtId="41" fontId="14" fillId="14" borderId="0" xfId="0" applyNumberFormat="1" applyFont="1" applyFill="1"/>
    <xf numFmtId="0" fontId="14" fillId="0" borderId="0" xfId="0" applyFont="1" applyFill="1" applyAlignment="1">
      <alignment vertical="center"/>
    </xf>
    <xf numFmtId="9" fontId="15" fillId="2" borderId="0" xfId="2" applyFont="1" applyFill="1" applyAlignment="1">
      <alignment vertical="top"/>
    </xf>
    <xf numFmtId="166" fontId="15" fillId="2" borderId="0" xfId="2" applyNumberFormat="1" applyFont="1" applyFill="1" applyAlignment="1">
      <alignment vertical="top"/>
    </xf>
    <xf numFmtId="168" fontId="15" fillId="0" borderId="0" xfId="14" applyFill="1">
      <alignment vertical="top"/>
    </xf>
    <xf numFmtId="166" fontId="15" fillId="4" borderId="0" xfId="2" applyNumberFormat="1" applyFont="1" applyFill="1" applyAlignment="1">
      <alignment vertical="top"/>
    </xf>
    <xf numFmtId="10" fontId="15" fillId="4" borderId="0" xfId="2" applyNumberFormat="1" applyFont="1" applyFill="1" applyAlignment="1">
      <alignment vertical="top"/>
    </xf>
    <xf numFmtId="9" fontId="15" fillId="4" borderId="0" xfId="2" applyNumberFormat="1" applyFont="1" applyFill="1" applyAlignment="1">
      <alignment vertical="top"/>
    </xf>
    <xf numFmtId="0" fontId="15" fillId="0" borderId="0" xfId="5" applyFill="1" applyBorder="1">
      <alignment vertical="top"/>
    </xf>
    <xf numFmtId="0" fontId="15" fillId="0" borderId="0" xfId="5" applyFill="1" applyBorder="1" applyAlignment="1">
      <alignment horizontal="center" vertical="top"/>
    </xf>
    <xf numFmtId="41" fontId="15" fillId="19" borderId="0" xfId="27" applyNumberFormat="1">
      <alignment vertical="top"/>
    </xf>
    <xf numFmtId="0" fontId="27" fillId="0" borderId="0" xfId="0" applyFont="1"/>
    <xf numFmtId="0" fontId="27" fillId="12" borderId="0" xfId="0" applyFont="1" applyFill="1"/>
    <xf numFmtId="165" fontId="27" fillId="0" borderId="0" xfId="0" applyNumberFormat="1" applyFont="1"/>
    <xf numFmtId="0" fontId="18" fillId="0" borderId="0" xfId="5" applyFont="1">
      <alignment vertical="top"/>
    </xf>
    <xf numFmtId="0" fontId="11" fillId="0" borderId="0" xfId="0" applyFont="1"/>
    <xf numFmtId="165" fontId="14" fillId="0" borderId="0" xfId="0" quotePrefix="1" applyNumberFormat="1" applyFont="1"/>
    <xf numFmtId="0" fontId="11" fillId="0" borderId="0" xfId="0" applyFont="1" applyAlignment="1">
      <alignment vertical="top"/>
    </xf>
    <xf numFmtId="0" fontId="13" fillId="0" borderId="0" xfId="0" applyFont="1" applyAlignment="1">
      <alignment vertical="top"/>
    </xf>
    <xf numFmtId="10" fontId="15" fillId="3" borderId="0" xfId="0" applyNumberFormat="1" applyFont="1" applyFill="1" applyAlignment="1">
      <alignment vertical="top"/>
    </xf>
    <xf numFmtId="10" fontId="0" fillId="9" borderId="0" xfId="0" applyNumberFormat="1" applyFill="1" applyAlignment="1">
      <alignment vertical="top"/>
    </xf>
    <xf numFmtId="10" fontId="15" fillId="0" borderId="0" xfId="0" applyNumberFormat="1" applyFont="1" applyAlignment="1">
      <alignment vertical="top"/>
    </xf>
    <xf numFmtId="10" fontId="15" fillId="2" borderId="0" xfId="0" applyNumberFormat="1" applyFont="1" applyFill="1" applyAlignment="1">
      <alignment vertical="top"/>
    </xf>
    <xf numFmtId="43" fontId="11" fillId="0" borderId="0" xfId="1" applyFont="1" applyFill="1" applyAlignment="1">
      <alignment vertical="top"/>
    </xf>
    <xf numFmtId="43" fontId="15" fillId="2" borderId="0" xfId="1" applyFont="1" applyFill="1" applyAlignment="1">
      <alignment vertical="top"/>
    </xf>
    <xf numFmtId="43" fontId="15" fillId="3" borderId="0" xfId="5" applyNumberFormat="1" applyFill="1">
      <alignment vertical="top"/>
    </xf>
    <xf numFmtId="165" fontId="11" fillId="2" borderId="0" xfId="0" applyNumberFormat="1" applyFont="1" applyFill="1"/>
    <xf numFmtId="0" fontId="10" fillId="0" borderId="0" xfId="0" applyFont="1"/>
    <xf numFmtId="0" fontId="9" fillId="0" borderId="0" xfId="0" applyFont="1"/>
    <xf numFmtId="168" fontId="15" fillId="3" borderId="0" xfId="17" applyFill="1">
      <alignment vertical="top"/>
    </xf>
    <xf numFmtId="168" fontId="15" fillId="5" borderId="0" xfId="17" applyFill="1">
      <alignment vertical="top"/>
    </xf>
    <xf numFmtId="0" fontId="8" fillId="0" borderId="0" xfId="0" applyFont="1" applyBorder="1"/>
    <xf numFmtId="0" fontId="7" fillId="0" borderId="0" xfId="0" applyFont="1" applyBorder="1"/>
    <xf numFmtId="0" fontId="6" fillId="0" borderId="0" xfId="0" applyFont="1"/>
    <xf numFmtId="0" fontId="5" fillId="0" borderId="0" xfId="0" applyFont="1" applyAlignment="1">
      <alignment vertical="top"/>
    </xf>
    <xf numFmtId="0" fontId="5" fillId="0" borderId="0" xfId="0" applyFont="1"/>
    <xf numFmtId="49" fontId="26" fillId="0" borderId="0" xfId="23" applyFill="1" applyBorder="1" applyAlignment="1">
      <alignment horizontal="left" vertical="top" wrapText="1"/>
    </xf>
    <xf numFmtId="0" fontId="4" fillId="0" borderId="0" xfId="0" applyFont="1"/>
    <xf numFmtId="0" fontId="3" fillId="0" borderId="0" xfId="0" applyFont="1"/>
    <xf numFmtId="0" fontId="17" fillId="11" borderId="1" xfId="9" applyNumberFormat="1" applyAlignment="1">
      <alignment horizontal="left" vertical="top"/>
    </xf>
    <xf numFmtId="10" fontId="2" fillId="14" borderId="0" xfId="2" applyNumberFormat="1" applyFont="1" applyFill="1"/>
    <xf numFmtId="0" fontId="2" fillId="0" borderId="0" xfId="0" applyFont="1"/>
    <xf numFmtId="0" fontId="1" fillId="0" borderId="0" xfId="0" applyFont="1"/>
    <xf numFmtId="0" fontId="15" fillId="0" borderId="0" xfId="5" applyFont="1" applyAlignment="1">
      <alignment horizontal="left" vertical="top" wrapText="1"/>
    </xf>
    <xf numFmtId="0" fontId="15" fillId="0" borderId="0" xfId="5" applyAlignment="1">
      <alignment horizontal="left" vertical="top" wrapText="1"/>
    </xf>
    <xf numFmtId="49" fontId="26" fillId="0" borderId="0" xfId="23" applyAlignment="1">
      <alignment horizontal="left" vertical="top" wrapText="1"/>
    </xf>
    <xf numFmtId="0" fontId="4" fillId="0" borderId="0" xfId="0" applyFont="1" applyAlignment="1">
      <alignment horizontal="left" vertical="top" wrapText="1"/>
    </xf>
    <xf numFmtId="0" fontId="14" fillId="0" borderId="0" xfId="0" applyFont="1" applyAlignment="1">
      <alignment horizontal="left" vertical="top" wrapText="1"/>
    </xf>
  </cellXfs>
  <cellStyles count="31">
    <cellStyle name="_x000d__x000a_JournalTemplate=C:\COMFO\CTALK\JOURSTD.TPL_x000d__x000a_LbStateAddress=3 3 0 251 1 89 2 311_x000d__x000a_LbStateJou 3 5" xfId="10" xr:uid="{00000000-0005-0000-0000-000000000000}"/>
    <cellStyle name="_kop1 Bladtitel" xfId="6" xr:uid="{00000000-0005-0000-0000-000001000000}"/>
    <cellStyle name="_kop1 Bladtitel 2" xfId="11" xr:uid="{00000000-0005-0000-0000-000002000000}"/>
    <cellStyle name="_kop2 Bloktitel" xfId="9" xr:uid="{00000000-0005-0000-0000-000003000000}"/>
    <cellStyle name="_kop2 Bloktitel 2" xfId="12" xr:uid="{00000000-0005-0000-0000-000004000000}"/>
    <cellStyle name="_kop2 Bloktitel 3" xfId="29" xr:uid="{C57DBD74-4832-4AF6-9010-D1DC4C9EE13F}"/>
    <cellStyle name="_kop3 Subkop" xfId="7" xr:uid="{00000000-0005-0000-0000-000005000000}"/>
    <cellStyle name="Cel (tussen)resultaat" xfId="25" xr:uid="{00000000-0005-0000-0000-000006000000}"/>
    <cellStyle name="Cel (tussen)resultaat 2" xfId="13" xr:uid="{00000000-0005-0000-0000-000007000000}"/>
    <cellStyle name="Cel Berekening" xfId="26" xr:uid="{00000000-0005-0000-0000-000008000000}"/>
    <cellStyle name="Cel Berekening 3" xfId="14" xr:uid="{00000000-0005-0000-0000-000009000000}"/>
    <cellStyle name="Cel Bijzonderheid 2" xfId="15" xr:uid="{00000000-0005-0000-0000-00000A000000}"/>
    <cellStyle name="Cel Dataverzoek 2" xfId="16" xr:uid="{00000000-0005-0000-0000-00000B000000}"/>
    <cellStyle name="Cel Input 2" xfId="17" xr:uid="{00000000-0005-0000-0000-00000C000000}"/>
    <cellStyle name="Cel n.v.t. (leeg)" xfId="27" xr:uid="{00000000-0005-0000-0000-00000D000000}"/>
    <cellStyle name="Cel PM extern 2" xfId="18" xr:uid="{00000000-0005-0000-0000-00000E000000}"/>
    <cellStyle name="Cel Verwijzing 2" xfId="19" xr:uid="{00000000-0005-0000-0000-00000F000000}"/>
    <cellStyle name="Hyperlink" xfId="23" builtinId="8"/>
    <cellStyle name="Komma" xfId="1" builtinId="3"/>
    <cellStyle name="Komma 14" xfId="20" xr:uid="{00000000-0005-0000-0000-000012000000}"/>
    <cellStyle name="Opm. INTERN" xfId="21" xr:uid="{00000000-0005-0000-0000-000014000000}"/>
    <cellStyle name="Procent" xfId="2" builtinId="5"/>
    <cellStyle name="Procent 2" xfId="3" xr:uid="{00000000-0005-0000-0000-000016000000}"/>
    <cellStyle name="Standaard" xfId="0" builtinId="0"/>
    <cellStyle name="Standaard 2 2 2" xfId="30" xr:uid="{6E5E1E11-DC24-48E9-8E33-C76C0A81217C}"/>
    <cellStyle name="Standaard 3" xfId="4" xr:uid="{00000000-0005-0000-0000-000017000000}"/>
    <cellStyle name="Standaard 3 12" xfId="28" xr:uid="{EF288323-3D23-43A4-B59B-AFF910DA5B8C}"/>
    <cellStyle name="Standaard 33" xfId="22" xr:uid="{00000000-0005-0000-0000-000018000000}"/>
    <cellStyle name="Standaard ACM-DE" xfId="5" xr:uid="{00000000-0005-0000-0000-000019000000}"/>
    <cellStyle name="Standaard_20100206 MB Hulpmiddel data q-factor" xfId="24" xr:uid="{00000000-0005-0000-0000-00001A000000}"/>
    <cellStyle name="Toelichting" xfId="8" xr:uid="{00000000-0005-0000-0000-00001B000000}"/>
  </cellStyles>
  <dxfs count="0"/>
  <tableStyles count="0" defaultTableStyle="TableStyleMedium2" defaultPivotStyle="PivotStyleLight16"/>
  <colors>
    <mruColors>
      <color rgb="FFFFFFCC"/>
      <color rgb="FFE1FFE1"/>
      <color rgb="FFFFCCFF"/>
      <color rgb="FFFFCC99"/>
      <color rgb="FFCCFFCC"/>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81000"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1341437</xdr:colOff>
      <xdr:row>41</xdr:row>
      <xdr:rowOff>7938</xdr:rowOff>
    </xdr:from>
    <xdr:to>
      <xdr:col>7</xdr:col>
      <xdr:colOff>1341437</xdr:colOff>
      <xdr:row>42</xdr:row>
      <xdr:rowOff>142875</xdr:rowOff>
    </xdr:to>
    <xdr:cxnSp macro="">
      <xdr:nvCxnSpPr>
        <xdr:cNvPr id="5" name="Straight Arrow Connector 12">
          <a:extLst>
            <a:ext uri="{FF2B5EF4-FFF2-40B4-BE49-F238E27FC236}">
              <a16:creationId xmlns:a16="http://schemas.microsoft.com/office/drawing/2014/main" id="{00000000-0008-0000-0100-000005000000}"/>
            </a:ext>
          </a:extLst>
        </xdr:cNvPr>
        <xdr:cNvCxnSpPr/>
      </xdr:nvCxnSpPr>
      <xdr:spPr>
        <a:xfrm>
          <a:off x="7570787" y="5094288"/>
          <a:ext cx="0" cy="2968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39688</xdr:colOff>
      <xdr:row>11</xdr:row>
      <xdr:rowOff>63500</xdr:rowOff>
    </xdr:from>
    <xdr:to>
      <xdr:col>9</xdr:col>
      <xdr:colOff>1341438</xdr:colOff>
      <xdr:row>11</xdr:row>
      <xdr:rowOff>63501</xdr:rowOff>
    </xdr:to>
    <xdr:cxnSp macro="">
      <xdr:nvCxnSpPr>
        <xdr:cNvPr id="13" name="Straight Arrow Connector 17">
          <a:extLst>
            <a:ext uri="{FF2B5EF4-FFF2-40B4-BE49-F238E27FC236}">
              <a16:creationId xmlns:a16="http://schemas.microsoft.com/office/drawing/2014/main" id="{00000000-0008-0000-0100-00000D000000}"/>
            </a:ext>
          </a:extLst>
        </xdr:cNvPr>
        <xdr:cNvCxnSpPr/>
      </xdr:nvCxnSpPr>
      <xdr:spPr>
        <a:xfrm>
          <a:off x="9164638" y="3206750"/>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11</xdr:row>
      <xdr:rowOff>54428</xdr:rowOff>
    </xdr:from>
    <xdr:to>
      <xdr:col>5</xdr:col>
      <xdr:colOff>1328964</xdr:colOff>
      <xdr:row>11</xdr:row>
      <xdr:rowOff>54429</xdr:rowOff>
    </xdr:to>
    <xdr:cxnSp macro="">
      <xdr:nvCxnSpPr>
        <xdr:cNvPr id="14" name="Straight Arrow Connector 20">
          <a:extLst>
            <a:ext uri="{FF2B5EF4-FFF2-40B4-BE49-F238E27FC236}">
              <a16:creationId xmlns:a16="http://schemas.microsoft.com/office/drawing/2014/main" id="{00000000-0008-0000-0100-00000E000000}"/>
            </a:ext>
          </a:extLst>
        </xdr:cNvPr>
        <xdr:cNvCxnSpPr/>
      </xdr:nvCxnSpPr>
      <xdr:spPr>
        <a:xfrm>
          <a:off x="4694464" y="3197678"/>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302907</xdr:colOff>
      <xdr:row>12</xdr:row>
      <xdr:rowOff>81643</xdr:rowOff>
    </xdr:from>
    <xdr:to>
      <xdr:col>13</xdr:col>
      <xdr:colOff>1360714</xdr:colOff>
      <xdr:row>14</xdr:row>
      <xdr:rowOff>157370</xdr:rowOff>
    </xdr:to>
    <xdr:cxnSp macro="">
      <xdr:nvCxnSpPr>
        <xdr:cNvPr id="19" name="Rechte verbindingslijn met pijl 18">
          <a:extLst>
            <a:ext uri="{FF2B5EF4-FFF2-40B4-BE49-F238E27FC236}">
              <a16:creationId xmlns:a16="http://schemas.microsoft.com/office/drawing/2014/main" id="{00000000-0008-0000-0100-000013000000}"/>
            </a:ext>
          </a:extLst>
        </xdr:cNvPr>
        <xdr:cNvCxnSpPr/>
      </xdr:nvCxnSpPr>
      <xdr:spPr>
        <a:xfrm flipV="1">
          <a:off x="13855621" y="2762250"/>
          <a:ext cx="1370772" cy="4022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12</xdr:row>
      <xdr:rowOff>157369</xdr:rowOff>
    </xdr:from>
    <xdr:to>
      <xdr:col>15</xdr:col>
      <xdr:colOff>1474305</xdr:colOff>
      <xdr:row>14</xdr:row>
      <xdr:rowOff>140804</xdr:rowOff>
    </xdr:to>
    <xdr:cxnSp macro="">
      <xdr:nvCxnSpPr>
        <xdr:cNvPr id="20" name="Rechte verbindingslijn met pijl 19">
          <a:extLst>
            <a:ext uri="{FF2B5EF4-FFF2-40B4-BE49-F238E27FC236}">
              <a16:creationId xmlns:a16="http://schemas.microsoft.com/office/drawing/2014/main" id="{00000000-0008-0000-0100-000014000000}"/>
            </a:ext>
          </a:extLst>
        </xdr:cNvPr>
        <xdr:cNvCxnSpPr/>
      </xdr:nvCxnSpPr>
      <xdr:spPr>
        <a:xfrm flipV="1">
          <a:off x="17037327" y="3511826"/>
          <a:ext cx="0" cy="31473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11</xdr:row>
      <xdr:rowOff>57978</xdr:rowOff>
    </xdr:from>
    <xdr:to>
      <xdr:col>13</xdr:col>
      <xdr:colOff>1351447</xdr:colOff>
      <xdr:row>11</xdr:row>
      <xdr:rowOff>57979</xdr:rowOff>
    </xdr:to>
    <xdr:cxnSp macro="">
      <xdr:nvCxnSpPr>
        <xdr:cNvPr id="21" name="Straight Arrow Connector 17">
          <a:extLst>
            <a:ext uri="{FF2B5EF4-FFF2-40B4-BE49-F238E27FC236}">
              <a16:creationId xmlns:a16="http://schemas.microsoft.com/office/drawing/2014/main" id="{00000000-0008-0000-0100-000015000000}"/>
            </a:ext>
          </a:extLst>
        </xdr:cNvPr>
        <xdr:cNvCxnSpPr/>
      </xdr:nvCxnSpPr>
      <xdr:spPr>
        <a:xfrm>
          <a:off x="13914784" y="3246782"/>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178593</xdr:colOff>
      <xdr:row>39</xdr:row>
      <xdr:rowOff>77391</xdr:rowOff>
    </xdr:from>
    <xdr:to>
      <xdr:col>9</xdr:col>
      <xdr:colOff>1363266</xdr:colOff>
      <xdr:row>39</xdr:row>
      <xdr:rowOff>77391</xdr:rowOff>
    </xdr:to>
    <xdr:cxnSp macro="">
      <xdr:nvCxnSpPr>
        <xdr:cNvPr id="81" name="Rechte verbindingslijn met pijl 80">
          <a:extLst>
            <a:ext uri="{FF2B5EF4-FFF2-40B4-BE49-F238E27FC236}">
              <a16:creationId xmlns:a16="http://schemas.microsoft.com/office/drawing/2014/main" id="{00000000-0008-0000-0100-000051000000}"/>
            </a:ext>
          </a:extLst>
        </xdr:cNvPr>
        <xdr:cNvCxnSpPr/>
      </xdr:nvCxnSpPr>
      <xdr:spPr>
        <a:xfrm>
          <a:off x="9114234" y="5613797"/>
          <a:ext cx="136326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160734</xdr:colOff>
      <xdr:row>44</xdr:row>
      <xdr:rowOff>89297</xdr:rowOff>
    </xdr:from>
    <xdr:to>
      <xdr:col>9</xdr:col>
      <xdr:colOff>1369219</xdr:colOff>
      <xdr:row>44</xdr:row>
      <xdr:rowOff>89297</xdr:rowOff>
    </xdr:to>
    <xdr:cxnSp macro="">
      <xdr:nvCxnSpPr>
        <xdr:cNvPr id="83" name="Rechte verbindingslijn met pijl 82">
          <a:extLst>
            <a:ext uri="{FF2B5EF4-FFF2-40B4-BE49-F238E27FC236}">
              <a16:creationId xmlns:a16="http://schemas.microsoft.com/office/drawing/2014/main" id="{00000000-0008-0000-0100-000053000000}"/>
            </a:ext>
          </a:extLst>
        </xdr:cNvPr>
        <xdr:cNvCxnSpPr/>
      </xdr:nvCxnSpPr>
      <xdr:spPr>
        <a:xfrm>
          <a:off x="9096375" y="6429375"/>
          <a:ext cx="13870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38</xdr:row>
      <xdr:rowOff>87086</xdr:rowOff>
    </xdr:from>
    <xdr:to>
      <xdr:col>6</xdr:col>
      <xdr:colOff>0</xdr:colOff>
      <xdr:row>38</xdr:row>
      <xdr:rowOff>87086</xdr:rowOff>
    </xdr:to>
    <xdr:cxnSp macro="">
      <xdr:nvCxnSpPr>
        <xdr:cNvPr id="86" name="Rechte verbindingslijn met pijl 85">
          <a:extLst>
            <a:ext uri="{FF2B5EF4-FFF2-40B4-BE49-F238E27FC236}">
              <a16:creationId xmlns:a16="http://schemas.microsoft.com/office/drawing/2014/main" id="{00000000-0008-0000-0100-000056000000}"/>
            </a:ext>
          </a:extLst>
        </xdr:cNvPr>
        <xdr:cNvCxnSpPr/>
      </xdr:nvCxnSpPr>
      <xdr:spPr>
        <a:xfrm>
          <a:off x="4669971" y="5529943"/>
          <a:ext cx="13824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39</xdr:row>
      <xdr:rowOff>0</xdr:rowOff>
    </xdr:from>
    <xdr:to>
      <xdr:col>5</xdr:col>
      <xdr:colOff>1366158</xdr:colOff>
      <xdr:row>43</xdr:row>
      <xdr:rowOff>125185</xdr:rowOff>
    </xdr:to>
    <xdr:cxnSp macro="">
      <xdr:nvCxnSpPr>
        <xdr:cNvPr id="88" name="Rechte verbindingslijn met pijl 87">
          <a:extLst>
            <a:ext uri="{FF2B5EF4-FFF2-40B4-BE49-F238E27FC236}">
              <a16:creationId xmlns:a16="http://schemas.microsoft.com/office/drawing/2014/main" id="{00000000-0008-0000-0100-000058000000}"/>
            </a:ext>
          </a:extLst>
        </xdr:cNvPr>
        <xdr:cNvCxnSpPr/>
      </xdr:nvCxnSpPr>
      <xdr:spPr>
        <a:xfrm flipV="1">
          <a:off x="4664529" y="5606143"/>
          <a:ext cx="1371600" cy="7783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163286</xdr:colOff>
      <xdr:row>39</xdr:row>
      <xdr:rowOff>97971</xdr:rowOff>
    </xdr:from>
    <xdr:to>
      <xdr:col>5</xdr:col>
      <xdr:colOff>1377043</xdr:colOff>
      <xdr:row>48</xdr:row>
      <xdr:rowOff>157843</xdr:rowOff>
    </xdr:to>
    <xdr:cxnSp macro="">
      <xdr:nvCxnSpPr>
        <xdr:cNvPr id="90" name="Rechte verbindingslijn met pijl 89">
          <a:extLst>
            <a:ext uri="{FF2B5EF4-FFF2-40B4-BE49-F238E27FC236}">
              <a16:creationId xmlns:a16="http://schemas.microsoft.com/office/drawing/2014/main" id="{00000000-0008-0000-0100-00005A000000}"/>
            </a:ext>
          </a:extLst>
        </xdr:cNvPr>
        <xdr:cNvCxnSpPr/>
      </xdr:nvCxnSpPr>
      <xdr:spPr>
        <a:xfrm flipV="1">
          <a:off x="4653643" y="5704114"/>
          <a:ext cx="1393371" cy="15294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39</xdr:row>
      <xdr:rowOff>70757</xdr:rowOff>
    </xdr:from>
    <xdr:to>
      <xdr:col>6</xdr:col>
      <xdr:colOff>10886</xdr:colOff>
      <xdr:row>43</xdr:row>
      <xdr:rowOff>163285</xdr:rowOff>
    </xdr:to>
    <xdr:cxnSp macro="">
      <xdr:nvCxnSpPr>
        <xdr:cNvPr id="96" name="Rechte verbindingslijn met pijl 95">
          <a:extLst>
            <a:ext uri="{FF2B5EF4-FFF2-40B4-BE49-F238E27FC236}">
              <a16:creationId xmlns:a16="http://schemas.microsoft.com/office/drawing/2014/main" id="{00000000-0008-0000-0100-000060000000}"/>
            </a:ext>
          </a:extLst>
        </xdr:cNvPr>
        <xdr:cNvCxnSpPr/>
      </xdr:nvCxnSpPr>
      <xdr:spPr>
        <a:xfrm>
          <a:off x="4669971" y="5676900"/>
          <a:ext cx="1393372" cy="7456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168729</xdr:colOff>
      <xdr:row>44</xdr:row>
      <xdr:rowOff>108858</xdr:rowOff>
    </xdr:from>
    <xdr:to>
      <xdr:col>6</xdr:col>
      <xdr:colOff>10886</xdr:colOff>
      <xdr:row>44</xdr:row>
      <xdr:rowOff>108858</xdr:rowOff>
    </xdr:to>
    <xdr:cxnSp macro="">
      <xdr:nvCxnSpPr>
        <xdr:cNvPr id="98" name="Rechte verbindingslijn met pijl 97">
          <a:extLst>
            <a:ext uri="{FF2B5EF4-FFF2-40B4-BE49-F238E27FC236}">
              <a16:creationId xmlns:a16="http://schemas.microsoft.com/office/drawing/2014/main" id="{00000000-0008-0000-0100-000062000000}"/>
            </a:ext>
          </a:extLst>
        </xdr:cNvPr>
        <xdr:cNvCxnSpPr/>
      </xdr:nvCxnSpPr>
      <xdr:spPr>
        <a:xfrm>
          <a:off x="4659086" y="6531429"/>
          <a:ext cx="140425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8283</xdr:colOff>
      <xdr:row>45</xdr:row>
      <xdr:rowOff>76201</xdr:rowOff>
    </xdr:from>
    <xdr:to>
      <xdr:col>6</xdr:col>
      <xdr:colOff>5443</xdr:colOff>
      <xdr:row>49</xdr:row>
      <xdr:rowOff>57978</xdr:rowOff>
    </xdr:to>
    <xdr:cxnSp macro="">
      <xdr:nvCxnSpPr>
        <xdr:cNvPr id="100" name="Rechte verbindingslijn met pijl 99">
          <a:extLst>
            <a:ext uri="{FF2B5EF4-FFF2-40B4-BE49-F238E27FC236}">
              <a16:creationId xmlns:a16="http://schemas.microsoft.com/office/drawing/2014/main" id="{00000000-0008-0000-0100-000064000000}"/>
            </a:ext>
          </a:extLst>
        </xdr:cNvPr>
        <xdr:cNvCxnSpPr/>
      </xdr:nvCxnSpPr>
      <xdr:spPr>
        <a:xfrm flipV="1">
          <a:off x="4679674" y="7240658"/>
          <a:ext cx="1380356" cy="6443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1556657</xdr:colOff>
      <xdr:row>41</xdr:row>
      <xdr:rowOff>16329</xdr:rowOff>
    </xdr:from>
    <xdr:to>
      <xdr:col>11</xdr:col>
      <xdr:colOff>1556657</xdr:colOff>
      <xdr:row>43</xdr:row>
      <xdr:rowOff>0</xdr:rowOff>
    </xdr:to>
    <xdr:cxnSp macro="">
      <xdr:nvCxnSpPr>
        <xdr:cNvPr id="102" name="Rechte verbindingslijn met pijl 101">
          <a:extLst>
            <a:ext uri="{FF2B5EF4-FFF2-40B4-BE49-F238E27FC236}">
              <a16:creationId xmlns:a16="http://schemas.microsoft.com/office/drawing/2014/main" id="{00000000-0008-0000-0100-000066000000}"/>
            </a:ext>
          </a:extLst>
        </xdr:cNvPr>
        <xdr:cNvCxnSpPr/>
      </xdr:nvCxnSpPr>
      <xdr:spPr>
        <a:xfrm flipV="1">
          <a:off x="12382500" y="5949043"/>
          <a:ext cx="0" cy="3102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87086</xdr:colOff>
      <xdr:row>36</xdr:row>
      <xdr:rowOff>152400</xdr:rowOff>
    </xdr:from>
    <xdr:to>
      <xdr:col>4</xdr:col>
      <xdr:colOff>87086</xdr:colOff>
      <xdr:row>38</xdr:row>
      <xdr:rowOff>5443</xdr:rowOff>
    </xdr:to>
    <xdr:cxnSp macro="">
      <xdr:nvCxnSpPr>
        <xdr:cNvPr id="104" name="Rechte verbindingslijn 103">
          <a:extLst>
            <a:ext uri="{FF2B5EF4-FFF2-40B4-BE49-F238E27FC236}">
              <a16:creationId xmlns:a16="http://schemas.microsoft.com/office/drawing/2014/main" id="{00000000-0008-0000-0100-000068000000}"/>
            </a:ext>
          </a:extLst>
        </xdr:cNvPr>
        <xdr:cNvCxnSpPr/>
      </xdr:nvCxnSpPr>
      <xdr:spPr>
        <a:xfrm flipV="1">
          <a:off x="4577443" y="5758543"/>
          <a:ext cx="0" cy="1796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1469571</xdr:colOff>
      <xdr:row>34</xdr:row>
      <xdr:rowOff>122464</xdr:rowOff>
    </xdr:from>
    <xdr:to>
      <xdr:col>11</xdr:col>
      <xdr:colOff>1475015</xdr:colOff>
      <xdr:row>37</xdr:row>
      <xdr:rowOff>157842</xdr:rowOff>
    </xdr:to>
    <xdr:cxnSp macro="">
      <xdr:nvCxnSpPr>
        <xdr:cNvPr id="108" name="Rechte verbindingslijn met pijl 107">
          <a:extLst>
            <a:ext uri="{FF2B5EF4-FFF2-40B4-BE49-F238E27FC236}">
              <a16:creationId xmlns:a16="http://schemas.microsoft.com/office/drawing/2014/main" id="{00000000-0008-0000-0100-00006C000000}"/>
            </a:ext>
          </a:extLst>
        </xdr:cNvPr>
        <xdr:cNvCxnSpPr/>
      </xdr:nvCxnSpPr>
      <xdr:spPr>
        <a:xfrm>
          <a:off x="12300857" y="6395357"/>
          <a:ext cx="5444" cy="6885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165652</xdr:colOff>
      <xdr:row>40</xdr:row>
      <xdr:rowOff>57978</xdr:rowOff>
    </xdr:from>
    <xdr:to>
      <xdr:col>9</xdr:col>
      <xdr:colOff>1358348</xdr:colOff>
      <xdr:row>43</xdr:row>
      <xdr:rowOff>132522</xdr:rowOff>
    </xdr:to>
    <xdr:cxnSp macro="">
      <xdr:nvCxnSpPr>
        <xdr:cNvPr id="120" name="Rechte verbindingslijn met pijl 119">
          <a:extLst>
            <a:ext uri="{FF2B5EF4-FFF2-40B4-BE49-F238E27FC236}">
              <a16:creationId xmlns:a16="http://schemas.microsoft.com/office/drawing/2014/main" id="{00000000-0008-0000-0100-000078000000}"/>
            </a:ext>
          </a:extLst>
        </xdr:cNvPr>
        <xdr:cNvCxnSpPr/>
      </xdr:nvCxnSpPr>
      <xdr:spPr>
        <a:xfrm flipV="1">
          <a:off x="9119152" y="6394174"/>
          <a:ext cx="1374913" cy="5715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49</xdr:row>
      <xdr:rowOff>149087</xdr:rowOff>
    </xdr:from>
    <xdr:to>
      <xdr:col>11</xdr:col>
      <xdr:colOff>646044</xdr:colOff>
      <xdr:row>49</xdr:row>
      <xdr:rowOff>149087</xdr:rowOff>
    </xdr:to>
    <xdr:cxnSp macro="">
      <xdr:nvCxnSpPr>
        <xdr:cNvPr id="123" name="Rechte verbindingslijn 122">
          <a:extLst>
            <a:ext uri="{FF2B5EF4-FFF2-40B4-BE49-F238E27FC236}">
              <a16:creationId xmlns:a16="http://schemas.microsoft.com/office/drawing/2014/main" id="{00000000-0008-0000-0100-00007B000000}"/>
            </a:ext>
          </a:extLst>
        </xdr:cNvPr>
        <xdr:cNvCxnSpPr/>
      </xdr:nvCxnSpPr>
      <xdr:spPr>
        <a:xfrm>
          <a:off x="4671391" y="7976152"/>
          <a:ext cx="68083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654326</xdr:colOff>
      <xdr:row>46</xdr:row>
      <xdr:rowOff>0</xdr:rowOff>
    </xdr:from>
    <xdr:to>
      <xdr:col>11</xdr:col>
      <xdr:colOff>654326</xdr:colOff>
      <xdr:row>49</xdr:row>
      <xdr:rowOff>149087</xdr:rowOff>
    </xdr:to>
    <xdr:cxnSp macro="">
      <xdr:nvCxnSpPr>
        <xdr:cNvPr id="125" name="Rechte verbindingslijn met pijl 124">
          <a:extLst>
            <a:ext uri="{FF2B5EF4-FFF2-40B4-BE49-F238E27FC236}">
              <a16:creationId xmlns:a16="http://schemas.microsoft.com/office/drawing/2014/main" id="{00000000-0008-0000-0100-00007D000000}"/>
            </a:ext>
          </a:extLst>
        </xdr:cNvPr>
        <xdr:cNvCxnSpPr/>
      </xdr:nvCxnSpPr>
      <xdr:spPr>
        <a:xfrm flipV="1">
          <a:off x="11487978" y="7330109"/>
          <a:ext cx="0" cy="6460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50</xdr:row>
      <xdr:rowOff>140805</xdr:rowOff>
    </xdr:from>
    <xdr:to>
      <xdr:col>13</xdr:col>
      <xdr:colOff>463826</xdr:colOff>
      <xdr:row>50</xdr:row>
      <xdr:rowOff>140805</xdr:rowOff>
    </xdr:to>
    <xdr:cxnSp macro="">
      <xdr:nvCxnSpPr>
        <xdr:cNvPr id="127" name="Rechte verbindingslijn 126">
          <a:extLst>
            <a:ext uri="{FF2B5EF4-FFF2-40B4-BE49-F238E27FC236}">
              <a16:creationId xmlns:a16="http://schemas.microsoft.com/office/drawing/2014/main" id="{00000000-0008-0000-0100-00007F000000}"/>
            </a:ext>
          </a:extLst>
        </xdr:cNvPr>
        <xdr:cNvCxnSpPr/>
      </xdr:nvCxnSpPr>
      <xdr:spPr>
        <a:xfrm>
          <a:off x="4671391" y="8133522"/>
          <a:ext cx="965752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455544</xdr:colOff>
      <xdr:row>40</xdr:row>
      <xdr:rowOff>99392</xdr:rowOff>
    </xdr:from>
    <xdr:to>
      <xdr:col>13</xdr:col>
      <xdr:colOff>455544</xdr:colOff>
      <xdr:row>50</xdr:row>
      <xdr:rowOff>140805</xdr:rowOff>
    </xdr:to>
    <xdr:cxnSp macro="">
      <xdr:nvCxnSpPr>
        <xdr:cNvPr id="129" name="Rechte verbindingslijn 128">
          <a:extLst>
            <a:ext uri="{FF2B5EF4-FFF2-40B4-BE49-F238E27FC236}">
              <a16:creationId xmlns:a16="http://schemas.microsoft.com/office/drawing/2014/main" id="{00000000-0008-0000-0100-000081000000}"/>
            </a:ext>
          </a:extLst>
        </xdr:cNvPr>
        <xdr:cNvCxnSpPr/>
      </xdr:nvCxnSpPr>
      <xdr:spPr>
        <a:xfrm flipV="1">
          <a:off x="14320631" y="6435588"/>
          <a:ext cx="0" cy="169793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3313</xdr:colOff>
      <xdr:row>40</xdr:row>
      <xdr:rowOff>99865</xdr:rowOff>
    </xdr:from>
    <xdr:to>
      <xdr:col>13</xdr:col>
      <xdr:colOff>465956</xdr:colOff>
      <xdr:row>40</xdr:row>
      <xdr:rowOff>99865</xdr:rowOff>
    </xdr:to>
    <xdr:cxnSp macro="">
      <xdr:nvCxnSpPr>
        <xdr:cNvPr id="131" name="Rechte verbindingslijn met pijl 130">
          <a:extLst>
            <a:ext uri="{FF2B5EF4-FFF2-40B4-BE49-F238E27FC236}">
              <a16:creationId xmlns:a16="http://schemas.microsoft.com/office/drawing/2014/main" id="{00000000-0008-0000-0100-000083000000}"/>
            </a:ext>
          </a:extLst>
        </xdr:cNvPr>
        <xdr:cNvCxnSpPr/>
      </xdr:nvCxnSpPr>
      <xdr:spPr>
        <a:xfrm flipH="1">
          <a:off x="13868400" y="6436061"/>
          <a:ext cx="4626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1660072</xdr:colOff>
      <xdr:row>33</xdr:row>
      <xdr:rowOff>95250</xdr:rowOff>
    </xdr:from>
    <xdr:to>
      <xdr:col>3</xdr:col>
      <xdr:colOff>1673678</xdr:colOff>
      <xdr:row>38</xdr:row>
      <xdr:rowOff>0</xdr:rowOff>
    </xdr:to>
    <xdr:cxnSp macro="">
      <xdr:nvCxnSpPr>
        <xdr:cNvPr id="3" name="Rechte verbindingslijn 2">
          <a:extLst>
            <a:ext uri="{FF2B5EF4-FFF2-40B4-BE49-F238E27FC236}">
              <a16:creationId xmlns:a16="http://schemas.microsoft.com/office/drawing/2014/main" id="{00000000-0008-0000-0100-000003000000}"/>
            </a:ext>
          </a:extLst>
        </xdr:cNvPr>
        <xdr:cNvCxnSpPr/>
      </xdr:nvCxnSpPr>
      <xdr:spPr>
        <a:xfrm flipH="1" flipV="1">
          <a:off x="3429001" y="6204857"/>
          <a:ext cx="13606" cy="8844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1355481</xdr:colOff>
      <xdr:row>33</xdr:row>
      <xdr:rowOff>81643</xdr:rowOff>
    </xdr:from>
    <xdr:to>
      <xdr:col>15</xdr:col>
      <xdr:colOff>1360715</xdr:colOff>
      <xdr:row>37</xdr:row>
      <xdr:rowOff>153865</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xdr:nvCxnSpPr>
      <xdr:spPr>
        <a:xfrm flipH="1">
          <a:off x="16922052" y="6191250"/>
          <a:ext cx="5234" cy="8886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7327</xdr:colOff>
      <xdr:row>39</xdr:row>
      <xdr:rowOff>117230</xdr:rowOff>
    </xdr:from>
    <xdr:to>
      <xdr:col>14</xdr:col>
      <xdr:colOff>0</xdr:colOff>
      <xdr:row>39</xdr:row>
      <xdr:rowOff>117230</xdr:rowOff>
    </xdr:to>
    <xdr:cxnSp macro="">
      <xdr:nvCxnSpPr>
        <xdr:cNvPr id="10" name="Rechte verbindingslijn met pijl 9">
          <a:extLst>
            <a:ext uri="{FF2B5EF4-FFF2-40B4-BE49-F238E27FC236}">
              <a16:creationId xmlns:a16="http://schemas.microsoft.com/office/drawing/2014/main" id="{00000000-0008-0000-0100-00000A000000}"/>
            </a:ext>
          </a:extLst>
        </xdr:cNvPr>
        <xdr:cNvCxnSpPr/>
      </xdr:nvCxnSpPr>
      <xdr:spPr>
        <a:xfrm>
          <a:off x="13884519" y="6154615"/>
          <a:ext cx="137746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13</xdr:row>
      <xdr:rowOff>40821</xdr:rowOff>
    </xdr:from>
    <xdr:to>
      <xdr:col>14</xdr:col>
      <xdr:colOff>0</xdr:colOff>
      <xdr:row>21</xdr:row>
      <xdr:rowOff>13608</xdr:rowOff>
    </xdr:to>
    <xdr:cxnSp macro="">
      <xdr:nvCxnSpPr>
        <xdr:cNvPr id="35" name="Rechte verbindingslijn met pijl 18">
          <a:extLst>
            <a:ext uri="{FF2B5EF4-FFF2-40B4-BE49-F238E27FC236}">
              <a16:creationId xmlns:a16="http://schemas.microsoft.com/office/drawing/2014/main" id="{00000000-0008-0000-0100-000023000000}"/>
            </a:ext>
          </a:extLst>
        </xdr:cNvPr>
        <xdr:cNvCxnSpPr/>
      </xdr:nvCxnSpPr>
      <xdr:spPr>
        <a:xfrm flipV="1">
          <a:off x="13865679" y="2884714"/>
          <a:ext cx="1387928" cy="127907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16329</xdr:colOff>
      <xdr:row>33</xdr:row>
      <xdr:rowOff>70757</xdr:rowOff>
    </xdr:from>
    <xdr:to>
      <xdr:col>15</xdr:col>
      <xdr:colOff>1374322</xdr:colOff>
      <xdr:row>33</xdr:row>
      <xdr:rowOff>81643</xdr:rowOff>
    </xdr:to>
    <xdr:cxnSp macro="">
      <xdr:nvCxnSpPr>
        <xdr:cNvPr id="50" name="Rechte verbindingslijn 5">
          <a:extLst>
            <a:ext uri="{FF2B5EF4-FFF2-40B4-BE49-F238E27FC236}">
              <a16:creationId xmlns:a16="http://schemas.microsoft.com/office/drawing/2014/main" id="{00000000-0008-0000-0100-000032000000}"/>
            </a:ext>
          </a:extLst>
        </xdr:cNvPr>
        <xdr:cNvCxnSpPr/>
      </xdr:nvCxnSpPr>
      <xdr:spPr>
        <a:xfrm>
          <a:off x="9146722" y="6180364"/>
          <a:ext cx="7794171" cy="10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1646465</xdr:colOff>
      <xdr:row>33</xdr:row>
      <xdr:rowOff>68036</xdr:rowOff>
    </xdr:from>
    <xdr:to>
      <xdr:col>6</xdr:col>
      <xdr:colOff>13608</xdr:colOff>
      <xdr:row>33</xdr:row>
      <xdr:rowOff>81643</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a:xfrm>
          <a:off x="3415394" y="6177643"/>
          <a:ext cx="2653393" cy="1360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34</xdr:row>
      <xdr:rowOff>122464</xdr:rowOff>
    </xdr:from>
    <xdr:to>
      <xdr:col>11</xdr:col>
      <xdr:colOff>1469571</xdr:colOff>
      <xdr:row>34</xdr:row>
      <xdr:rowOff>122464</xdr:rowOff>
    </xdr:to>
    <xdr:cxnSp macro="">
      <xdr:nvCxnSpPr>
        <xdr:cNvPr id="59" name="Rechte verbindingslijn 105">
          <a:extLst>
            <a:ext uri="{FF2B5EF4-FFF2-40B4-BE49-F238E27FC236}">
              <a16:creationId xmlns:a16="http://schemas.microsoft.com/office/drawing/2014/main" id="{00000000-0008-0000-0100-00003B000000}"/>
            </a:ext>
          </a:extLst>
        </xdr:cNvPr>
        <xdr:cNvCxnSpPr/>
      </xdr:nvCxnSpPr>
      <xdr:spPr>
        <a:xfrm>
          <a:off x="9130393" y="6395357"/>
          <a:ext cx="31704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1360715</xdr:colOff>
      <xdr:row>35</xdr:row>
      <xdr:rowOff>27214</xdr:rowOff>
    </xdr:from>
    <xdr:to>
      <xdr:col>7</xdr:col>
      <xdr:colOff>1360715</xdr:colOff>
      <xdr:row>38</xdr:row>
      <xdr:rowOff>0</xdr:rowOff>
    </xdr:to>
    <xdr:cxnSp macro="">
      <xdr:nvCxnSpPr>
        <xdr:cNvPr id="62" name="Straight Arrow Connector 12">
          <a:extLst>
            <a:ext uri="{FF2B5EF4-FFF2-40B4-BE49-F238E27FC236}">
              <a16:creationId xmlns:a16="http://schemas.microsoft.com/office/drawing/2014/main" id="{00000000-0008-0000-0100-00003E000000}"/>
            </a:ext>
          </a:extLst>
        </xdr:cNvPr>
        <xdr:cNvCxnSpPr/>
      </xdr:nvCxnSpPr>
      <xdr:spPr>
        <a:xfrm>
          <a:off x="7592786" y="6463393"/>
          <a:ext cx="0" cy="6259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cm.nl/nl/publicaties/berekening-x-factor-bij-gewijzigde-x-factorbesluiten-elektriciteit-2017-2021" TargetMode="External"/><Relationship Id="rId1" Type="http://schemas.openxmlformats.org/officeDocument/2006/relationships/hyperlink" Target="https://support.office.com/nl-nl/article/de-invoegtoepassing-oplosser-laden-in-excel-612926fc-d53b-46b4-872c-e24772f078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CCC8D9"/>
  </sheetPr>
  <dimension ref="B2:D37"/>
  <sheetViews>
    <sheetView showGridLines="0" tabSelected="1" zoomScale="85" zoomScaleNormal="85" workbookViewId="0">
      <pane ySplit="3" topLeftCell="A4" activePane="bottomLeft" state="frozen"/>
      <selection pane="bottomLeft" activeCell="A4" sqref="A4"/>
    </sheetView>
  </sheetViews>
  <sheetFormatPr defaultRowHeight="12.75" x14ac:dyDescent="0.25"/>
  <cols>
    <col min="1" max="1" width="4.7109375" style="35" customWidth="1"/>
    <col min="2" max="2" width="39.85546875" style="35" customWidth="1"/>
    <col min="3" max="3" width="91.85546875" style="35" customWidth="1"/>
    <col min="4" max="16384" width="9.140625" style="35"/>
  </cols>
  <sheetData>
    <row r="2" spans="2:3" s="51" customFormat="1" ht="18" x14ac:dyDescent="0.25">
      <c r="B2" s="51" t="s">
        <v>270</v>
      </c>
    </row>
    <row r="6" spans="2:3" x14ac:dyDescent="0.25">
      <c r="B6" s="39"/>
    </row>
    <row r="13" spans="2:3" s="41" customFormat="1" x14ac:dyDescent="0.25">
      <c r="B13" s="41" t="s">
        <v>73</v>
      </c>
    </row>
    <row r="14" spans="2:3" s="52" customFormat="1" x14ac:dyDescent="0.25"/>
    <row r="15" spans="2:3" x14ac:dyDescent="0.25">
      <c r="B15" s="53" t="s">
        <v>74</v>
      </c>
      <c r="C15" s="54" t="s">
        <v>271</v>
      </c>
    </row>
    <row r="16" spans="2:3" x14ac:dyDescent="0.25">
      <c r="B16" s="53" t="s">
        <v>75</v>
      </c>
      <c r="C16" s="54" t="s">
        <v>270</v>
      </c>
    </row>
    <row r="17" spans="2:3" x14ac:dyDescent="0.25">
      <c r="B17" s="53" t="s">
        <v>76</v>
      </c>
      <c r="C17" s="54" t="s">
        <v>148</v>
      </c>
    </row>
    <row r="18" spans="2:3" x14ac:dyDescent="0.25">
      <c r="B18" s="53" t="s">
        <v>77</v>
      </c>
      <c r="C18" s="54" t="s">
        <v>272</v>
      </c>
    </row>
    <row r="19" spans="2:3" x14ac:dyDescent="0.25">
      <c r="B19" s="53" t="s">
        <v>78</v>
      </c>
      <c r="C19" s="54" t="s">
        <v>148</v>
      </c>
    </row>
    <row r="20" spans="2:3" x14ac:dyDescent="0.25">
      <c r="B20" s="53" t="s">
        <v>79</v>
      </c>
      <c r="C20" s="54" t="s">
        <v>148</v>
      </c>
    </row>
    <row r="21" spans="2:3" ht="51" x14ac:dyDescent="0.25">
      <c r="B21" s="53" t="s">
        <v>80</v>
      </c>
      <c r="C21" s="54" t="s">
        <v>273</v>
      </c>
    </row>
    <row r="22" spans="2:3" x14ac:dyDescent="0.25">
      <c r="B22" s="53" t="s">
        <v>81</v>
      </c>
      <c r="C22" s="54" t="s">
        <v>148</v>
      </c>
    </row>
    <row r="25" spans="2:3" s="41" customFormat="1" x14ac:dyDescent="0.25">
      <c r="B25" s="41" t="s">
        <v>82</v>
      </c>
    </row>
    <row r="27" spans="2:3" x14ac:dyDescent="0.25">
      <c r="B27" s="54" t="s">
        <v>83</v>
      </c>
      <c r="C27" s="54" t="s">
        <v>335</v>
      </c>
    </row>
    <row r="28" spans="2:3" x14ac:dyDescent="0.25">
      <c r="B28" s="54" t="s">
        <v>84</v>
      </c>
      <c r="C28" s="54" t="s">
        <v>335</v>
      </c>
    </row>
    <row r="29" spans="2:3" ht="25.5" x14ac:dyDescent="0.25">
      <c r="B29" s="54" t="s">
        <v>85</v>
      </c>
      <c r="C29" s="54" t="s">
        <v>335</v>
      </c>
    </row>
    <row r="30" spans="2:3" x14ac:dyDescent="0.25">
      <c r="B30" s="54" t="s">
        <v>86</v>
      </c>
      <c r="C30" s="54"/>
    </row>
    <row r="31" spans="2:3" x14ac:dyDescent="0.25">
      <c r="B31" s="54" t="s">
        <v>87</v>
      </c>
      <c r="C31" s="54" t="s">
        <v>148</v>
      </c>
    </row>
    <row r="32" spans="2:3" x14ac:dyDescent="0.25">
      <c r="B32" s="54" t="s">
        <v>81</v>
      </c>
      <c r="C32" s="54" t="s">
        <v>148</v>
      </c>
    </row>
    <row r="34" spans="2:4" x14ac:dyDescent="0.25">
      <c r="B34" s="55"/>
      <c r="C34" s="55"/>
      <c r="D34" s="56"/>
    </row>
    <row r="35" spans="2:4" s="41" customFormat="1" x14ac:dyDescent="0.25">
      <c r="B35" s="41" t="s">
        <v>275</v>
      </c>
    </row>
    <row r="37" spans="2:4" x14ac:dyDescent="0.25">
      <c r="B37" s="160" t="s">
        <v>274</v>
      </c>
    </row>
  </sheetData>
  <hyperlinks>
    <hyperlink ref="B37" r:id="rId1" xr:uid="{AED9A6B2-6303-4ECC-8BBE-8DE75DE221A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1:T30"/>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customHeight="1" x14ac:dyDescent="0.2"/>
  <cols>
    <col min="1" max="1" width="2.7109375" style="22" customWidth="1"/>
    <col min="2" max="2" width="46" style="22" customWidth="1"/>
    <col min="3" max="3" width="2.7109375" style="22" customWidth="1"/>
    <col min="4" max="4" width="17" style="22" customWidth="1"/>
    <col min="5" max="5" width="2.7109375" style="22" customWidth="1"/>
    <col min="6" max="6" width="14" style="22" customWidth="1"/>
    <col min="7" max="7" width="2.7109375" style="22" customWidth="1"/>
    <col min="8" max="8" width="15.7109375" style="13" customWidth="1"/>
    <col min="9" max="9" width="2.7109375" style="22" customWidth="1"/>
    <col min="10" max="10" width="15.7109375" style="13" customWidth="1"/>
    <col min="11" max="11" width="2.42578125" style="13" customWidth="1"/>
    <col min="12" max="17" width="14.7109375" style="13" customWidth="1"/>
    <col min="18" max="18" width="2.42578125" style="13" customWidth="1"/>
    <col min="19" max="16384" width="9.140625" style="22"/>
  </cols>
  <sheetData>
    <row r="1" spans="2:20" s="35" customFormat="1" x14ac:dyDescent="0.25"/>
    <row r="2" spans="2:20" s="36" customFormat="1" ht="18" x14ac:dyDescent="0.25">
      <c r="B2" s="36" t="s">
        <v>249</v>
      </c>
    </row>
    <row r="3" spans="2:20" s="35" customFormat="1" x14ac:dyDescent="0.25"/>
    <row r="4" spans="2:20" s="35" customFormat="1" ht="15" x14ac:dyDescent="0.25">
      <c r="B4" s="37" t="s">
        <v>35</v>
      </c>
      <c r="K4" s="38"/>
      <c r="R4" s="38"/>
    </row>
    <row r="5" spans="2:20" s="35" customFormat="1" ht="36.75" customHeight="1" x14ac:dyDescent="0.25">
      <c r="B5" s="167" t="s">
        <v>299</v>
      </c>
      <c r="C5" s="167"/>
      <c r="D5" s="167"/>
      <c r="E5" s="167"/>
      <c r="F5" s="167"/>
    </row>
    <row r="6" spans="2:20" ht="12.75" customHeight="1" x14ac:dyDescent="0.2">
      <c r="B6" s="12"/>
    </row>
    <row r="7" spans="2:20" ht="12.75" customHeight="1" x14ac:dyDescent="0.2">
      <c r="B7" s="44" t="s">
        <v>51</v>
      </c>
    </row>
    <row r="8" spans="2:20" ht="25.5" customHeight="1" x14ac:dyDescent="0.2">
      <c r="B8" s="167" t="s">
        <v>319</v>
      </c>
      <c r="C8" s="167"/>
      <c r="D8" s="167"/>
      <c r="E8" s="167"/>
      <c r="F8" s="167"/>
    </row>
    <row r="9" spans="2:20" ht="12.75" customHeight="1" x14ac:dyDescent="0.2">
      <c r="B9" s="111"/>
    </row>
    <row r="10" spans="2:20" s="41" customFormat="1" x14ac:dyDescent="0.25">
      <c r="B10" s="41" t="s">
        <v>36</v>
      </c>
      <c r="D10" s="41" t="s">
        <v>13</v>
      </c>
      <c r="F10" s="41" t="s">
        <v>1</v>
      </c>
      <c r="H10" s="41" t="s">
        <v>192</v>
      </c>
      <c r="J10" s="41" t="s">
        <v>193</v>
      </c>
      <c r="L10" s="163">
        <v>2021</v>
      </c>
      <c r="M10" s="163">
        <v>2022</v>
      </c>
      <c r="N10" s="163">
        <v>2023</v>
      </c>
      <c r="O10" s="163">
        <v>2024</v>
      </c>
      <c r="P10" s="163">
        <v>2025</v>
      </c>
      <c r="Q10" s="163">
        <v>2026</v>
      </c>
      <c r="S10" s="41" t="s">
        <v>219</v>
      </c>
    </row>
    <row r="12" spans="2:20" s="41" customFormat="1" x14ac:dyDescent="0.25">
      <c r="B12" s="41" t="s">
        <v>0</v>
      </c>
    </row>
    <row r="13" spans="2:20" ht="12" customHeight="1" x14ac:dyDescent="0.2">
      <c r="H13" s="22"/>
      <c r="J13" s="22"/>
      <c r="K13" s="22"/>
      <c r="L13" s="22"/>
      <c r="M13" s="22"/>
      <c r="N13" s="22"/>
      <c r="O13" s="22"/>
      <c r="P13" s="22"/>
      <c r="Q13" s="22"/>
      <c r="R13" s="22"/>
    </row>
    <row r="14" spans="2:20" s="141" customFormat="1" x14ac:dyDescent="0.25">
      <c r="B14" s="142" t="s">
        <v>236</v>
      </c>
    </row>
    <row r="15" spans="2:20" s="141" customFormat="1" ht="15" x14ac:dyDescent="0.25">
      <c r="B15" s="141" t="s">
        <v>236</v>
      </c>
      <c r="F15" s="141" t="s">
        <v>11</v>
      </c>
      <c r="L15" s="143">
        <f>'1) Reguleringsparameters'!H12</f>
        <v>3.4000000000000002E-2</v>
      </c>
      <c r="M15" s="144"/>
      <c r="N15" s="144"/>
      <c r="O15" s="144"/>
      <c r="P15" s="144"/>
      <c r="Q15" s="143">
        <f>'1) Reguleringsparameters'!H13</f>
        <v>3.6999999999999998E-2</v>
      </c>
    </row>
    <row r="16" spans="2:20" x14ac:dyDescent="0.2">
      <c r="H16" s="22"/>
      <c r="J16" s="22"/>
      <c r="K16" s="22"/>
      <c r="L16" s="109"/>
      <c r="M16" s="109"/>
      <c r="N16" s="109"/>
      <c r="O16" s="109"/>
      <c r="P16" s="109"/>
      <c r="Q16" s="109"/>
      <c r="R16" s="109"/>
      <c r="S16" s="6"/>
      <c r="T16" s="6"/>
    </row>
    <row r="17" spans="2:19" s="41" customFormat="1" x14ac:dyDescent="0.25">
      <c r="B17" s="41" t="s">
        <v>240</v>
      </c>
    </row>
    <row r="18" spans="2:19" s="141" customFormat="1" x14ac:dyDescent="0.25">
      <c r="L18" s="145"/>
      <c r="R18" s="145"/>
    </row>
    <row r="19" spans="2:19" s="141" customFormat="1" x14ac:dyDescent="0.2">
      <c r="B19" s="22" t="s">
        <v>241</v>
      </c>
      <c r="F19" s="141" t="s">
        <v>11</v>
      </c>
      <c r="L19" s="143">
        <f>L15</f>
        <v>3.4000000000000002E-2</v>
      </c>
      <c r="M19" s="146">
        <f>L19*($Q$15/$L$15)^(1/5)</f>
        <v>3.4579879729815202E-2</v>
      </c>
      <c r="N19" s="146">
        <f t="shared" ref="N19:Q19" si="0">M19*($Q$15/$L$15)^(1/5)</f>
        <v>3.5169649474367189E-2</v>
      </c>
      <c r="O19" s="146">
        <f t="shared" si="0"/>
        <v>3.5769477910687526E-2</v>
      </c>
      <c r="P19" s="146">
        <f t="shared" si="0"/>
        <v>3.6379536592642828E-2</v>
      </c>
      <c r="Q19" s="146">
        <f t="shared" si="0"/>
        <v>3.7000000000000005E-2</v>
      </c>
      <c r="R19" s="145"/>
    </row>
    <row r="20" spans="2:19" s="141" customFormat="1" x14ac:dyDescent="0.25">
      <c r="L20" s="145"/>
      <c r="R20" s="145"/>
    </row>
    <row r="21" spans="2:19" s="141" customFormat="1" x14ac:dyDescent="0.2">
      <c r="B21" s="162" t="s">
        <v>298</v>
      </c>
      <c r="F21" s="141" t="s">
        <v>242</v>
      </c>
      <c r="L21" s="145"/>
      <c r="M21" s="147">
        <v>1</v>
      </c>
      <c r="N21" s="148">
        <f>M21*(1+M19)</f>
        <v>1.0345798797298151</v>
      </c>
      <c r="O21" s="148">
        <f t="shared" ref="O21:Q21" si="1">N21*(1+N19)</f>
        <v>1.0709656914531458</v>
      </c>
      <c r="P21" s="148">
        <f t="shared" si="1"/>
        <v>1.1092735750966833</v>
      </c>
      <c r="Q21" s="148">
        <f t="shared" si="1"/>
        <v>1.149628433713165</v>
      </c>
      <c r="R21" s="145"/>
    </row>
    <row r="22" spans="2:19" s="141" customFormat="1" x14ac:dyDescent="0.25">
      <c r="L22" s="145"/>
      <c r="R22" s="145"/>
    </row>
    <row r="23" spans="2:19" s="41" customFormat="1" x14ac:dyDescent="0.25">
      <c r="B23" s="41" t="s">
        <v>254</v>
      </c>
    </row>
    <row r="25" spans="2:19" ht="12.75" customHeight="1" x14ac:dyDescent="0.2">
      <c r="B25" s="152" t="s">
        <v>39</v>
      </c>
      <c r="F25" s="22" t="s">
        <v>11</v>
      </c>
      <c r="H25" s="34">
        <f>'1) Reguleringsparameters'!H43</f>
        <v>-3.3393131208133475E-2</v>
      </c>
    </row>
    <row r="26" spans="2:19" ht="12.75" customHeight="1" x14ac:dyDescent="0.2">
      <c r="B26" s="152" t="s">
        <v>255</v>
      </c>
      <c r="F26" s="152" t="s">
        <v>11</v>
      </c>
      <c r="H26" s="34">
        <f>'1) Reguleringsparameters'!H44</f>
        <v>3.4200000000000001E-2</v>
      </c>
    </row>
    <row r="27" spans="2:19" ht="12.75" customHeight="1" x14ac:dyDescent="0.2">
      <c r="B27" s="152" t="s">
        <v>256</v>
      </c>
      <c r="F27" s="152" t="s">
        <v>52</v>
      </c>
      <c r="L27" s="153">
        <f>'1) Reguleringsparameters'!L45</f>
        <v>110777331.12227097</v>
      </c>
    </row>
    <row r="28" spans="2:19" ht="12.75" customHeight="1" x14ac:dyDescent="0.2">
      <c r="B28" s="152" t="s">
        <v>47</v>
      </c>
      <c r="F28" s="152" t="s">
        <v>52</v>
      </c>
      <c r="L28" s="154">
        <f>'6) X-factor + begininkomsten'!H99</f>
        <v>2545644294.0265293</v>
      </c>
      <c r="S28" s="162" t="s">
        <v>318</v>
      </c>
    </row>
    <row r="30" spans="2:19" ht="12.75" customHeight="1" x14ac:dyDescent="0.2">
      <c r="B30" s="152" t="s">
        <v>253</v>
      </c>
      <c r="F30" s="152" t="s">
        <v>11</v>
      </c>
      <c r="H30" s="21">
        <f>(H25*(L28-L27)+H26*L27)/L28</f>
        <v>-3.0451719992511186E-2</v>
      </c>
    </row>
  </sheetData>
  <mergeCells count="2">
    <mergeCell ref="B5:F5"/>
    <mergeCell ref="B8:F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tabColor rgb="FFFFFFCC"/>
  </sheetPr>
  <dimension ref="A1:S33"/>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1" customWidth="1"/>
    <col min="2" max="2" width="60.85546875" style="1" customWidth="1"/>
    <col min="3" max="3" width="3.140625" style="1" customWidth="1"/>
    <col min="4" max="4" width="18.7109375" style="1" customWidth="1"/>
    <col min="5" max="5" width="2.7109375" style="1" customWidth="1"/>
    <col min="6" max="6" width="15.7109375" style="1" customWidth="1"/>
    <col min="7" max="7" width="2.7109375" style="22" customWidth="1"/>
    <col min="8" max="8" width="15.7109375" style="22" customWidth="1"/>
    <col min="9" max="9" width="2.7109375" style="1" customWidth="1"/>
    <col min="10" max="10" width="15.7109375" style="1" customWidth="1"/>
    <col min="11" max="11" width="3.28515625" style="1" customWidth="1"/>
    <col min="12" max="17" width="14.7109375" style="1" customWidth="1"/>
    <col min="18" max="18" width="3.28515625" style="22" customWidth="1"/>
    <col min="19" max="16384" width="9.140625" style="1"/>
  </cols>
  <sheetData>
    <row r="1" spans="2:19" s="35" customFormat="1" x14ac:dyDescent="0.25"/>
    <row r="2" spans="2:19" s="36" customFormat="1" ht="18" x14ac:dyDescent="0.25">
      <c r="B2" s="36" t="s">
        <v>222</v>
      </c>
    </row>
    <row r="3" spans="2:19" s="35" customFormat="1" x14ac:dyDescent="0.25"/>
    <row r="4" spans="2:19" s="35" customFormat="1" ht="15" x14ac:dyDescent="0.25">
      <c r="B4" s="37" t="s">
        <v>35</v>
      </c>
      <c r="G4" s="38"/>
      <c r="H4" s="38"/>
      <c r="I4" s="38"/>
      <c r="J4" s="38"/>
      <c r="O4" s="38"/>
    </row>
    <row r="5" spans="2:19" s="35" customFormat="1" ht="26.25" customHeight="1" x14ac:dyDescent="0.25">
      <c r="B5" s="167" t="s">
        <v>201</v>
      </c>
      <c r="C5" s="167"/>
      <c r="D5" s="167"/>
      <c r="E5" s="167"/>
      <c r="F5" s="167"/>
    </row>
    <row r="6" spans="2:19" s="22" customFormat="1" ht="12.75" customHeight="1" x14ac:dyDescent="0.2">
      <c r="B6" s="12"/>
      <c r="F6" s="13"/>
      <c r="G6" s="13"/>
      <c r="H6" s="13"/>
      <c r="I6" s="13"/>
      <c r="J6" s="13"/>
      <c r="K6" s="13"/>
      <c r="L6" s="13"/>
      <c r="M6" s="13"/>
      <c r="N6" s="13"/>
      <c r="O6" s="13"/>
      <c r="R6" s="13"/>
    </row>
    <row r="7" spans="2:19" s="41" customFormat="1" x14ac:dyDescent="0.25">
      <c r="B7" s="41" t="s">
        <v>36</v>
      </c>
      <c r="D7" s="41" t="s">
        <v>13</v>
      </c>
      <c r="F7" s="41" t="s">
        <v>1</v>
      </c>
      <c r="H7" s="42" t="s">
        <v>192</v>
      </c>
      <c r="J7" s="42" t="s">
        <v>193</v>
      </c>
      <c r="K7" s="42"/>
      <c r="L7" s="42" t="s">
        <v>33</v>
      </c>
      <c r="M7" s="42" t="s">
        <v>2</v>
      </c>
      <c r="N7" s="42" t="s">
        <v>3</v>
      </c>
      <c r="O7" s="41" t="s">
        <v>4</v>
      </c>
      <c r="P7" s="41" t="s">
        <v>5</v>
      </c>
      <c r="Q7" s="41" t="s">
        <v>6</v>
      </c>
      <c r="R7" s="42"/>
      <c r="S7" s="41" t="s">
        <v>219</v>
      </c>
    </row>
    <row r="9" spans="2:19" s="41" customFormat="1" x14ac:dyDescent="0.25">
      <c r="B9" s="41" t="s">
        <v>0</v>
      </c>
      <c r="H9" s="42"/>
      <c r="J9" s="42"/>
      <c r="K9" s="42"/>
      <c r="L9" s="42"/>
      <c r="M9" s="42"/>
      <c r="N9" s="42"/>
      <c r="R9" s="42"/>
    </row>
    <row r="10" spans="2:19" x14ac:dyDescent="0.2">
      <c r="H10" s="6"/>
      <c r="J10" s="22"/>
    </row>
    <row r="11" spans="2:19" s="22" customFormat="1" x14ac:dyDescent="0.2">
      <c r="B11" s="2" t="s">
        <v>264</v>
      </c>
      <c r="C11" s="25"/>
      <c r="D11" s="25"/>
      <c r="E11" s="25"/>
      <c r="F11" s="25"/>
      <c r="H11" s="6"/>
    </row>
    <row r="12" spans="2:19" s="22" customFormat="1" x14ac:dyDescent="0.2">
      <c r="B12" s="158" t="s">
        <v>259</v>
      </c>
      <c r="C12" s="158"/>
      <c r="D12" s="158" t="s">
        <v>260</v>
      </c>
      <c r="E12" s="158"/>
      <c r="F12" s="158" t="s">
        <v>15</v>
      </c>
      <c r="H12" s="6"/>
      <c r="J12" s="23">
        <f t="shared" ref="J12:J15" si="0">SUM(L12:Q12)</f>
        <v>1334971582.76948</v>
      </c>
      <c r="L12" s="16">
        <f>'2) Kosten 2021'!L12</f>
        <v>6013923.5827800008</v>
      </c>
      <c r="M12" s="16">
        <f>'2) Kosten 2021'!M12</f>
        <v>423067652.70261514</v>
      </c>
      <c r="N12" s="16">
        <f>'2) Kosten 2021'!N12</f>
        <v>563627897.25509131</v>
      </c>
      <c r="O12" s="16">
        <f>'2) Kosten 2021'!O12</f>
        <v>4479844.9099999992</v>
      </c>
      <c r="P12" s="16">
        <f>'2) Kosten 2021'!P12</f>
        <v>320725912.53171027</v>
      </c>
      <c r="Q12" s="16">
        <f>'2) Kosten 2021'!Q12</f>
        <v>17056351.787283242</v>
      </c>
    </row>
    <row r="13" spans="2:19" s="22" customFormat="1" x14ac:dyDescent="0.2">
      <c r="B13" s="158" t="s">
        <v>261</v>
      </c>
      <c r="C13" s="158"/>
      <c r="D13" s="158"/>
      <c r="E13" s="158"/>
      <c r="F13" s="158" t="s">
        <v>15</v>
      </c>
      <c r="H13" s="6"/>
      <c r="J13" s="23">
        <f t="shared" si="0"/>
        <v>520778667.80258071</v>
      </c>
      <c r="L13" s="16">
        <f>'2) Kosten 2021'!L13</f>
        <v>3184123.6826917222</v>
      </c>
      <c r="M13" s="16">
        <f>'2) Kosten 2021'!M13</f>
        <v>191522223.10431039</v>
      </c>
      <c r="N13" s="16">
        <f>'2) Kosten 2021'!N13</f>
        <v>183122089.34547222</v>
      </c>
      <c r="O13" s="16">
        <f>'2) Kosten 2021'!O13</f>
        <v>2057527.4930124646</v>
      </c>
      <c r="P13" s="16">
        <f>'2) Kosten 2021'!P13</f>
        <v>130538493.90024146</v>
      </c>
      <c r="Q13" s="16">
        <f>'2) Kosten 2021'!Q13</f>
        <v>10354210.276852481</v>
      </c>
    </row>
    <row r="14" spans="2:19" s="22" customFormat="1" x14ac:dyDescent="0.2">
      <c r="B14" s="158" t="s">
        <v>262</v>
      </c>
      <c r="C14" s="158"/>
      <c r="D14" s="158" t="s">
        <v>41</v>
      </c>
      <c r="E14" s="158"/>
      <c r="F14" s="158" t="s">
        <v>15</v>
      </c>
      <c r="H14" s="6"/>
      <c r="J14" s="23">
        <f t="shared" si="0"/>
        <v>1041107562.9935292</v>
      </c>
      <c r="L14" s="16">
        <f>'2) Kosten 2021'!L14</f>
        <v>5407817.2873708</v>
      </c>
      <c r="M14" s="16">
        <f>'2) Kosten 2021'!M14</f>
        <v>339545572.32199591</v>
      </c>
      <c r="N14" s="16">
        <f>'2) Kosten 2021'!N14</f>
        <v>358259829.40235484</v>
      </c>
      <c r="O14" s="16">
        <f>'2) Kosten 2021'!O14</f>
        <v>1876519.4157397409</v>
      </c>
      <c r="P14" s="16">
        <f>'2) Kosten 2021'!P14</f>
        <v>319019671.66018271</v>
      </c>
      <c r="Q14" s="16">
        <f>'2) Kosten 2021'!Q14</f>
        <v>16998152.905885119</v>
      </c>
    </row>
    <row r="15" spans="2:19" s="22" customFormat="1" x14ac:dyDescent="0.2">
      <c r="B15" s="158" t="s">
        <v>262</v>
      </c>
      <c r="C15" s="158"/>
      <c r="D15" s="158" t="s">
        <v>40</v>
      </c>
      <c r="E15" s="158"/>
      <c r="F15" s="158" t="s">
        <v>15</v>
      </c>
      <c r="H15" s="6"/>
      <c r="J15" s="23">
        <f t="shared" si="0"/>
        <v>1067467424.3912021</v>
      </c>
      <c r="L15" s="16">
        <f>'2) Kosten 2021'!L15</f>
        <v>5510759.6681238329</v>
      </c>
      <c r="M15" s="16">
        <f>'2) Kosten 2021'!M15</f>
        <v>347663120.12631255</v>
      </c>
      <c r="N15" s="16">
        <f>'2) Kosten 2021'!N15</f>
        <v>368175159.39555341</v>
      </c>
      <c r="O15" s="16">
        <f>'2) Kosten 2021'!O15</f>
        <v>1944511.4809583661</v>
      </c>
      <c r="P15" s="16">
        <f>'2) Kosten 2021'!P15</f>
        <v>326692321.6258024</v>
      </c>
      <c r="Q15" s="16">
        <f>'2) Kosten 2021'!Q15</f>
        <v>17481552.094451584</v>
      </c>
    </row>
    <row r="16" spans="2:19" s="22" customFormat="1" x14ac:dyDescent="0.2">
      <c r="H16" s="6"/>
    </row>
    <row r="17" spans="1:18" s="22" customFormat="1" x14ac:dyDescent="0.2">
      <c r="B17" s="159" t="s">
        <v>263</v>
      </c>
      <c r="H17" s="6"/>
      <c r="J17" s="23">
        <f>SUM(L17:Q17)</f>
        <v>169701244.15769491</v>
      </c>
      <c r="L17" s="3">
        <f>'3) BI, EAV, SO &amp; PV'!L16</f>
        <v>705908.91000000073</v>
      </c>
      <c r="M17" s="3">
        <f>'3) BI, EAV, SO &amp; PV'!M16</f>
        <v>44887661.290000014</v>
      </c>
      <c r="N17" s="3">
        <f>'3) BI, EAV, SO &amp; PV'!N16</f>
        <v>73858171.587694898</v>
      </c>
      <c r="O17" s="3">
        <f>'3) BI, EAV, SO &amp; PV'!O16</f>
        <v>279776.84999999998</v>
      </c>
      <c r="P17" s="3">
        <f>'3) BI, EAV, SO &amp; PV'!P16</f>
        <v>48794369.620000005</v>
      </c>
      <c r="Q17" s="3">
        <f>'3) BI, EAV, SO &amp; PV'!Q16</f>
        <v>1175355.8999999999</v>
      </c>
    </row>
    <row r="18" spans="1:18" s="22" customFormat="1" x14ac:dyDescent="0.2">
      <c r="H18" s="6"/>
    </row>
    <row r="19" spans="1:18" s="22" customFormat="1" x14ac:dyDescent="0.2">
      <c r="B19" s="2" t="s">
        <v>54</v>
      </c>
      <c r="H19" s="6"/>
    </row>
    <row r="20" spans="1:18" s="22" customFormat="1" x14ac:dyDescent="0.2">
      <c r="B20" s="22" t="s">
        <v>55</v>
      </c>
      <c r="F20" s="22" t="s">
        <v>7</v>
      </c>
      <c r="H20" s="112"/>
      <c r="J20" s="23">
        <f>SUM(L20:Q20)</f>
        <v>3096701065.7689772</v>
      </c>
      <c r="L20" s="3">
        <f>'3) BI, EAV, SO &amp; PV'!L21</f>
        <v>18690564.848959994</v>
      </c>
      <c r="M20" s="3">
        <f>'3) BI, EAV, SO &amp; PV'!M21</f>
        <v>1052589862.5255393</v>
      </c>
      <c r="N20" s="3">
        <f>'3) BI, EAV, SO &amp; PV'!N21</f>
        <v>1173112058.2934279</v>
      </c>
      <c r="O20" s="3">
        <f>'3) BI, EAV, SO &amp; PV'!O21</f>
        <v>11396062.27880168</v>
      </c>
      <c r="P20" s="3">
        <f>'3) BI, EAV, SO &amp; PV'!P21</f>
        <v>793249763.05117345</v>
      </c>
      <c r="Q20" s="3">
        <f>'3) BI, EAV, SO &amp; PV'!Q21</f>
        <v>47662754.771075226</v>
      </c>
    </row>
    <row r="21" spans="1:18" s="22" customFormat="1" x14ac:dyDescent="0.2"/>
    <row r="22" spans="1:18" s="41" customFormat="1" x14ac:dyDescent="0.25">
      <c r="B22" s="41" t="s">
        <v>267</v>
      </c>
      <c r="H22" s="42"/>
      <c r="J22" s="42"/>
      <c r="K22" s="42"/>
      <c r="L22" s="42"/>
      <c r="M22" s="42"/>
      <c r="N22" s="42"/>
      <c r="R22" s="42"/>
    </row>
    <row r="23" spans="1:18" s="22" customFormat="1" x14ac:dyDescent="0.2"/>
    <row r="24" spans="1:18" s="6" customFormat="1" x14ac:dyDescent="0.2">
      <c r="B24" s="2" t="s">
        <v>265</v>
      </c>
      <c r="D24" s="125"/>
      <c r="H24" s="112"/>
      <c r="J24" s="112"/>
      <c r="L24" s="8"/>
      <c r="M24" s="8"/>
      <c r="N24" s="8"/>
      <c r="O24" s="8"/>
      <c r="P24" s="8"/>
      <c r="Q24" s="8"/>
    </row>
    <row r="25" spans="1:18" s="6" customFormat="1" x14ac:dyDescent="0.2">
      <c r="B25" s="159" t="s">
        <v>266</v>
      </c>
      <c r="C25" s="22"/>
      <c r="D25" s="19" t="s">
        <v>41</v>
      </c>
      <c r="E25" s="22"/>
      <c r="F25" s="22" t="s">
        <v>15</v>
      </c>
      <c r="H25" s="24">
        <f>SUM(J12,J13,J14,J17)</f>
        <v>3066559057.7232847</v>
      </c>
      <c r="J25" s="112"/>
      <c r="L25" s="8"/>
      <c r="M25" s="8"/>
      <c r="N25" s="8"/>
      <c r="O25" s="8"/>
      <c r="P25" s="8"/>
      <c r="Q25" s="8"/>
    </row>
    <row r="26" spans="1:18" s="6" customFormat="1" x14ac:dyDescent="0.2">
      <c r="B26" s="22" t="s">
        <v>64</v>
      </c>
      <c r="C26" s="22"/>
      <c r="D26" s="22"/>
      <c r="E26" s="22"/>
      <c r="F26" s="22" t="s">
        <v>16</v>
      </c>
      <c r="H26" s="45">
        <f>H25/J20</f>
        <v>0.99026641338459076</v>
      </c>
      <c r="J26" s="112"/>
      <c r="L26" s="8"/>
      <c r="M26" s="8"/>
      <c r="N26" s="8"/>
      <c r="O26" s="8"/>
      <c r="P26" s="8"/>
      <c r="Q26" s="8"/>
    </row>
    <row r="27" spans="1:18" s="6" customFormat="1" x14ac:dyDescent="0.2">
      <c r="B27" s="111"/>
      <c r="D27" s="125"/>
      <c r="H27" s="112"/>
      <c r="J27" s="112"/>
      <c r="L27" s="8"/>
      <c r="M27" s="8"/>
      <c r="N27" s="8"/>
      <c r="O27" s="8"/>
      <c r="P27" s="8"/>
      <c r="Q27" s="8"/>
    </row>
    <row r="28" spans="1:18" s="6" customFormat="1" x14ac:dyDescent="0.2">
      <c r="B28" s="25" t="s">
        <v>200</v>
      </c>
      <c r="C28" s="22"/>
      <c r="D28" s="19" t="s">
        <v>41</v>
      </c>
      <c r="E28" s="22"/>
      <c r="F28" s="22" t="s">
        <v>15</v>
      </c>
      <c r="H28" s="112"/>
      <c r="J28" s="23">
        <f>SUM(L28:Q28)</f>
        <v>3066559057.7232847</v>
      </c>
      <c r="L28" s="11">
        <f>L20*$H$26</f>
        <v>18508638.617111716</v>
      </c>
      <c r="M28" s="11">
        <f t="shared" ref="M28:Q28" si="1">M20*$H$26</f>
        <v>1042344387.9281453</v>
      </c>
      <c r="N28" s="11">
        <f t="shared" si="1"/>
        <v>1161693470.4644477</v>
      </c>
      <c r="O28" s="11">
        <f t="shared" si="1"/>
        <v>11285137.719536366</v>
      </c>
      <c r="P28" s="11">
        <f t="shared" si="1"/>
        <v>785528597.77486205</v>
      </c>
      <c r="Q28" s="11">
        <f t="shared" si="1"/>
        <v>47198825.219181955</v>
      </c>
    </row>
    <row r="29" spans="1:18" s="6" customFormat="1" x14ac:dyDescent="0.2">
      <c r="B29" s="111"/>
      <c r="D29" s="125"/>
      <c r="H29" s="112"/>
      <c r="J29" s="112"/>
      <c r="L29" s="8"/>
      <c r="M29" s="8"/>
      <c r="N29" s="8"/>
      <c r="O29" s="8"/>
      <c r="P29" s="8"/>
      <c r="Q29" s="8"/>
    </row>
    <row r="30" spans="1:18" x14ac:dyDescent="0.2">
      <c r="A30" s="6"/>
      <c r="B30" s="2" t="s">
        <v>268</v>
      </c>
      <c r="H30" s="6"/>
      <c r="L30" s="4"/>
      <c r="M30" s="4"/>
      <c r="N30" s="4"/>
      <c r="O30" s="4"/>
      <c r="P30" s="4"/>
      <c r="Q30" s="4"/>
    </row>
    <row r="31" spans="1:18" x14ac:dyDescent="0.2">
      <c r="A31" s="6"/>
      <c r="B31" s="159" t="s">
        <v>269</v>
      </c>
      <c r="D31" s="10" t="s">
        <v>40</v>
      </c>
      <c r="F31" s="22" t="s">
        <v>15</v>
      </c>
      <c r="H31" s="11">
        <f>SUM(J12,J15,J17)</f>
        <v>2572140251.318377</v>
      </c>
    </row>
    <row r="32" spans="1:18" s="22" customFormat="1" x14ac:dyDescent="0.2">
      <c r="A32" s="6"/>
    </row>
    <row r="33" spans="1:1" x14ac:dyDescent="0.2">
      <c r="A33" s="6"/>
    </row>
  </sheetData>
  <mergeCells count="1">
    <mergeCell ref="B5:F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rgb="FFFFFFCC"/>
  </sheetPr>
  <dimension ref="A1:T116"/>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x14ac:dyDescent="0.2"/>
  <cols>
    <col min="1" max="1" width="2.7109375" style="1" customWidth="1"/>
    <col min="2" max="2" width="82.85546875" style="1" bestFit="1" customWidth="1"/>
    <col min="3" max="3" width="2.7109375" style="1" customWidth="1"/>
    <col min="4" max="4" width="17" style="1" customWidth="1"/>
    <col min="5" max="5" width="2.7109375" style="1" customWidth="1"/>
    <col min="6" max="6" width="14.28515625" style="1" bestFit="1" customWidth="1"/>
    <col min="7" max="7" width="2.7109375" style="1" customWidth="1"/>
    <col min="8" max="8" width="19.28515625" style="1" bestFit="1" customWidth="1"/>
    <col min="9" max="9" width="2.7109375" style="22" customWidth="1"/>
    <col min="10" max="10" width="19.28515625" style="22" bestFit="1" customWidth="1"/>
    <col min="11" max="11" width="2.7109375" style="1" customWidth="1"/>
    <col min="12" max="17" width="14.7109375" style="1" customWidth="1"/>
    <col min="18" max="18" width="2.7109375" style="22" customWidth="1"/>
    <col min="19" max="19" width="14.7109375" style="1" customWidth="1"/>
    <col min="20" max="20" width="2.7109375" style="22" customWidth="1"/>
    <col min="21" max="16384" width="9.140625" style="1"/>
  </cols>
  <sheetData>
    <row r="1" spans="2:20" s="35" customFormat="1" x14ac:dyDescent="0.25"/>
    <row r="2" spans="2:20" s="36" customFormat="1" ht="18" x14ac:dyDescent="0.25">
      <c r="B2" s="36" t="s">
        <v>251</v>
      </c>
    </row>
    <row r="3" spans="2:20" s="35" customFormat="1" x14ac:dyDescent="0.25"/>
    <row r="4" spans="2:20" s="35" customFormat="1" ht="15" x14ac:dyDescent="0.25">
      <c r="B4" s="37" t="s">
        <v>35</v>
      </c>
      <c r="G4" s="38"/>
      <c r="H4" s="38"/>
      <c r="I4" s="38"/>
      <c r="J4" s="38"/>
      <c r="O4" s="38"/>
    </row>
    <row r="5" spans="2:20" s="35" customFormat="1" ht="37.5" customHeight="1" x14ac:dyDescent="0.25">
      <c r="B5" s="167" t="s">
        <v>202</v>
      </c>
      <c r="C5" s="167"/>
      <c r="D5" s="167"/>
      <c r="E5" s="167"/>
      <c r="F5" s="167"/>
    </row>
    <row r="6" spans="2:20" s="22" customFormat="1" ht="12.75" customHeight="1" x14ac:dyDescent="0.2">
      <c r="B6" s="12"/>
      <c r="F6" s="13"/>
      <c r="G6" s="13"/>
      <c r="H6" s="13"/>
      <c r="I6" s="13"/>
      <c r="J6" s="13"/>
      <c r="K6" s="13"/>
      <c r="L6" s="13"/>
      <c r="M6" s="13"/>
      <c r="N6" s="13"/>
      <c r="O6" s="13"/>
      <c r="R6" s="13"/>
      <c r="T6" s="13"/>
    </row>
    <row r="7" spans="2:20" s="22" customFormat="1" ht="12.75" customHeight="1" x14ac:dyDescent="0.2">
      <c r="B7" s="44" t="s">
        <v>51</v>
      </c>
      <c r="F7" s="13"/>
      <c r="G7" s="13"/>
      <c r="H7" s="13"/>
      <c r="I7" s="13"/>
      <c r="J7" s="13"/>
      <c r="K7" s="13"/>
      <c r="L7" s="13"/>
      <c r="M7" s="13"/>
      <c r="N7" s="13"/>
      <c r="O7" s="13"/>
      <c r="R7" s="13"/>
      <c r="T7" s="13"/>
    </row>
    <row r="8" spans="2:20" s="35" customFormat="1" ht="74.25" customHeight="1" x14ac:dyDescent="0.25">
      <c r="B8" s="167" t="s">
        <v>300</v>
      </c>
      <c r="C8" s="167"/>
      <c r="D8" s="167"/>
      <c r="E8" s="167"/>
      <c r="F8" s="167"/>
    </row>
    <row r="9" spans="2:20" s="22" customFormat="1" ht="12.75" customHeight="1" x14ac:dyDescent="0.2">
      <c r="B9" s="12"/>
      <c r="F9" s="13"/>
      <c r="G9" s="13"/>
      <c r="H9" s="13"/>
      <c r="I9" s="13"/>
      <c r="J9" s="13"/>
      <c r="K9" s="13"/>
      <c r="L9" s="13"/>
      <c r="M9" s="13"/>
      <c r="N9" s="13"/>
      <c r="O9" s="13"/>
      <c r="R9" s="13"/>
      <c r="T9" s="13"/>
    </row>
    <row r="10" spans="2:20" s="41" customFormat="1" x14ac:dyDescent="0.25">
      <c r="B10" s="41" t="s">
        <v>36</v>
      </c>
      <c r="D10" s="41" t="s">
        <v>13</v>
      </c>
      <c r="F10" s="41" t="s">
        <v>1</v>
      </c>
      <c r="H10" s="42" t="s">
        <v>192</v>
      </c>
      <c r="J10" s="42" t="s">
        <v>193</v>
      </c>
      <c r="K10" s="42"/>
      <c r="L10" s="42" t="s">
        <v>33</v>
      </c>
      <c r="M10" s="42" t="s">
        <v>2</v>
      </c>
      <c r="N10" s="42" t="s">
        <v>3</v>
      </c>
      <c r="O10" s="41" t="s">
        <v>4</v>
      </c>
      <c r="P10" s="41" t="s">
        <v>5</v>
      </c>
      <c r="Q10" s="41" t="s">
        <v>6</v>
      </c>
      <c r="R10" s="42"/>
      <c r="S10" s="41" t="s">
        <v>45</v>
      </c>
      <c r="T10" s="42"/>
    </row>
    <row r="12" spans="2:20" s="41" customFormat="1" x14ac:dyDescent="0.25">
      <c r="B12" s="41" t="s">
        <v>0</v>
      </c>
      <c r="H12" s="42"/>
      <c r="J12" s="42"/>
      <c r="K12" s="42"/>
      <c r="L12" s="42"/>
      <c r="M12" s="42"/>
      <c r="N12" s="42"/>
      <c r="R12" s="42"/>
      <c r="T12" s="42"/>
    </row>
    <row r="14" spans="2:20" s="35" customFormat="1" x14ac:dyDescent="0.25">
      <c r="B14" s="86" t="s">
        <v>241</v>
      </c>
    </row>
    <row r="15" spans="2:20" s="35" customFormat="1" x14ac:dyDescent="0.25">
      <c r="B15" s="35" t="s">
        <v>243</v>
      </c>
      <c r="F15" s="35" t="s">
        <v>242</v>
      </c>
      <c r="H15" s="149">
        <f>'4) Berekeningen op parameters'!M21</f>
        <v>1</v>
      </c>
    </row>
    <row r="16" spans="2:20" s="35" customFormat="1" x14ac:dyDescent="0.25">
      <c r="B16" s="35" t="s">
        <v>244</v>
      </c>
      <c r="F16" s="35" t="s">
        <v>242</v>
      </c>
      <c r="H16" s="149">
        <f>'4) Berekeningen op parameters'!N21</f>
        <v>1.0345798797298151</v>
      </c>
    </row>
    <row r="17" spans="1:19" s="35" customFormat="1" x14ac:dyDescent="0.25">
      <c r="B17" s="35" t="s">
        <v>245</v>
      </c>
      <c r="F17" s="35" t="s">
        <v>242</v>
      </c>
      <c r="H17" s="149">
        <f>'4) Berekeningen op parameters'!O21</f>
        <v>1.0709656914531458</v>
      </c>
    </row>
    <row r="18" spans="1:19" s="35" customFormat="1" x14ac:dyDescent="0.25">
      <c r="B18" s="35" t="s">
        <v>246</v>
      </c>
      <c r="F18" s="35" t="s">
        <v>242</v>
      </c>
      <c r="H18" s="149">
        <f>'4) Berekeningen op parameters'!P21</f>
        <v>1.1092735750966833</v>
      </c>
    </row>
    <row r="19" spans="1:19" s="35" customFormat="1" x14ac:dyDescent="0.25">
      <c r="B19" s="35" t="s">
        <v>247</v>
      </c>
      <c r="F19" s="35" t="s">
        <v>242</v>
      </c>
      <c r="H19" s="149">
        <f>'4) Berekeningen op parameters'!Q21</f>
        <v>1.149628433713165</v>
      </c>
    </row>
    <row r="20" spans="1:19" s="35" customFormat="1" x14ac:dyDescent="0.25"/>
    <row r="21" spans="1:19" s="22" customFormat="1" x14ac:dyDescent="0.2">
      <c r="B21" s="2" t="s">
        <v>14</v>
      </c>
      <c r="J21" s="6"/>
    </row>
    <row r="22" spans="1:19" x14ac:dyDescent="0.2">
      <c r="A22" s="6"/>
      <c r="B22" s="22" t="s">
        <v>223</v>
      </c>
      <c r="F22" s="1" t="s">
        <v>11</v>
      </c>
      <c r="H22" s="14">
        <f>'1) Reguleringsparameters'!H21</f>
        <v>1.7999999999999999E-2</v>
      </c>
      <c r="J22" s="114"/>
    </row>
    <row r="23" spans="1:19" s="22" customFormat="1" x14ac:dyDescent="0.2"/>
    <row r="24" spans="1:19" x14ac:dyDescent="0.2">
      <c r="A24" s="6"/>
      <c r="B24" s="2" t="s">
        <v>302</v>
      </c>
      <c r="C24" s="2"/>
      <c r="D24" s="2"/>
      <c r="S24" s="35"/>
    </row>
    <row r="25" spans="1:19" x14ac:dyDescent="0.2">
      <c r="A25" s="6"/>
      <c r="B25" s="162" t="s">
        <v>303</v>
      </c>
      <c r="F25" s="1" t="s">
        <v>7</v>
      </c>
      <c r="H25" s="112"/>
      <c r="J25" s="23">
        <f>SUM(L25:Q25)</f>
        <v>3096701065.7689772</v>
      </c>
      <c r="L25" s="16">
        <f>'3) BI, EAV, SO &amp; PV'!L21</f>
        <v>18690564.848959994</v>
      </c>
      <c r="M25" s="16">
        <f>'3) BI, EAV, SO &amp; PV'!M21</f>
        <v>1052589862.5255393</v>
      </c>
      <c r="N25" s="16">
        <f>'3) BI, EAV, SO &amp; PV'!N21</f>
        <v>1173112058.2934279</v>
      </c>
      <c r="O25" s="16">
        <f>'3) BI, EAV, SO &amp; PV'!O21</f>
        <v>11396062.27880168</v>
      </c>
      <c r="P25" s="16">
        <f>'3) BI, EAV, SO &amp; PV'!P21</f>
        <v>793249763.05117345</v>
      </c>
      <c r="Q25" s="16">
        <f>'3) BI, EAV, SO &amp; PV'!Q21</f>
        <v>47662754.771075226</v>
      </c>
      <c r="S25" s="138"/>
    </row>
    <row r="26" spans="1:19" x14ac:dyDescent="0.2">
      <c r="A26" s="6"/>
      <c r="S26" s="35"/>
    </row>
    <row r="27" spans="1:19" x14ac:dyDescent="0.2">
      <c r="A27" s="6"/>
      <c r="B27" s="2" t="s">
        <v>10</v>
      </c>
      <c r="S27" s="35"/>
    </row>
    <row r="28" spans="1:19" x14ac:dyDescent="0.2">
      <c r="A28" s="6"/>
      <c r="B28" s="162" t="s">
        <v>301</v>
      </c>
      <c r="F28" s="1" t="s">
        <v>11</v>
      </c>
      <c r="H28" s="14">
        <f>'4) Berekeningen op parameters'!H30</f>
        <v>-3.0451719992511186E-2</v>
      </c>
      <c r="J28" s="109"/>
    </row>
    <row r="29" spans="1:19" x14ac:dyDescent="0.2">
      <c r="A29" s="6"/>
      <c r="H29" s="9"/>
      <c r="J29" s="9"/>
    </row>
    <row r="30" spans="1:19" x14ac:dyDescent="0.2">
      <c r="A30" s="6"/>
      <c r="B30" s="2" t="s">
        <v>267</v>
      </c>
      <c r="H30" s="9"/>
      <c r="J30" s="9"/>
    </row>
    <row r="31" spans="1:19" x14ac:dyDescent="0.2">
      <c r="A31" s="6"/>
      <c r="B31" s="162" t="s">
        <v>306</v>
      </c>
      <c r="D31" s="10" t="s">
        <v>44</v>
      </c>
      <c r="F31" s="1" t="s">
        <v>15</v>
      </c>
      <c r="H31" s="15">
        <f>'5) Totale kosten maatstaf'!H31</f>
        <v>2572140251.318377</v>
      </c>
      <c r="J31" s="113"/>
      <c r="S31" s="22"/>
    </row>
    <row r="32" spans="1:19" x14ac:dyDescent="0.2">
      <c r="A32" s="6"/>
      <c r="B32" s="162" t="s">
        <v>305</v>
      </c>
      <c r="F32" s="22" t="s">
        <v>15</v>
      </c>
      <c r="H32" s="112"/>
      <c r="J32" s="23">
        <f>SUM(L32:Q32)</f>
        <v>520778667.80258071</v>
      </c>
      <c r="L32" s="15">
        <f>'5) Totale kosten maatstaf'!L13</f>
        <v>3184123.6826917222</v>
      </c>
      <c r="M32" s="15">
        <f>'5) Totale kosten maatstaf'!M13</f>
        <v>191522223.10431039</v>
      </c>
      <c r="N32" s="15">
        <f>'5) Totale kosten maatstaf'!N13</f>
        <v>183122089.34547222</v>
      </c>
      <c r="O32" s="15">
        <f>'5) Totale kosten maatstaf'!O13</f>
        <v>2057527.4930124646</v>
      </c>
      <c r="P32" s="15">
        <f>'5) Totale kosten maatstaf'!P13</f>
        <v>130538493.90024146</v>
      </c>
      <c r="Q32" s="15">
        <f>'5) Totale kosten maatstaf'!Q13</f>
        <v>10354210.276852481</v>
      </c>
      <c r="S32" s="22"/>
    </row>
    <row r="33" spans="1:20" x14ac:dyDescent="0.2">
      <c r="A33" s="6"/>
      <c r="H33" s="9"/>
      <c r="J33" s="9"/>
      <c r="S33" s="22"/>
    </row>
    <row r="34" spans="1:20" s="22" customFormat="1" x14ac:dyDescent="0.2">
      <c r="A34" s="6"/>
      <c r="B34" s="2" t="s">
        <v>220</v>
      </c>
      <c r="H34" s="9"/>
      <c r="J34" s="9"/>
    </row>
    <row r="35" spans="1:20" s="22" customFormat="1" x14ac:dyDescent="0.2">
      <c r="A35" s="6"/>
      <c r="B35" s="25" t="s">
        <v>307</v>
      </c>
      <c r="D35" s="25" t="s">
        <v>304</v>
      </c>
      <c r="F35" s="22" t="s">
        <v>15</v>
      </c>
      <c r="H35" s="29"/>
      <c r="J35" s="18">
        <f>SUM(L35:Q35)</f>
        <v>3066559057.7232847</v>
      </c>
      <c r="K35" s="28"/>
      <c r="L35" s="15">
        <f>'5) Totale kosten maatstaf'!L28</f>
        <v>18508638.617111716</v>
      </c>
      <c r="M35" s="15">
        <f>'5) Totale kosten maatstaf'!M28</f>
        <v>1042344387.9281453</v>
      </c>
      <c r="N35" s="15">
        <f>'5) Totale kosten maatstaf'!N28</f>
        <v>1161693470.4644477</v>
      </c>
      <c r="O35" s="15">
        <f>'5) Totale kosten maatstaf'!O28</f>
        <v>11285137.719536366</v>
      </c>
      <c r="P35" s="15">
        <f>'5) Totale kosten maatstaf'!P28</f>
        <v>785528597.77486205</v>
      </c>
      <c r="Q35" s="15">
        <f>'5) Totale kosten maatstaf'!Q28</f>
        <v>47198825.219181955</v>
      </c>
      <c r="R35" s="28"/>
      <c r="T35" s="28"/>
    </row>
    <row r="36" spans="1:20" x14ac:dyDescent="0.2">
      <c r="A36" s="6"/>
      <c r="H36" s="9"/>
      <c r="J36" s="9"/>
      <c r="L36" s="22"/>
      <c r="S36" s="22"/>
    </row>
    <row r="37" spans="1:20" s="22" customFormat="1" x14ac:dyDescent="0.2">
      <c r="A37" s="6"/>
      <c r="B37" s="2" t="s">
        <v>150</v>
      </c>
      <c r="H37" s="9"/>
      <c r="J37" s="9"/>
    </row>
    <row r="38" spans="1:20" s="22" customFormat="1" x14ac:dyDescent="0.2">
      <c r="B38" s="139" t="s">
        <v>225</v>
      </c>
      <c r="F38" s="139" t="s">
        <v>171</v>
      </c>
      <c r="H38" s="9"/>
      <c r="J38" s="18">
        <f t="shared" ref="J38:J41" si="0">SUM(L38:Q38)</f>
        <v>5844530.7336395355</v>
      </c>
      <c r="L38" s="16">
        <f>'1) Reguleringsparameters'!N25</f>
        <v>711044.41693045199</v>
      </c>
      <c r="M38" s="16">
        <f>'1) Reguleringsparameters'!N26</f>
        <v>5133486.3167090835</v>
      </c>
      <c r="N38" s="16">
        <f>'1) Reguleringsparameters'!N27</f>
        <v>0</v>
      </c>
      <c r="O38" s="16">
        <f>'1) Reguleringsparameters'!N28</f>
        <v>0</v>
      </c>
      <c r="P38" s="16">
        <f>'1) Reguleringsparameters'!N29</f>
        <v>0</v>
      </c>
      <c r="Q38" s="16">
        <f>'1) Reguleringsparameters'!N30</f>
        <v>0</v>
      </c>
    </row>
    <row r="39" spans="1:20" s="22" customFormat="1" x14ac:dyDescent="0.2">
      <c r="B39" s="139" t="s">
        <v>226</v>
      </c>
      <c r="F39" s="139" t="s">
        <v>172</v>
      </c>
      <c r="H39" s="9"/>
      <c r="J39" s="18">
        <f t="shared" si="0"/>
        <v>14883374.793261332</v>
      </c>
      <c r="L39" s="16">
        <f>'1) Reguleringsparameters'!O25</f>
        <v>2706985.1357409265</v>
      </c>
      <c r="M39" s="16">
        <f>'1) Reguleringsparameters'!O26</f>
        <v>6923818.1834277045</v>
      </c>
      <c r="N39" s="16">
        <f>'1) Reguleringsparameters'!O27</f>
        <v>0</v>
      </c>
      <c r="O39" s="16">
        <f>'1) Reguleringsparameters'!O28</f>
        <v>0</v>
      </c>
      <c r="P39" s="16">
        <f>'1) Reguleringsparameters'!O29</f>
        <v>5252571.4740927014</v>
      </c>
      <c r="Q39" s="16">
        <f>'1) Reguleringsparameters'!O30</f>
        <v>0</v>
      </c>
    </row>
    <row r="40" spans="1:20" s="22" customFormat="1" x14ac:dyDescent="0.2">
      <c r="B40" s="139" t="s">
        <v>227</v>
      </c>
      <c r="F40" s="139" t="s">
        <v>173</v>
      </c>
      <c r="H40" s="9"/>
      <c r="J40" s="18">
        <f t="shared" si="0"/>
        <v>21747188.968319401</v>
      </c>
      <c r="L40" s="16">
        <f>'1) Reguleringsparameters'!P25</f>
        <v>2857514.9619220551</v>
      </c>
      <c r="M40" s="16">
        <f>'1) Reguleringsparameters'!P26</f>
        <v>7301850.7437786805</v>
      </c>
      <c r="N40" s="16">
        <f>'1) Reguleringsparameters'!P27</f>
        <v>0</v>
      </c>
      <c r="O40" s="16">
        <f>'1) Reguleringsparameters'!P28</f>
        <v>0</v>
      </c>
      <c r="P40" s="16">
        <f>'1) Reguleringsparameters'!P29</f>
        <v>11587823.262618665</v>
      </c>
      <c r="Q40" s="16">
        <f>'1) Reguleringsparameters'!P30</f>
        <v>0</v>
      </c>
    </row>
    <row r="41" spans="1:20" s="22" customFormat="1" x14ac:dyDescent="0.2">
      <c r="B41" s="139" t="s">
        <v>228</v>
      </c>
      <c r="F41" s="139" t="s">
        <v>63</v>
      </c>
      <c r="H41" s="9"/>
      <c r="J41" s="18">
        <f t="shared" si="0"/>
        <v>22965289.371993713</v>
      </c>
      <c r="L41" s="16">
        <f>'1) Reguleringsparameters'!Q25</f>
        <v>3016062.3650681493</v>
      </c>
      <c r="M41" s="16">
        <f>'1) Reguleringsparameters'!Q26</f>
        <v>7699809.6085839439</v>
      </c>
      <c r="N41" s="16">
        <f>'1) Reguleringsparameters'!Q27</f>
        <v>0</v>
      </c>
      <c r="O41" s="16">
        <f>'1) Reguleringsparameters'!Q28</f>
        <v>0</v>
      </c>
      <c r="P41" s="16">
        <f>'1) Reguleringsparameters'!Q29</f>
        <v>12249417.398341618</v>
      </c>
      <c r="Q41" s="16">
        <f>'1) Reguleringsparameters'!Q30</f>
        <v>0</v>
      </c>
    </row>
    <row r="42" spans="1:20" s="22" customFormat="1" x14ac:dyDescent="0.2">
      <c r="B42" s="2"/>
      <c r="H42" s="9"/>
      <c r="J42" s="9"/>
    </row>
    <row r="43" spans="1:20" s="41" customFormat="1" x14ac:dyDescent="0.25">
      <c r="B43" s="41" t="s">
        <v>208</v>
      </c>
      <c r="H43" s="42"/>
      <c r="J43" s="42"/>
      <c r="K43" s="42"/>
      <c r="L43" s="42"/>
      <c r="M43" s="42"/>
      <c r="N43" s="42"/>
      <c r="R43" s="42"/>
      <c r="T43" s="42"/>
    </row>
    <row r="44" spans="1:20" s="22" customFormat="1" x14ac:dyDescent="0.2">
      <c r="H44" s="9"/>
      <c r="J44" s="9"/>
    </row>
    <row r="45" spans="1:20" s="22" customFormat="1" x14ac:dyDescent="0.2">
      <c r="B45" s="2" t="s">
        <v>31</v>
      </c>
      <c r="H45" s="9"/>
      <c r="J45" s="9"/>
    </row>
    <row r="46" spans="1:20" s="22" customFormat="1" x14ac:dyDescent="0.2">
      <c r="B46" s="22" t="s">
        <v>32</v>
      </c>
      <c r="D46" s="22" t="s">
        <v>11</v>
      </c>
      <c r="H46" s="29"/>
      <c r="J46" s="126">
        <f>SUM(L46:Q46)</f>
        <v>1</v>
      </c>
      <c r="L46" s="127">
        <f t="shared" ref="L46:Q46" si="1">L25/$J$25</f>
        <v>6.0356374257644809E-3</v>
      </c>
      <c r="M46" s="127">
        <f t="shared" si="1"/>
        <v>0.33990683639467106</v>
      </c>
      <c r="N46" s="127">
        <f t="shared" si="1"/>
        <v>0.37882638116447287</v>
      </c>
      <c r="O46" s="127">
        <f t="shared" si="1"/>
        <v>3.6800653459173314E-3</v>
      </c>
      <c r="P46" s="127">
        <f t="shared" si="1"/>
        <v>0.25615961831762812</v>
      </c>
      <c r="Q46" s="127">
        <f t="shared" si="1"/>
        <v>1.5391461351546228E-2</v>
      </c>
    </row>
    <row r="47" spans="1:20" s="22" customFormat="1" x14ac:dyDescent="0.2">
      <c r="J47" s="29"/>
    </row>
    <row r="48" spans="1:20" s="41" customFormat="1" x14ac:dyDescent="0.25">
      <c r="B48" s="41" t="s">
        <v>149</v>
      </c>
      <c r="H48" s="42"/>
      <c r="J48" s="42"/>
      <c r="K48" s="42"/>
      <c r="L48" s="42"/>
      <c r="M48" s="42"/>
      <c r="N48" s="42"/>
      <c r="R48" s="42"/>
      <c r="T48" s="42"/>
    </row>
    <row r="49" spans="1:20" x14ac:dyDescent="0.2">
      <c r="H49" s="9"/>
      <c r="J49" s="9"/>
    </row>
    <row r="50" spans="1:20" s="22" customFormat="1" x14ac:dyDescent="0.2">
      <c r="B50" s="2" t="s">
        <v>70</v>
      </c>
      <c r="H50" s="9"/>
      <c r="J50" s="9"/>
    </row>
    <row r="51" spans="1:20" s="22" customFormat="1" x14ac:dyDescent="0.2">
      <c r="B51" s="22" t="s">
        <v>67</v>
      </c>
      <c r="F51" s="22" t="s">
        <v>15</v>
      </c>
      <c r="H51" s="18">
        <f>J35-J32</f>
        <v>2545780389.9207039</v>
      </c>
      <c r="J51" s="29"/>
      <c r="S51" s="135"/>
    </row>
    <row r="52" spans="1:20" s="22" customFormat="1" x14ac:dyDescent="0.2">
      <c r="H52" s="9"/>
      <c r="J52" s="9"/>
    </row>
    <row r="53" spans="1:20" s="22" customFormat="1" x14ac:dyDescent="0.2">
      <c r="B53" s="2" t="s">
        <v>71</v>
      </c>
      <c r="H53" s="9"/>
      <c r="J53" s="9"/>
    </row>
    <row r="54" spans="1:20" x14ac:dyDescent="0.2">
      <c r="B54" s="1" t="s">
        <v>66</v>
      </c>
      <c r="D54" s="25" t="s">
        <v>44</v>
      </c>
      <c r="E54" s="22"/>
      <c r="F54" s="22" t="s">
        <v>63</v>
      </c>
      <c r="H54" s="23">
        <f>H31*(1+$H$22)^5*(1-H28)^5</f>
        <v>3267170342.4716082</v>
      </c>
      <c r="J54" s="112"/>
      <c r="K54" s="22"/>
    </row>
    <row r="55" spans="1:20" s="43" customFormat="1" x14ac:dyDescent="0.2">
      <c r="B55" s="46" t="s">
        <v>68</v>
      </c>
      <c r="D55" s="22"/>
      <c r="E55" s="22"/>
      <c r="F55" s="22" t="s">
        <v>63</v>
      </c>
      <c r="H55" s="112"/>
      <c r="J55" s="23">
        <f>SUM(L55:Q55)</f>
        <v>569366716.93075359</v>
      </c>
      <c r="K55" s="22"/>
      <c r="L55" s="23">
        <f t="shared" ref="L55:Q55" si="2">L32*(1+$H$22)^5</f>
        <v>3481198.75025853</v>
      </c>
      <c r="M55" s="23">
        <f t="shared" si="2"/>
        <v>209391025.6506865</v>
      </c>
      <c r="N55" s="23">
        <f t="shared" si="2"/>
        <v>200207169.09943858</v>
      </c>
      <c r="O55" s="23">
        <f t="shared" si="2"/>
        <v>2249492.435307208</v>
      </c>
      <c r="P55" s="23">
        <f t="shared" si="2"/>
        <v>142717584.84017029</v>
      </c>
      <c r="Q55" s="23">
        <f t="shared" si="2"/>
        <v>11320246.154892428</v>
      </c>
      <c r="R55" s="22"/>
      <c r="S55" s="136"/>
      <c r="T55" s="22"/>
    </row>
    <row r="56" spans="1:20" s="43" customFormat="1" x14ac:dyDescent="0.2">
      <c r="B56" s="46"/>
      <c r="H56" s="47"/>
      <c r="J56" s="47"/>
      <c r="K56" s="22"/>
      <c r="L56" s="47"/>
      <c r="M56" s="47"/>
      <c r="N56" s="47"/>
      <c r="O56" s="47"/>
      <c r="P56" s="47"/>
      <c r="Q56" s="47"/>
    </row>
    <row r="57" spans="1:20" x14ac:dyDescent="0.2">
      <c r="A57" s="6"/>
      <c r="B57" s="1" t="s">
        <v>69</v>
      </c>
      <c r="D57" s="25" t="s">
        <v>44</v>
      </c>
      <c r="F57" s="1" t="s">
        <v>65</v>
      </c>
      <c r="H57" s="101">
        <f>(H54+J55)/J25</f>
        <v>1.238911014631523</v>
      </c>
      <c r="J57" s="115"/>
      <c r="K57" s="22"/>
    </row>
    <row r="58" spans="1:20" x14ac:dyDescent="0.2">
      <c r="A58" s="6"/>
      <c r="H58" s="9"/>
      <c r="J58" s="9"/>
      <c r="L58" s="22"/>
      <c r="M58" s="22"/>
      <c r="N58" s="22"/>
      <c r="O58" s="22"/>
      <c r="P58" s="22"/>
      <c r="Q58" s="22"/>
      <c r="S58" s="22"/>
    </row>
    <row r="59" spans="1:20" x14ac:dyDescent="0.2">
      <c r="A59" s="6"/>
      <c r="B59" s="1" t="s">
        <v>204</v>
      </c>
      <c r="D59" s="25" t="s">
        <v>44</v>
      </c>
      <c r="F59" s="1" t="s">
        <v>63</v>
      </c>
      <c r="H59" s="24">
        <f>$H$57*J25</f>
        <v>3836537059.4023619</v>
      </c>
      <c r="J59" s="8"/>
      <c r="K59" s="22"/>
      <c r="L59" s="22"/>
      <c r="M59" s="22"/>
      <c r="N59" s="22"/>
      <c r="O59" s="22"/>
      <c r="P59" s="22"/>
      <c r="Q59" s="22"/>
      <c r="S59" s="135"/>
    </row>
    <row r="60" spans="1:20" x14ac:dyDescent="0.2">
      <c r="A60" s="6"/>
      <c r="B60" s="1" t="s">
        <v>18</v>
      </c>
      <c r="D60" s="25" t="s">
        <v>44</v>
      </c>
      <c r="F60" s="1" t="s">
        <v>63</v>
      </c>
      <c r="H60" s="24">
        <f>H59-J55</f>
        <v>3267170342.4716082</v>
      </c>
      <c r="J60" s="8"/>
      <c r="K60" s="22"/>
      <c r="L60" s="22"/>
      <c r="M60" s="22"/>
      <c r="N60" s="22"/>
      <c r="O60" s="22"/>
      <c r="P60" s="22"/>
      <c r="Q60" s="22"/>
      <c r="S60" s="135"/>
    </row>
    <row r="61" spans="1:20" x14ac:dyDescent="0.2">
      <c r="A61" s="6"/>
      <c r="H61" s="8"/>
      <c r="J61" s="8"/>
    </row>
    <row r="62" spans="1:20" s="22" customFormat="1" x14ac:dyDescent="0.2">
      <c r="A62" s="6"/>
      <c r="B62" s="2" t="s">
        <v>309</v>
      </c>
      <c r="H62" s="8"/>
      <c r="J62" s="8"/>
    </row>
    <row r="63" spans="1:20" x14ac:dyDescent="0.2">
      <c r="A63" s="6"/>
      <c r="B63" s="10" t="s">
        <v>308</v>
      </c>
      <c r="F63" s="1" t="s">
        <v>11</v>
      </c>
      <c r="H63" s="21">
        <f>(1+$H$22-(H60/H51)^(1/5))</f>
        <v>-3.3163248239606702E-2</v>
      </c>
      <c r="J63" s="116"/>
      <c r="K63" s="22"/>
      <c r="L63" s="107"/>
      <c r="M63" s="106"/>
      <c r="N63" s="106"/>
      <c r="O63" s="106"/>
      <c r="P63" s="106"/>
      <c r="Q63" s="106"/>
    </row>
    <row r="64" spans="1:20" x14ac:dyDescent="0.2">
      <c r="A64" s="6"/>
      <c r="H64" s="9"/>
      <c r="J64" s="9"/>
      <c r="L64" s="6"/>
      <c r="M64" s="6"/>
      <c r="N64" s="6"/>
      <c r="O64" s="6"/>
      <c r="P64" s="6"/>
      <c r="Q64" s="6"/>
    </row>
    <row r="65" spans="1:20" s="22" customFormat="1" x14ac:dyDescent="0.2">
      <c r="A65" s="6"/>
      <c r="B65" s="2" t="s">
        <v>205</v>
      </c>
      <c r="H65" s="9"/>
      <c r="J65" s="9"/>
      <c r="L65" s="6"/>
      <c r="M65" s="6"/>
      <c r="N65" s="6"/>
      <c r="O65" s="6"/>
      <c r="P65" s="6"/>
      <c r="Q65" s="6"/>
    </row>
    <row r="66" spans="1:20" s="22" customFormat="1" x14ac:dyDescent="0.2">
      <c r="A66" s="6"/>
      <c r="B66" s="162" t="s">
        <v>310</v>
      </c>
      <c r="F66" s="22" t="s">
        <v>53</v>
      </c>
      <c r="H66" s="18">
        <f>H51*(1+$H$22-H$63)</f>
        <v>2676030783.9737396</v>
      </c>
      <c r="J66" s="29"/>
      <c r="L66" s="29"/>
      <c r="M66" s="29"/>
      <c r="N66" s="29"/>
      <c r="O66" s="29"/>
      <c r="P66" s="29"/>
      <c r="Q66" s="29"/>
    </row>
    <row r="67" spans="1:20" s="22" customFormat="1" x14ac:dyDescent="0.2">
      <c r="A67" s="6"/>
      <c r="B67" s="162" t="s">
        <v>311</v>
      </c>
      <c r="F67" s="22" t="s">
        <v>171</v>
      </c>
      <c r="H67" s="18">
        <f>H66*(1+$H$22-H$63)</f>
        <v>2812945211.2710176</v>
      </c>
      <c r="J67" s="29"/>
      <c r="L67" s="29"/>
      <c r="M67" s="29"/>
      <c r="N67" s="29"/>
      <c r="O67" s="29"/>
      <c r="P67" s="29"/>
      <c r="Q67" s="29"/>
    </row>
    <row r="68" spans="1:20" s="22" customFormat="1" x14ac:dyDescent="0.2">
      <c r="A68" s="6"/>
      <c r="B68" s="162" t="s">
        <v>312</v>
      </c>
      <c r="F68" s="22" t="s">
        <v>172</v>
      </c>
      <c r="H68" s="18">
        <f>H67*(1+$H$22-H$63)</f>
        <v>2956864625.3996897</v>
      </c>
      <c r="J68" s="29"/>
      <c r="L68" s="29"/>
      <c r="M68" s="29"/>
      <c r="N68" s="29"/>
      <c r="O68" s="29"/>
      <c r="P68" s="29"/>
      <c r="Q68" s="29"/>
    </row>
    <row r="69" spans="1:20" s="22" customFormat="1" x14ac:dyDescent="0.2">
      <c r="A69" s="6"/>
      <c r="B69" s="162" t="s">
        <v>313</v>
      </c>
      <c r="F69" s="22" t="s">
        <v>173</v>
      </c>
      <c r="H69" s="18">
        <f>H68*(1+$H$22-H$63)</f>
        <v>3108147424.2399259</v>
      </c>
      <c r="J69" s="29"/>
      <c r="L69" s="29"/>
      <c r="M69" s="29"/>
      <c r="N69" s="29"/>
      <c r="O69" s="29"/>
      <c r="P69" s="29"/>
      <c r="Q69" s="29"/>
    </row>
    <row r="70" spans="1:20" s="22" customFormat="1" x14ac:dyDescent="0.2">
      <c r="A70" s="6"/>
      <c r="B70" s="162" t="s">
        <v>314</v>
      </c>
      <c r="F70" s="22" t="s">
        <v>63</v>
      </c>
      <c r="H70" s="18">
        <f>H69*(1+$H$22-H$63)</f>
        <v>3267170342.4716072</v>
      </c>
      <c r="J70" s="29"/>
      <c r="L70" s="29"/>
      <c r="M70" s="29"/>
      <c r="N70" s="29"/>
      <c r="O70" s="29"/>
      <c r="P70" s="29"/>
      <c r="Q70" s="29"/>
    </row>
    <row r="71" spans="1:20" s="22" customFormat="1" x14ac:dyDescent="0.2">
      <c r="A71" s="6"/>
      <c r="H71" s="9"/>
      <c r="J71" s="9"/>
    </row>
    <row r="72" spans="1:20" s="41" customFormat="1" ht="12" customHeight="1" x14ac:dyDescent="0.25">
      <c r="B72" s="41" t="s">
        <v>150</v>
      </c>
      <c r="H72" s="42"/>
      <c r="J72" s="42"/>
      <c r="K72" s="42"/>
      <c r="L72" s="42"/>
      <c r="M72" s="42"/>
      <c r="N72" s="42"/>
      <c r="R72" s="42"/>
      <c r="T72" s="42"/>
    </row>
    <row r="73" spans="1:20" s="22" customFormat="1" x14ac:dyDescent="0.2">
      <c r="A73" s="6"/>
      <c r="H73" s="9"/>
      <c r="J73" s="9"/>
    </row>
    <row r="74" spans="1:20" s="22" customFormat="1" x14ac:dyDescent="0.2">
      <c r="A74" s="6"/>
      <c r="B74" s="86" t="s">
        <v>229</v>
      </c>
      <c r="H74" s="9"/>
      <c r="J74" s="9"/>
    </row>
    <row r="75" spans="1:20" s="22" customFormat="1" x14ac:dyDescent="0.2">
      <c r="A75" s="6"/>
      <c r="B75" s="139" t="s">
        <v>230</v>
      </c>
      <c r="F75" s="22" t="s">
        <v>53</v>
      </c>
      <c r="H75" s="18">
        <f>H66</f>
        <v>2676030783.9737396</v>
      </c>
      <c r="J75" s="9"/>
    </row>
    <row r="76" spans="1:20" s="22" customFormat="1" x14ac:dyDescent="0.2">
      <c r="A76" s="6"/>
      <c r="B76" s="139" t="s">
        <v>231</v>
      </c>
      <c r="F76" s="22" t="s">
        <v>171</v>
      </c>
      <c r="H76" s="18">
        <f>H67-J38</f>
        <v>2807100680.5373778</v>
      </c>
      <c r="J76" s="9"/>
    </row>
    <row r="77" spans="1:20" s="22" customFormat="1" x14ac:dyDescent="0.2">
      <c r="A77" s="6"/>
      <c r="B77" s="139" t="s">
        <v>232</v>
      </c>
      <c r="F77" s="22" t="s">
        <v>172</v>
      </c>
      <c r="H77" s="18">
        <f>H68-J39</f>
        <v>2941981250.6064281</v>
      </c>
      <c r="J77" s="9"/>
    </row>
    <row r="78" spans="1:20" s="22" customFormat="1" x14ac:dyDescent="0.2">
      <c r="A78" s="6"/>
      <c r="B78" s="139" t="s">
        <v>233</v>
      </c>
      <c r="F78" s="22" t="s">
        <v>173</v>
      </c>
      <c r="H78" s="18">
        <f>H69-J40</f>
        <v>3086400235.2716064</v>
      </c>
      <c r="J78" s="9"/>
    </row>
    <row r="79" spans="1:20" s="22" customFormat="1" x14ac:dyDescent="0.2">
      <c r="A79" s="6"/>
      <c r="B79" s="139" t="s">
        <v>234</v>
      </c>
      <c r="F79" s="22" t="s">
        <v>63</v>
      </c>
      <c r="H79" s="18">
        <f>H70-J41</f>
        <v>3244205053.0996137</v>
      </c>
      <c r="J79" s="9"/>
    </row>
    <row r="80" spans="1:20" s="22" customFormat="1" x14ac:dyDescent="0.2">
      <c r="A80" s="6"/>
      <c r="B80" s="139"/>
      <c r="H80" s="9"/>
      <c r="J80" s="9"/>
    </row>
    <row r="81" spans="1:20" s="35" customFormat="1" x14ac:dyDescent="0.2">
      <c r="B81" s="35" t="s">
        <v>248</v>
      </c>
      <c r="F81" s="35" t="s">
        <v>53</v>
      </c>
      <c r="H81" s="150">
        <f>H75/H$15+H76/H$16+H77/H$17+H78/H$18+H79/H$19</f>
        <v>13740663937.699852</v>
      </c>
      <c r="T81" s="138"/>
    </row>
    <row r="82" spans="1:20" s="22" customFormat="1" x14ac:dyDescent="0.2">
      <c r="A82" s="6"/>
      <c r="B82" s="139"/>
      <c r="H82" s="9"/>
      <c r="J82" s="9"/>
    </row>
    <row r="83" spans="1:20" s="22" customFormat="1" x14ac:dyDescent="0.2">
      <c r="A83" s="35"/>
      <c r="B83" s="86" t="s">
        <v>235</v>
      </c>
      <c r="H83" s="9"/>
      <c r="J83" s="9"/>
    </row>
    <row r="84" spans="1:20" s="22" customFormat="1" x14ac:dyDescent="0.2">
      <c r="A84" s="35"/>
      <c r="B84" s="22" t="s">
        <v>185</v>
      </c>
      <c r="F84" s="22" t="s">
        <v>15</v>
      </c>
      <c r="H84" s="102">
        <v>2545644294.0265293</v>
      </c>
      <c r="J84" s="8"/>
      <c r="L84" s="8"/>
      <c r="M84" s="8"/>
      <c r="N84" s="8"/>
      <c r="O84" s="8"/>
      <c r="P84" s="8"/>
      <c r="Q84" s="8"/>
      <c r="S84" s="162" t="s">
        <v>315</v>
      </c>
    </row>
    <row r="85" spans="1:20" s="22" customFormat="1" x14ac:dyDescent="0.2">
      <c r="A85" s="35"/>
      <c r="B85" s="22" t="s">
        <v>186</v>
      </c>
      <c r="F85" s="22" t="s">
        <v>63</v>
      </c>
      <c r="H85" s="24">
        <f>H79</f>
        <v>3244205053.0996137</v>
      </c>
      <c r="J85" s="8"/>
      <c r="L85" s="8"/>
      <c r="M85" s="8"/>
      <c r="N85" s="8"/>
      <c r="O85" s="8"/>
      <c r="P85" s="8"/>
      <c r="Q85" s="8"/>
      <c r="S85" s="135"/>
    </row>
    <row r="86" spans="1:20" s="22" customFormat="1" x14ac:dyDescent="0.2">
      <c r="A86" s="35"/>
      <c r="B86" s="22" t="s">
        <v>151</v>
      </c>
      <c r="H86" s="21">
        <f>(1+$H$22-(H85/H84)^(1/5))</f>
        <v>-3.1692551404298497E-2</v>
      </c>
      <c r="J86" s="107"/>
      <c r="L86" s="107"/>
      <c r="M86" s="107"/>
      <c r="N86" s="107"/>
      <c r="O86" s="107"/>
      <c r="P86" s="107"/>
      <c r="Q86" s="107"/>
      <c r="S86" s="135"/>
    </row>
    <row r="87" spans="1:20" s="22" customFormat="1" x14ac:dyDescent="0.2">
      <c r="A87" s="6"/>
      <c r="H87" s="9"/>
      <c r="J87" s="9"/>
      <c r="L87" s="9"/>
      <c r="M87" s="9"/>
      <c r="N87" s="9"/>
      <c r="O87" s="9"/>
      <c r="P87" s="9"/>
      <c r="Q87" s="9"/>
    </row>
    <row r="88" spans="1:20" s="22" customFormat="1" x14ac:dyDescent="0.2">
      <c r="A88" s="6"/>
      <c r="B88" s="22" t="s">
        <v>153</v>
      </c>
      <c r="F88" s="22" t="s">
        <v>53</v>
      </c>
      <c r="H88" s="18">
        <f>H84*(1+$H$22-H$86)</f>
        <v>2672143853.9645019</v>
      </c>
      <c r="J88" s="29"/>
      <c r="L88" s="29"/>
      <c r="M88" s="29"/>
      <c r="N88" s="29"/>
      <c r="O88" s="29"/>
      <c r="P88" s="29"/>
      <c r="Q88" s="29"/>
    </row>
    <row r="89" spans="1:20" s="22" customFormat="1" x14ac:dyDescent="0.2">
      <c r="A89" s="6"/>
      <c r="B89" s="22" t="s">
        <v>154</v>
      </c>
      <c r="F89" s="22" t="s">
        <v>171</v>
      </c>
      <c r="H89" s="18">
        <f>H88*(1+$H$22-H$86)</f>
        <v>2804929499.787313</v>
      </c>
      <c r="J89" s="29"/>
      <c r="L89" s="29"/>
      <c r="M89" s="29"/>
      <c r="N89" s="29"/>
      <c r="O89" s="29"/>
      <c r="P89" s="29"/>
      <c r="Q89" s="29"/>
    </row>
    <row r="90" spans="1:20" s="22" customFormat="1" x14ac:dyDescent="0.2">
      <c r="A90" s="6"/>
      <c r="B90" s="22" t="s">
        <v>155</v>
      </c>
      <c r="F90" s="22" t="s">
        <v>172</v>
      </c>
      <c r="H90" s="18">
        <f>H89*(1+$H$22-H$86)</f>
        <v>2944313603.1409273</v>
      </c>
      <c r="J90" s="29"/>
      <c r="L90" s="29"/>
      <c r="M90" s="29"/>
      <c r="N90" s="29"/>
      <c r="O90" s="29"/>
      <c r="P90" s="29"/>
      <c r="Q90" s="29"/>
    </row>
    <row r="91" spans="1:20" s="22" customFormat="1" x14ac:dyDescent="0.2">
      <c r="A91" s="6"/>
      <c r="B91" s="22" t="s">
        <v>156</v>
      </c>
      <c r="F91" s="22" t="s">
        <v>173</v>
      </c>
      <c r="H91" s="18">
        <f>H90*(1+$H$22-H$86)</f>
        <v>3090624058.2153831</v>
      </c>
      <c r="J91" s="29"/>
      <c r="L91" s="29"/>
      <c r="M91" s="29"/>
      <c r="N91" s="29"/>
      <c r="O91" s="29"/>
      <c r="P91" s="29"/>
      <c r="Q91" s="29"/>
    </row>
    <row r="92" spans="1:20" s="22" customFormat="1" x14ac:dyDescent="0.2">
      <c r="A92" s="6"/>
      <c r="B92" s="22" t="s">
        <v>157</v>
      </c>
      <c r="F92" s="22" t="s">
        <v>63</v>
      </c>
      <c r="H92" s="18">
        <f>H91*(1+$H$22-H$86)</f>
        <v>3244205053.0996127</v>
      </c>
      <c r="J92" s="29"/>
      <c r="L92" s="29"/>
      <c r="M92" s="29"/>
      <c r="N92" s="29"/>
      <c r="O92" s="29"/>
      <c r="P92" s="29"/>
      <c r="Q92" s="29"/>
    </row>
    <row r="93" spans="1:20" s="22" customFormat="1" x14ac:dyDescent="0.2">
      <c r="A93" s="6"/>
      <c r="J93" s="6"/>
      <c r="L93" s="6"/>
      <c r="M93" s="6"/>
      <c r="N93" s="6"/>
      <c r="O93" s="6"/>
      <c r="P93" s="6"/>
      <c r="Q93" s="6"/>
    </row>
    <row r="94" spans="1:20" s="22" customFormat="1" x14ac:dyDescent="0.2">
      <c r="A94" s="6"/>
      <c r="B94" s="22" t="s">
        <v>158</v>
      </c>
      <c r="F94" s="35" t="s">
        <v>53</v>
      </c>
      <c r="H94" s="150">
        <f>H88/H$15+H89/H$16+H90/H$17+H91/H$18+H92/H$19</f>
        <v>13740663937.699841</v>
      </c>
      <c r="J94" s="8"/>
      <c r="L94" s="8"/>
      <c r="M94" s="8"/>
      <c r="N94" s="8"/>
      <c r="O94" s="8"/>
      <c r="P94" s="8"/>
      <c r="Q94" s="8"/>
      <c r="S94" s="135"/>
    </row>
    <row r="95" spans="1:20" x14ac:dyDescent="0.2">
      <c r="J95" s="6"/>
    </row>
    <row r="96" spans="1:20" s="41" customFormat="1" ht="12" customHeight="1" x14ac:dyDescent="0.25">
      <c r="B96" s="41" t="s">
        <v>178</v>
      </c>
      <c r="H96" s="42"/>
      <c r="J96" s="42"/>
      <c r="K96" s="42"/>
      <c r="L96" s="42"/>
      <c r="M96" s="42"/>
      <c r="N96" s="42"/>
      <c r="R96" s="42"/>
      <c r="T96" s="42"/>
    </row>
    <row r="97" spans="2:19" x14ac:dyDescent="0.2">
      <c r="L97" s="7"/>
    </row>
    <row r="98" spans="2:19" s="22" customFormat="1" x14ac:dyDescent="0.2">
      <c r="B98" s="2" t="s">
        <v>47</v>
      </c>
      <c r="L98" s="7"/>
    </row>
    <row r="99" spans="2:19" x14ac:dyDescent="0.2">
      <c r="B99" s="1" t="s">
        <v>47</v>
      </c>
      <c r="D99" s="1" t="s">
        <v>175</v>
      </c>
      <c r="F99" s="22" t="s">
        <v>15</v>
      </c>
      <c r="H99" s="16">
        <f>H84</f>
        <v>2545644294.0265293</v>
      </c>
      <c r="J99" s="110"/>
      <c r="L99" s="7"/>
      <c r="M99" s="7"/>
      <c r="N99" s="7"/>
      <c r="O99" s="7"/>
      <c r="P99" s="7"/>
      <c r="Q99" s="7"/>
    </row>
    <row r="100" spans="2:19" x14ac:dyDescent="0.2">
      <c r="B100" s="1" t="s">
        <v>187</v>
      </c>
      <c r="F100" s="22" t="s">
        <v>16</v>
      </c>
      <c r="H100" s="101">
        <f>(H99+J32)/J25</f>
        <v>0.9902224647142851</v>
      </c>
      <c r="J100" s="115"/>
      <c r="L100" s="7"/>
    </row>
    <row r="102" spans="2:19" x14ac:dyDescent="0.2">
      <c r="B102" s="1" t="s">
        <v>174</v>
      </c>
      <c r="D102" s="1" t="s">
        <v>175</v>
      </c>
      <c r="F102" s="22" t="s">
        <v>15</v>
      </c>
      <c r="H102" s="8"/>
      <c r="J102" s="11">
        <f>SUM(L102:Q102)</f>
        <v>3066422961.8291097</v>
      </c>
      <c r="L102" s="11">
        <f t="shared" ref="L102:Q102" si="3">L25*$H$100</f>
        <v>18507817.191639345</v>
      </c>
      <c r="M102" s="11">
        <f t="shared" si="3"/>
        <v>1042298128.00331</v>
      </c>
      <c r="N102" s="11">
        <f t="shared" si="3"/>
        <v>1161641913.7493663</v>
      </c>
      <c r="O102" s="11">
        <f t="shared" si="3"/>
        <v>11284636.877752492</v>
      </c>
      <c r="P102" s="11">
        <f t="shared" si="3"/>
        <v>785493735.50255561</v>
      </c>
      <c r="Q102" s="11">
        <f t="shared" si="3"/>
        <v>47196730.504486665</v>
      </c>
    </row>
    <row r="103" spans="2:19" x14ac:dyDescent="0.2">
      <c r="B103" s="1" t="s">
        <v>176</v>
      </c>
      <c r="F103" s="1" t="s">
        <v>15</v>
      </c>
      <c r="H103" s="8"/>
      <c r="J103" s="11">
        <f>SUM(L103:Q103)</f>
        <v>2545644294.0265293</v>
      </c>
      <c r="L103" s="11">
        <f t="shared" ref="L103:Q103" si="4">L102-L32</f>
        <v>15323693.508947622</v>
      </c>
      <c r="M103" s="11">
        <f t="shared" si="4"/>
        <v>850775904.89899957</v>
      </c>
      <c r="N103" s="11">
        <f t="shared" si="4"/>
        <v>978519824.40389407</v>
      </c>
      <c r="O103" s="11">
        <f t="shared" si="4"/>
        <v>9227109.3847400285</v>
      </c>
      <c r="P103" s="11">
        <f t="shared" si="4"/>
        <v>654955241.60231411</v>
      </c>
      <c r="Q103" s="11">
        <f t="shared" si="4"/>
        <v>36842520.227634184</v>
      </c>
      <c r="S103" s="137"/>
    </row>
    <row r="104" spans="2:19" x14ac:dyDescent="0.2">
      <c r="L104" s="4"/>
      <c r="M104" s="4"/>
      <c r="N104" s="4"/>
      <c r="O104" s="4"/>
      <c r="P104" s="4"/>
      <c r="Q104" s="4"/>
    </row>
    <row r="105" spans="2:19" x14ac:dyDescent="0.2">
      <c r="B105" s="2" t="s">
        <v>177</v>
      </c>
      <c r="M105" s="4"/>
      <c r="N105" s="4"/>
      <c r="O105" s="4"/>
      <c r="P105" s="4"/>
      <c r="Q105" s="4"/>
      <c r="S105" s="4"/>
    </row>
    <row r="106" spans="2:19" x14ac:dyDescent="0.2">
      <c r="B106" s="162" t="s">
        <v>316</v>
      </c>
      <c r="D106" s="1" t="s">
        <v>44</v>
      </c>
      <c r="F106" s="1" t="s">
        <v>63</v>
      </c>
      <c r="H106" s="16">
        <f>H85</f>
        <v>3244205053.0996137</v>
      </c>
      <c r="J106" s="110"/>
      <c r="M106" s="4"/>
      <c r="N106" s="4"/>
      <c r="O106" s="4"/>
      <c r="P106" s="4"/>
      <c r="Q106" s="4"/>
      <c r="S106" s="137"/>
    </row>
    <row r="107" spans="2:19" x14ac:dyDescent="0.2">
      <c r="B107" s="1" t="s">
        <v>188</v>
      </c>
      <c r="F107" s="1" t="s">
        <v>63</v>
      </c>
      <c r="H107" s="101">
        <f>(H106+J55)/J25</f>
        <v>1.231494964814557</v>
      </c>
      <c r="J107" s="115"/>
      <c r="M107" s="4"/>
      <c r="N107" s="4"/>
      <c r="O107" s="4"/>
      <c r="P107" s="4"/>
      <c r="Q107" s="4"/>
      <c r="S107" s="137"/>
    </row>
    <row r="108" spans="2:19" ht="12.75" customHeight="1" x14ac:dyDescent="0.2">
      <c r="J108" s="6"/>
      <c r="M108" s="4"/>
    </row>
    <row r="109" spans="2:19" x14ac:dyDescent="0.2">
      <c r="B109" s="162" t="s">
        <v>317</v>
      </c>
      <c r="D109" s="1" t="s">
        <v>44</v>
      </c>
      <c r="F109" s="1" t="s">
        <v>63</v>
      </c>
      <c r="H109" s="8"/>
      <c r="J109" s="11">
        <f>SUM(L109:Q109)</f>
        <v>3813571770.0303679</v>
      </c>
      <c r="L109" s="11">
        <f t="shared" ref="L109:Q109" si="5">L25*$H$107</f>
        <v>23017336.501034182</v>
      </c>
      <c r="M109" s="11">
        <f t="shared" si="5"/>
        <v>1296259115.7150483</v>
      </c>
      <c r="N109" s="11">
        <f t="shared" si="5"/>
        <v>1444681592.9515977</v>
      </c>
      <c r="O109" s="11">
        <f t="shared" si="5"/>
        <v>14034193.315057375</v>
      </c>
      <c r="P109" s="11">
        <f t="shared" si="5"/>
        <v>976883089.03786051</v>
      </c>
      <c r="Q109" s="11">
        <f t="shared" si="5"/>
        <v>58696442.509770148</v>
      </c>
      <c r="R109" s="8"/>
      <c r="S109" s="135"/>
    </row>
    <row r="110" spans="2:19" x14ac:dyDescent="0.2">
      <c r="B110" s="1" t="s">
        <v>179</v>
      </c>
      <c r="F110" s="1" t="s">
        <v>63</v>
      </c>
      <c r="H110" s="8"/>
      <c r="J110" s="11">
        <f>SUM(L110:Q110)</f>
        <v>3244205053.0996146</v>
      </c>
      <c r="L110" s="11">
        <f t="shared" ref="L110:Q110" si="6">L109-L55</f>
        <v>19536137.75077565</v>
      </c>
      <c r="M110" s="11">
        <f t="shared" si="6"/>
        <v>1086868090.0643618</v>
      </c>
      <c r="N110" s="11">
        <f t="shared" si="6"/>
        <v>1244474423.852159</v>
      </c>
      <c r="O110" s="11">
        <f t="shared" si="6"/>
        <v>11784700.879750166</v>
      </c>
      <c r="P110" s="11">
        <f t="shared" si="6"/>
        <v>834165504.19769025</v>
      </c>
      <c r="Q110" s="11">
        <f t="shared" si="6"/>
        <v>47376196.354877718</v>
      </c>
      <c r="S110" s="135"/>
    </row>
    <row r="111" spans="2:19" x14ac:dyDescent="0.2">
      <c r="H111" s="6"/>
    </row>
    <row r="112" spans="2:19" x14ac:dyDescent="0.2">
      <c r="B112" s="2" t="s">
        <v>180</v>
      </c>
      <c r="H112" s="6"/>
    </row>
    <row r="113" spans="2:19" x14ac:dyDescent="0.2">
      <c r="B113" s="1" t="s">
        <v>181</v>
      </c>
      <c r="H113" s="115"/>
      <c r="J113" s="103">
        <f>(1+$H$22-(J110/J103)^(1/5))*100</f>
        <v>-3.1692551404298497</v>
      </c>
      <c r="L113" s="103">
        <f t="shared" ref="L113:Q113" si="7">(1+$H$22-(L110/L103)^(1/5))*100</f>
        <v>-3.1772158281359264</v>
      </c>
      <c r="M113" s="103">
        <f t="shared" si="7"/>
        <v>-3.2200767478166803</v>
      </c>
      <c r="N113" s="103">
        <f t="shared" si="7"/>
        <v>-3.1260368208764433</v>
      </c>
      <c r="O113" s="103">
        <f t="shared" si="7"/>
        <v>-3.2148167637172653</v>
      </c>
      <c r="P113" s="103">
        <f t="shared" si="7"/>
        <v>-3.1562054086499369</v>
      </c>
      <c r="Q113" s="103">
        <f t="shared" si="7"/>
        <v>-3.357964699512328</v>
      </c>
      <c r="S113" s="135"/>
    </row>
    <row r="114" spans="2:19" x14ac:dyDescent="0.2">
      <c r="B114" s="1" t="s">
        <v>182</v>
      </c>
      <c r="H114" s="115"/>
      <c r="J114" s="103">
        <f>IF(J113&gt;0,ROUNDDOWN(J113,2),ROUNDUP(J113,2))</f>
        <v>-3.17</v>
      </c>
      <c r="L114" s="103">
        <f>IF(L113&gt;0,ROUNDDOWN(L113,2),ROUNDUP(L113,2))</f>
        <v>-3.1799999999999997</v>
      </c>
      <c r="M114" s="103">
        <f t="shared" ref="M114:Q114" si="8">IF(M113&gt;0,ROUNDDOWN(M113,2),ROUNDUP(M113,2))</f>
        <v>-3.23</v>
      </c>
      <c r="N114" s="103">
        <f t="shared" si="8"/>
        <v>-3.13</v>
      </c>
      <c r="O114" s="103">
        <f t="shared" si="8"/>
        <v>-3.2199999999999998</v>
      </c>
      <c r="P114" s="103">
        <f t="shared" si="8"/>
        <v>-3.1599999999999997</v>
      </c>
      <c r="Q114" s="103">
        <f t="shared" si="8"/>
        <v>-3.36</v>
      </c>
    </row>
    <row r="116" spans="2:19" s="22" customFormat="1" x14ac:dyDescent="0.2"/>
  </sheetData>
  <mergeCells count="2">
    <mergeCell ref="B5:F5"/>
    <mergeCell ref="B8:F8"/>
  </mergeCells>
  <phoneticPr fontId="2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4">
    <tabColor rgb="FFFFFFCC"/>
  </sheetPr>
  <dimension ref="A1:U359"/>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x14ac:dyDescent="0.2"/>
  <cols>
    <col min="1" max="1" width="2.7109375" style="22" customWidth="1"/>
    <col min="2" max="2" width="72.140625" style="22" customWidth="1"/>
    <col min="3" max="3" width="2.7109375" style="22" customWidth="1"/>
    <col min="4" max="4" width="17" style="22" customWidth="1"/>
    <col min="5" max="5" width="2.7109375" style="22" customWidth="1"/>
    <col min="6" max="6" width="14.28515625" style="22" bestFit="1" customWidth="1"/>
    <col min="7" max="7" width="2.7109375" style="22" customWidth="1"/>
    <col min="8" max="8" width="19.28515625" style="22" bestFit="1" customWidth="1"/>
    <col min="9" max="9" width="2.7109375" style="22" customWidth="1"/>
    <col min="10" max="10" width="19.28515625" style="22" bestFit="1" customWidth="1"/>
    <col min="11" max="11" width="2.7109375" style="22" customWidth="1"/>
    <col min="12" max="17" width="14.7109375" style="22" customWidth="1"/>
    <col min="18" max="18" width="2.7109375" style="22" customWidth="1"/>
    <col min="19" max="19" width="14.7109375" style="22" customWidth="1"/>
    <col min="20" max="20" width="2.7109375" style="22" customWidth="1"/>
    <col min="21" max="16384" width="9.140625" style="22"/>
  </cols>
  <sheetData>
    <row r="1" spans="1:20" s="35" customFormat="1" x14ac:dyDescent="0.25"/>
    <row r="2" spans="1:20" s="36" customFormat="1" ht="18" x14ac:dyDescent="0.25">
      <c r="B2" s="36" t="s">
        <v>252</v>
      </c>
    </row>
    <row r="3" spans="1:20" s="35" customFormat="1" x14ac:dyDescent="0.25"/>
    <row r="4" spans="1:20" s="35" customFormat="1" ht="15" x14ac:dyDescent="0.25">
      <c r="B4" s="37" t="s">
        <v>35</v>
      </c>
      <c r="G4" s="38"/>
      <c r="H4" s="38"/>
      <c r="J4" s="38"/>
      <c r="O4" s="38"/>
    </row>
    <row r="5" spans="1:20" s="35" customFormat="1" ht="14.25" customHeight="1" x14ac:dyDescent="0.25">
      <c r="B5" s="167" t="s">
        <v>165</v>
      </c>
      <c r="C5" s="167"/>
      <c r="D5" s="167"/>
      <c r="E5" s="167"/>
      <c r="F5" s="167"/>
    </row>
    <row r="6" spans="1:20" ht="12.75" customHeight="1" x14ac:dyDescent="0.2">
      <c r="B6" s="12"/>
      <c r="F6" s="13"/>
      <c r="G6" s="13"/>
      <c r="H6" s="13"/>
      <c r="I6" s="13"/>
      <c r="J6" s="13"/>
      <c r="K6" s="13"/>
      <c r="L6" s="13"/>
      <c r="M6" s="13"/>
      <c r="N6" s="13"/>
      <c r="O6" s="13"/>
      <c r="R6" s="13"/>
      <c r="T6" s="13"/>
    </row>
    <row r="7" spans="1:20" ht="12.75" customHeight="1" x14ac:dyDescent="0.2">
      <c r="B7" s="44" t="s">
        <v>51</v>
      </c>
      <c r="F7" s="13"/>
      <c r="G7" s="13"/>
      <c r="H7" s="13"/>
      <c r="I7" s="13"/>
      <c r="J7" s="13"/>
      <c r="K7" s="13"/>
      <c r="L7" s="13"/>
      <c r="M7" s="13"/>
      <c r="N7" s="13"/>
      <c r="O7" s="13"/>
      <c r="R7" s="13"/>
      <c r="T7" s="13"/>
    </row>
    <row r="8" spans="1:20" s="35" customFormat="1" ht="36.75" customHeight="1" x14ac:dyDescent="0.25">
      <c r="B8" s="167" t="s">
        <v>320</v>
      </c>
      <c r="C8" s="167"/>
      <c r="D8" s="167"/>
      <c r="E8" s="167"/>
      <c r="F8" s="167"/>
    </row>
    <row r="9" spans="1:20" ht="12.75" customHeight="1" x14ac:dyDescent="0.2">
      <c r="B9" s="12"/>
      <c r="F9" s="13"/>
      <c r="G9" s="13"/>
      <c r="H9" s="13"/>
      <c r="I9" s="13"/>
      <c r="J9" s="13"/>
      <c r="K9" s="13"/>
      <c r="L9" s="13"/>
      <c r="M9" s="13"/>
      <c r="N9" s="13"/>
      <c r="O9" s="13"/>
      <c r="R9" s="13"/>
      <c r="T9" s="13"/>
    </row>
    <row r="10" spans="1:20" s="41" customFormat="1" x14ac:dyDescent="0.25">
      <c r="B10" s="41" t="s">
        <v>36</v>
      </c>
      <c r="D10" s="41" t="s">
        <v>13</v>
      </c>
      <c r="F10" s="41" t="s">
        <v>1</v>
      </c>
      <c r="H10" s="42" t="s">
        <v>192</v>
      </c>
      <c r="I10" s="42"/>
      <c r="J10" s="42" t="s">
        <v>193</v>
      </c>
      <c r="K10" s="42"/>
      <c r="L10" s="42" t="s">
        <v>33</v>
      </c>
      <c r="M10" s="42" t="s">
        <v>2</v>
      </c>
      <c r="N10" s="42" t="s">
        <v>3</v>
      </c>
      <c r="O10" s="41" t="s">
        <v>4</v>
      </c>
      <c r="P10" s="41" t="s">
        <v>5</v>
      </c>
      <c r="Q10" s="41" t="s">
        <v>6</v>
      </c>
      <c r="R10" s="42"/>
      <c r="S10" s="41" t="s">
        <v>45</v>
      </c>
      <c r="T10" s="42"/>
    </row>
    <row r="11" spans="1:20" x14ac:dyDescent="0.2">
      <c r="G11" s="157"/>
    </row>
    <row r="12" spans="1:20" s="41" customFormat="1" x14ac:dyDescent="0.25">
      <c r="B12" s="41" t="s">
        <v>0</v>
      </c>
      <c r="H12" s="42"/>
      <c r="I12" s="42"/>
      <c r="J12" s="42"/>
      <c r="K12" s="42"/>
      <c r="L12" s="42"/>
      <c r="M12" s="42"/>
      <c r="N12" s="42"/>
      <c r="R12" s="42"/>
      <c r="T12" s="42"/>
    </row>
    <row r="14" spans="1:20" x14ac:dyDescent="0.2">
      <c r="B14" s="2" t="s">
        <v>14</v>
      </c>
    </row>
    <row r="15" spans="1:20" x14ac:dyDescent="0.2">
      <c r="A15" s="6"/>
      <c r="B15" s="22" t="s">
        <v>203</v>
      </c>
      <c r="F15" s="22" t="s">
        <v>11</v>
      </c>
      <c r="H15" s="17">
        <f>'1) Reguleringsparameters'!H21</f>
        <v>1.7999999999999999E-2</v>
      </c>
    </row>
    <row r="16" spans="1:20" x14ac:dyDescent="0.2">
      <c r="S16" s="35"/>
    </row>
    <row r="17" spans="2:20" x14ac:dyDescent="0.2">
      <c r="B17" s="2" t="s">
        <v>29</v>
      </c>
      <c r="H17" s="9"/>
      <c r="J17" s="9"/>
    </row>
    <row r="18" spans="2:20" x14ac:dyDescent="0.2">
      <c r="B18" s="22" t="s">
        <v>56</v>
      </c>
      <c r="F18" s="22" t="s">
        <v>15</v>
      </c>
      <c r="H18" s="112"/>
      <c r="J18" s="23">
        <f>SUM(L18:Q18)</f>
        <v>2.1606683731079102E-7</v>
      </c>
      <c r="L18" s="15">
        <f>'1) Reguleringsparameters'!H34</f>
        <v>4822740.8938368913</v>
      </c>
      <c r="M18" s="15">
        <f>'1) Reguleringsparameters'!H35</f>
        <v>25895281.033806879</v>
      </c>
      <c r="N18" s="15">
        <f>'1) Reguleringsparameters'!H36</f>
        <v>-6986651.1138314363</v>
      </c>
      <c r="O18" s="15">
        <f>'1) Reguleringsparameters'!H37</f>
        <v>-63881.848380199328</v>
      </c>
      <c r="P18" s="15">
        <f>'1) Reguleringsparameters'!H38</f>
        <v>-25144803.556875207</v>
      </c>
      <c r="Q18" s="15">
        <f>'1) Reguleringsparameters'!H39</f>
        <v>1477314.5914432928</v>
      </c>
    </row>
    <row r="19" spans="2:20" x14ac:dyDescent="0.2">
      <c r="H19" s="9"/>
      <c r="J19" s="9"/>
    </row>
    <row r="20" spans="2:20" x14ac:dyDescent="0.2">
      <c r="B20" s="2" t="s">
        <v>160</v>
      </c>
      <c r="H20" s="9"/>
      <c r="J20" s="9"/>
    </row>
    <row r="21" spans="2:20" x14ac:dyDescent="0.2">
      <c r="B21" s="22" t="s">
        <v>183</v>
      </c>
      <c r="F21" s="22" t="s">
        <v>15</v>
      </c>
      <c r="H21" s="113"/>
      <c r="J21" s="128"/>
      <c r="L21" s="15">
        <f>'6) X-factor + begininkomsten'!L103</f>
        <v>15323693.508947622</v>
      </c>
      <c r="M21" s="15">
        <f>'6) X-factor + begininkomsten'!M103</f>
        <v>850775904.89899957</v>
      </c>
      <c r="N21" s="15">
        <f>'6) X-factor + begininkomsten'!N103</f>
        <v>978519824.40389407</v>
      </c>
      <c r="O21" s="15">
        <f>'6) X-factor + begininkomsten'!O103</f>
        <v>9227109.3847400285</v>
      </c>
      <c r="P21" s="15">
        <f>'6) X-factor + begininkomsten'!P103</f>
        <v>654955241.60231411</v>
      </c>
      <c r="Q21" s="15">
        <f>'6) X-factor + begininkomsten'!Q103</f>
        <v>36842520.227634184</v>
      </c>
    </row>
    <row r="22" spans="2:20" x14ac:dyDescent="0.2">
      <c r="B22" s="22" t="s">
        <v>152</v>
      </c>
      <c r="H22" s="117"/>
      <c r="J22" s="104">
        <f>'6) X-factor + begininkomsten'!J114</f>
        <v>-3.17</v>
      </c>
      <c r="L22" s="104">
        <f>'6) X-factor + begininkomsten'!L114</f>
        <v>-3.1799999999999997</v>
      </c>
      <c r="M22" s="104">
        <f>'6) X-factor + begininkomsten'!M114</f>
        <v>-3.23</v>
      </c>
      <c r="N22" s="104">
        <f>'6) X-factor + begininkomsten'!N114</f>
        <v>-3.13</v>
      </c>
      <c r="O22" s="104">
        <f>'6) X-factor + begininkomsten'!O114</f>
        <v>-3.2199999999999998</v>
      </c>
      <c r="P22" s="104">
        <f>'6) X-factor + begininkomsten'!P114</f>
        <v>-3.1599999999999997</v>
      </c>
      <c r="Q22" s="104">
        <f>'6) X-factor + begininkomsten'!Q114</f>
        <v>-3.36</v>
      </c>
    </row>
    <row r="23" spans="2:20" x14ac:dyDescent="0.2">
      <c r="H23" s="9"/>
      <c r="J23" s="9"/>
    </row>
    <row r="24" spans="2:20" s="41" customFormat="1" ht="12" customHeight="1" x14ac:dyDescent="0.25">
      <c r="B24" s="41" t="s">
        <v>72</v>
      </c>
      <c r="H24" s="42"/>
      <c r="I24" s="42"/>
      <c r="J24" s="42"/>
      <c r="K24" s="42"/>
      <c r="L24" s="42"/>
      <c r="M24" s="42"/>
      <c r="N24" s="42"/>
      <c r="R24" s="42"/>
      <c r="T24" s="42"/>
    </row>
    <row r="25" spans="2:20" x14ac:dyDescent="0.2">
      <c r="H25" s="9"/>
      <c r="J25" s="9"/>
      <c r="L25" s="26"/>
    </row>
    <row r="26" spans="2:20" x14ac:dyDescent="0.2">
      <c r="B26" s="2" t="s">
        <v>206</v>
      </c>
      <c r="H26" s="9"/>
      <c r="J26" s="9"/>
      <c r="L26" s="118"/>
    </row>
    <row r="27" spans="2:20" x14ac:dyDescent="0.2">
      <c r="B27" s="22" t="s">
        <v>184</v>
      </c>
      <c r="F27" s="22" t="s">
        <v>15</v>
      </c>
      <c r="H27" s="29"/>
      <c r="J27" s="18">
        <f>SUM(L27:Q27)</f>
        <v>13993198115.831005</v>
      </c>
      <c r="L27" s="24">
        <f>L21*(1-L22/100)+L21*(1-L22/100)^2+L21*(1-L22/100)^3+L21*(1-L22/100)^4+L21*(1-L22/100)^5+L18</f>
        <v>89068014.957248792</v>
      </c>
      <c r="M27" s="24">
        <f t="shared" ref="M27:Q27" si="0">M21*(1-M22/100)+M21*(1-M22/100)^2+M21*(1-M22/100)^3+M21*(1-M22/100)^4+M21*(1-M22/100)^5+M18</f>
        <v>4710163482.5263453</v>
      </c>
      <c r="N27" s="24">
        <f t="shared" si="0"/>
        <v>5364656198.9885302</v>
      </c>
      <c r="O27" s="24">
        <f t="shared" si="0"/>
        <v>50724380.344794147</v>
      </c>
      <c r="P27" s="24">
        <f t="shared" si="0"/>
        <v>3573474371.8925447</v>
      </c>
      <c r="Q27" s="24">
        <f t="shared" si="0"/>
        <v>205111667.12154329</v>
      </c>
      <c r="R27" s="8"/>
    </row>
    <row r="28" spans="2:20" x14ac:dyDescent="0.2">
      <c r="B28" s="105" t="s">
        <v>207</v>
      </c>
      <c r="F28" s="22" t="s">
        <v>15</v>
      </c>
      <c r="H28" s="29"/>
      <c r="J28" s="18">
        <f>SUM(L28:Q28)</f>
        <v>13993198115.831001</v>
      </c>
      <c r="L28" s="24">
        <f>L21*(1-L22/100+L31/100)+L21*(1-L22/100+L31/100)^2+L21*(1-L22/100+L31/100)^3+L21*(1-L22/100+L31/100)^4+L21*(1-L22/100+L31/100)^5</f>
        <v>89068014.957248777</v>
      </c>
      <c r="M28" s="24">
        <f>M21*(1-M22/100+M31/100)+M21*(1-M22/100+M31/100)^2+M21*(1-M22/100+M31/100)^3+M21*(1-M22/100+M31/100)^4+M21*(1-M22/100+M31/100)^5</f>
        <v>4710163482.5263414</v>
      </c>
      <c r="N28" s="24">
        <f t="shared" ref="N28:Q28" si="1">N21*(1-N22/100+N31/100)+N21*(1-N22/100+N31/100)^2+N21*(1-N22/100+N31/100)^3+N21*(1-N22/100+N31/100)^4+N21*(1-N22/100+N31/100)^5</f>
        <v>5364656198.9885283</v>
      </c>
      <c r="O28" s="24">
        <f t="shared" si="1"/>
        <v>50724380.344794162</v>
      </c>
      <c r="P28" s="24">
        <f t="shared" si="1"/>
        <v>3573474371.8925452</v>
      </c>
      <c r="Q28" s="24">
        <f t="shared" si="1"/>
        <v>205111667.12154323</v>
      </c>
      <c r="R28" s="8"/>
    </row>
    <row r="29" spans="2:20" x14ac:dyDescent="0.2">
      <c r="H29" s="9"/>
      <c r="J29" s="9"/>
    </row>
    <row r="30" spans="2:20" x14ac:dyDescent="0.2">
      <c r="B30" s="2" t="s">
        <v>159</v>
      </c>
      <c r="H30" s="9"/>
      <c r="J30" s="9"/>
      <c r="L30" s="26"/>
    </row>
    <row r="31" spans="2:20" x14ac:dyDescent="0.2">
      <c r="B31" s="22" t="s">
        <v>29</v>
      </c>
      <c r="H31" s="9"/>
      <c r="J31" s="9"/>
      <c r="L31" s="119">
        <v>1.8814443151731444</v>
      </c>
      <c r="M31" s="119">
        <v>0.18582241859555865</v>
      </c>
      <c r="N31" s="119">
        <v>-4.3837611740896558E-2</v>
      </c>
      <c r="O31" s="119">
        <v>-4.2405535228765875E-2</v>
      </c>
      <c r="P31" s="119">
        <v>-0.23612374431416705</v>
      </c>
      <c r="Q31" s="119">
        <v>0.2437817270395457</v>
      </c>
      <c r="S31" s="135"/>
    </row>
    <row r="32" spans="2:20" x14ac:dyDescent="0.2">
      <c r="B32" s="22" t="s">
        <v>161</v>
      </c>
      <c r="L32" s="120">
        <f>IF(L31&gt;0,ROUNDUP(L31,2),ROUNDDOWN(L31,2))</f>
        <v>1.89</v>
      </c>
      <c r="M32" s="120">
        <f t="shared" ref="M32:Q32" si="2">IF(M31&gt;0,ROUNDUP(M31,2),ROUNDDOWN(M31,2))</f>
        <v>0.19</v>
      </c>
      <c r="N32" s="120">
        <f t="shared" si="2"/>
        <v>-0.04</v>
      </c>
      <c r="O32" s="120">
        <f t="shared" si="2"/>
        <v>-0.04</v>
      </c>
      <c r="P32" s="120">
        <f t="shared" si="2"/>
        <v>-0.23</v>
      </c>
      <c r="Q32" s="120">
        <f t="shared" si="2"/>
        <v>0.25</v>
      </c>
    </row>
    <row r="34" spans="2:21" s="41" customFormat="1" ht="12" customHeight="1" x14ac:dyDescent="0.25">
      <c r="B34" s="41" t="s">
        <v>189</v>
      </c>
      <c r="H34" s="42"/>
      <c r="I34" s="42"/>
      <c r="J34" s="42"/>
      <c r="K34" s="42"/>
      <c r="L34" s="42"/>
      <c r="M34" s="42"/>
      <c r="N34" s="42"/>
      <c r="R34" s="42"/>
      <c r="T34" s="42"/>
    </row>
    <row r="36" spans="2:21" x14ac:dyDescent="0.2">
      <c r="B36" s="22" t="s">
        <v>166</v>
      </c>
      <c r="F36" s="22" t="s">
        <v>53</v>
      </c>
      <c r="H36" s="29"/>
      <c r="J36" s="30">
        <f>SUM(L36:Q36)</f>
        <v>2672389226.7391367</v>
      </c>
      <c r="L36" s="30">
        <f>L21*(1-L$22/100+L$32/100+$H$15)</f>
        <v>16376431.253012324</v>
      </c>
      <c r="M36" s="30">
        <f t="shared" ref="M36:Q36" si="3">M21*(1-M$22/100+M$32/100+$H$15)</f>
        <v>895186407.13472736</v>
      </c>
      <c r="N36" s="30">
        <f t="shared" si="3"/>
        <v>1026369443.8172446</v>
      </c>
      <c r="O36" s="30">
        <f t="shared" si="3"/>
        <v>9686619.4321000818</v>
      </c>
      <c r="P36" s="30">
        <f t="shared" si="3"/>
        <v>685934624.53010368</v>
      </c>
      <c r="Q36" s="30">
        <f t="shared" si="3"/>
        <v>38835700.571949191</v>
      </c>
      <c r="U36" s="135"/>
    </row>
    <row r="37" spans="2:21" x14ac:dyDescent="0.2">
      <c r="B37" s="22" t="s">
        <v>167</v>
      </c>
      <c r="F37" s="22" t="s">
        <v>171</v>
      </c>
      <c r="H37" s="29"/>
      <c r="J37" s="30">
        <f>SUM(L37:Q37)</f>
        <v>2805460596.6102505</v>
      </c>
      <c r="L37" s="30">
        <f>L36*(1-L$22/100+L$32/100+$H$15)</f>
        <v>17501492.08009427</v>
      </c>
      <c r="M37" s="30">
        <f t="shared" ref="M37:Q37" si="4">M36*(1-M$22/100+M$32/100+$H$15)</f>
        <v>941915137.58716011</v>
      </c>
      <c r="N37" s="30">
        <f t="shared" si="4"/>
        <v>1076558909.6199081</v>
      </c>
      <c r="O37" s="30">
        <f t="shared" si="4"/>
        <v>10169013.079818666</v>
      </c>
      <c r="P37" s="30">
        <f t="shared" si="4"/>
        <v>718379332.27037764</v>
      </c>
      <c r="Q37" s="30">
        <f t="shared" si="4"/>
        <v>40936711.972891644</v>
      </c>
    </row>
    <row r="38" spans="2:21" x14ac:dyDescent="0.2">
      <c r="B38" s="22" t="s">
        <v>168</v>
      </c>
      <c r="F38" s="22" t="s">
        <v>172</v>
      </c>
      <c r="H38" s="29"/>
      <c r="J38" s="30">
        <f>SUM(L38:Q38)</f>
        <v>2945175085.3641143</v>
      </c>
      <c r="L38" s="30">
        <f t="shared" ref="L38:L40" si="5">L37*(1-L$22/100+L$32/100+$H$15)</f>
        <v>18703844.585996747</v>
      </c>
      <c r="M38" s="30">
        <f t="shared" ref="M38:M40" si="6">M37*(1-M$22/100+M$32/100+$H$15)</f>
        <v>991083107.76920986</v>
      </c>
      <c r="N38" s="30">
        <f t="shared" ref="N38:N40" si="7">N37*(1-N$22/100+N$32/100+$H$15)</f>
        <v>1129202640.3003218</v>
      </c>
      <c r="O38" s="30">
        <f t="shared" ref="O38:O40" si="8">O37*(1-O$22/100+O$32/100+$H$15)</f>
        <v>10675429.931193637</v>
      </c>
      <c r="P38" s="30">
        <f t="shared" ref="P38:P40" si="9">P37*(1-P$22/100+P$32/100+$H$15)</f>
        <v>752358674.68676662</v>
      </c>
      <c r="Q38" s="30">
        <f t="shared" ref="Q38:Q40" si="10">Q37*(1-Q$22/100+Q$32/100+$H$15)</f>
        <v>43151388.090625085</v>
      </c>
    </row>
    <row r="39" spans="2:21" x14ac:dyDescent="0.2">
      <c r="B39" s="22" t="s">
        <v>169</v>
      </c>
      <c r="F39" s="22" t="s">
        <v>173</v>
      </c>
      <c r="H39" s="29"/>
      <c r="J39" s="30">
        <f>SUM(L39:Q39)</f>
        <v>3091865278.6423712</v>
      </c>
      <c r="L39" s="30">
        <f t="shared" si="5"/>
        <v>19988798.709054723</v>
      </c>
      <c r="M39" s="30">
        <f t="shared" si="6"/>
        <v>1042817645.9947627</v>
      </c>
      <c r="N39" s="30">
        <f t="shared" si="7"/>
        <v>1184420649.4110076</v>
      </c>
      <c r="O39" s="30">
        <f t="shared" si="8"/>
        <v>11207066.34176708</v>
      </c>
      <c r="P39" s="30">
        <f t="shared" si="9"/>
        <v>787945239.9994508</v>
      </c>
      <c r="Q39" s="30">
        <f t="shared" si="10"/>
        <v>45485878.186327904</v>
      </c>
    </row>
    <row r="40" spans="2:21" x14ac:dyDescent="0.2">
      <c r="B40" s="22" t="s">
        <v>170</v>
      </c>
      <c r="F40" s="22" t="s">
        <v>63</v>
      </c>
      <c r="H40" s="29"/>
      <c r="J40" s="30">
        <f>SUM(L40:Q40)</f>
        <v>3245880467.7564826</v>
      </c>
      <c r="L40" s="30">
        <f t="shared" si="5"/>
        <v>21362029.180366784</v>
      </c>
      <c r="M40" s="30">
        <f t="shared" si="6"/>
        <v>1097252727.1156893</v>
      </c>
      <c r="N40" s="30">
        <f t="shared" si="7"/>
        <v>1242338819.167206</v>
      </c>
      <c r="O40" s="30">
        <f t="shared" si="8"/>
        <v>11765178.245587081</v>
      </c>
      <c r="P40" s="30">
        <f t="shared" si="9"/>
        <v>825215049.85142493</v>
      </c>
      <c r="Q40" s="30">
        <f t="shared" si="10"/>
        <v>47946664.196208246</v>
      </c>
    </row>
    <row r="359" spans="12:12" x14ac:dyDescent="0.2">
      <c r="L359" s="22">
        <v>0</v>
      </c>
    </row>
  </sheetData>
  <mergeCells count="2">
    <mergeCell ref="B5:F5"/>
    <mergeCell ref="B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rgb="FFCCC8D9"/>
  </sheetPr>
  <dimension ref="A2:R84"/>
  <sheetViews>
    <sheetView showGridLines="0" zoomScale="85" zoomScaleNormal="85" workbookViewId="0">
      <pane ySplit="3" topLeftCell="A4" activePane="bottomLeft" state="frozen"/>
      <selection pane="bottomLeft" activeCell="A4" sqref="A4"/>
    </sheetView>
  </sheetViews>
  <sheetFormatPr defaultRowHeight="12.75" x14ac:dyDescent="0.25"/>
  <cols>
    <col min="1" max="1" width="4.7109375" style="35" customWidth="1"/>
    <col min="2" max="2" width="19.140625" style="35" customWidth="1"/>
    <col min="3" max="3" width="2.7109375" style="35" customWidth="1"/>
    <col min="4" max="4" width="40.7109375" style="35" customWidth="1"/>
    <col min="5" max="5" width="2.7109375" style="35" customWidth="1"/>
    <col min="6" max="6" width="20.7109375" style="35" customWidth="1"/>
    <col min="7" max="7" width="2.7109375" style="35" customWidth="1"/>
    <col min="8" max="8" width="40.7109375" style="35" customWidth="1"/>
    <col min="9" max="9" width="2.7109375" style="35" customWidth="1"/>
    <col min="10" max="10" width="20.7109375" style="35" customWidth="1"/>
    <col min="11" max="11" width="4.7109375" style="35" customWidth="1"/>
    <col min="12" max="12" width="40.7109375" style="35" customWidth="1"/>
    <col min="13" max="13" width="4.7109375" style="35" customWidth="1"/>
    <col min="14" max="14" width="20.7109375" style="35" customWidth="1"/>
    <col min="15" max="15" width="4.7109375" style="35" customWidth="1"/>
    <col min="16" max="16" width="40.7109375" style="35" customWidth="1"/>
    <col min="17" max="17" width="4.7109375" style="35" customWidth="1"/>
    <col min="18" max="16384" width="9.140625" style="35"/>
  </cols>
  <sheetData>
    <row r="2" spans="1:17" s="57" customFormat="1" ht="18" x14ac:dyDescent="0.25">
      <c r="B2" s="57" t="s">
        <v>88</v>
      </c>
    </row>
    <row r="4" spans="1:17" s="58" customFormat="1" x14ac:dyDescent="0.25">
      <c r="B4" s="58" t="s">
        <v>89</v>
      </c>
    </row>
    <row r="5" spans="1:17" x14ac:dyDescent="0.25">
      <c r="A5" s="52"/>
    </row>
    <row r="6" spans="1:17" ht="38.25" customHeight="1" x14ac:dyDescent="0.25">
      <c r="B6" s="167" t="s">
        <v>276</v>
      </c>
      <c r="C6" s="167"/>
      <c r="D6" s="167"/>
      <c r="E6" s="167"/>
      <c r="F6" s="167"/>
      <c r="G6" s="167"/>
    </row>
    <row r="8" spans="1:17" s="58" customFormat="1" x14ac:dyDescent="0.25">
      <c r="B8" s="58" t="s">
        <v>90</v>
      </c>
    </row>
    <row r="9" spans="1:17" x14ac:dyDescent="0.2">
      <c r="F9" s="59"/>
    </row>
    <row r="10" spans="1:17" x14ac:dyDescent="0.2">
      <c r="F10" s="59"/>
    </row>
    <row r="11" spans="1:17" x14ac:dyDescent="0.25">
      <c r="C11" s="60"/>
      <c r="D11" s="61"/>
      <c r="E11" s="62"/>
      <c r="G11" s="60"/>
      <c r="H11" s="61"/>
      <c r="I11" s="62"/>
      <c r="K11" s="60"/>
      <c r="L11" s="61"/>
      <c r="M11" s="62"/>
      <c r="O11" s="60"/>
      <c r="P11" s="61"/>
      <c r="Q11" s="62"/>
    </row>
    <row r="12" spans="1:17" x14ac:dyDescent="0.25">
      <c r="C12" s="63"/>
      <c r="D12" s="64" t="s">
        <v>144</v>
      </c>
      <c r="E12" s="65"/>
      <c r="G12" s="63"/>
      <c r="H12" s="66" t="s">
        <v>91</v>
      </c>
      <c r="I12" s="65"/>
      <c r="K12" s="63"/>
      <c r="L12" s="99" t="s">
        <v>143</v>
      </c>
      <c r="M12" s="65"/>
      <c r="O12" s="63"/>
      <c r="P12" s="66" t="s">
        <v>28</v>
      </c>
      <c r="Q12" s="65"/>
    </row>
    <row r="13" spans="1:17" x14ac:dyDescent="0.25">
      <c r="C13" s="67"/>
      <c r="D13" s="68"/>
      <c r="E13" s="69"/>
      <c r="G13" s="67"/>
      <c r="H13" s="68"/>
      <c r="I13" s="69"/>
      <c r="K13" s="67"/>
      <c r="L13" s="68"/>
      <c r="M13" s="69"/>
      <c r="O13" s="67"/>
      <c r="P13" s="68"/>
      <c r="Q13" s="69"/>
    </row>
    <row r="14" spans="1:17" x14ac:dyDescent="0.25">
      <c r="C14" s="70"/>
      <c r="D14" s="70"/>
      <c r="E14" s="70"/>
      <c r="G14" s="70"/>
      <c r="H14" s="70"/>
      <c r="I14" s="70"/>
    </row>
    <row r="15" spans="1:17" x14ac:dyDescent="0.25">
      <c r="C15" s="70"/>
      <c r="D15" s="70"/>
      <c r="E15" s="70"/>
      <c r="G15" s="70"/>
      <c r="H15" s="70"/>
      <c r="I15" s="70"/>
    </row>
    <row r="16" spans="1:17" x14ac:dyDescent="0.25">
      <c r="C16" s="70"/>
      <c r="D16" s="70"/>
      <c r="E16" s="70"/>
      <c r="G16" s="70"/>
      <c r="H16" s="70"/>
      <c r="I16" s="70"/>
      <c r="K16" s="60"/>
      <c r="L16" s="61"/>
      <c r="M16" s="62"/>
      <c r="O16" s="60"/>
      <c r="P16" s="61"/>
      <c r="Q16" s="62"/>
    </row>
    <row r="17" spans="1:18" x14ac:dyDescent="0.25">
      <c r="C17" s="70"/>
      <c r="D17" s="70"/>
      <c r="E17" s="70"/>
      <c r="G17" s="70"/>
      <c r="H17" s="70"/>
      <c r="I17" s="70"/>
      <c r="K17" s="63"/>
      <c r="L17" s="64" t="s">
        <v>49</v>
      </c>
      <c r="M17" s="65"/>
      <c r="O17" s="63"/>
      <c r="P17" s="66" t="s">
        <v>29</v>
      </c>
      <c r="Q17" s="65"/>
    </row>
    <row r="18" spans="1:18" x14ac:dyDescent="0.25">
      <c r="C18" s="70"/>
      <c r="D18" s="70"/>
      <c r="E18" s="70"/>
      <c r="G18" s="70"/>
      <c r="H18" s="70"/>
      <c r="I18" s="70"/>
      <c r="K18" s="67"/>
      <c r="L18" s="68"/>
      <c r="M18" s="69"/>
      <c r="O18" s="67"/>
      <c r="P18" s="68"/>
      <c r="Q18" s="69"/>
    </row>
    <row r="19" spans="1:18" x14ac:dyDescent="0.25">
      <c r="C19" s="70"/>
      <c r="D19" s="70"/>
      <c r="E19" s="70"/>
      <c r="G19" s="70"/>
      <c r="H19" s="70"/>
      <c r="I19" s="70"/>
    </row>
    <row r="20" spans="1:18" x14ac:dyDescent="0.25">
      <c r="C20" s="70"/>
      <c r="D20" s="70"/>
      <c r="E20" s="70"/>
      <c r="G20" s="70"/>
      <c r="H20" s="70"/>
      <c r="I20" s="70"/>
      <c r="J20" s="132"/>
      <c r="K20" s="132"/>
      <c r="L20" s="132"/>
      <c r="M20" s="132"/>
    </row>
    <row r="21" spans="1:18" x14ac:dyDescent="0.25">
      <c r="C21" s="70"/>
      <c r="D21" s="70"/>
      <c r="E21" s="70"/>
      <c r="G21" s="70"/>
      <c r="H21" s="70"/>
      <c r="I21" s="70"/>
      <c r="J21" s="132"/>
      <c r="O21" s="132"/>
      <c r="P21" s="132"/>
      <c r="Q21" s="132"/>
      <c r="R21" s="132"/>
    </row>
    <row r="22" spans="1:18" x14ac:dyDescent="0.25">
      <c r="C22" s="70"/>
      <c r="D22" s="70"/>
      <c r="E22" s="70"/>
      <c r="G22" s="70"/>
      <c r="H22" s="70"/>
      <c r="I22" s="70"/>
      <c r="J22" s="132"/>
      <c r="K22" s="60"/>
      <c r="L22" s="61"/>
      <c r="M22" s="62"/>
      <c r="O22" s="132"/>
      <c r="P22" s="133"/>
      <c r="Q22" s="132"/>
      <c r="R22" s="132"/>
    </row>
    <row r="23" spans="1:18" x14ac:dyDescent="0.25">
      <c r="C23" s="70"/>
      <c r="D23" s="70"/>
      <c r="E23" s="70"/>
      <c r="G23" s="70"/>
      <c r="H23" s="70"/>
      <c r="I23" s="70"/>
      <c r="J23" s="132"/>
      <c r="K23" s="63"/>
      <c r="L23" s="66" t="s">
        <v>150</v>
      </c>
      <c r="M23" s="65"/>
      <c r="O23" s="132"/>
      <c r="P23" s="132"/>
      <c r="Q23" s="132"/>
      <c r="R23" s="132"/>
    </row>
    <row r="24" spans="1:18" x14ac:dyDescent="0.25">
      <c r="C24" s="70"/>
      <c r="D24" s="70"/>
      <c r="E24" s="70"/>
      <c r="G24" s="70"/>
      <c r="H24" s="70"/>
      <c r="I24" s="70"/>
      <c r="J24" s="132"/>
      <c r="K24" s="67"/>
      <c r="L24" s="68"/>
      <c r="M24" s="69"/>
    </row>
    <row r="25" spans="1:18" x14ac:dyDescent="0.25">
      <c r="C25" s="70"/>
      <c r="D25" s="70"/>
      <c r="E25" s="70"/>
      <c r="G25" s="70"/>
      <c r="H25" s="70"/>
      <c r="I25" s="70"/>
    </row>
    <row r="26" spans="1:18" s="58" customFormat="1" x14ac:dyDescent="0.25">
      <c r="B26" s="58" t="s">
        <v>92</v>
      </c>
    </row>
    <row r="27" spans="1:18" x14ac:dyDescent="0.25">
      <c r="A27" s="52"/>
    </row>
    <row r="28" spans="1:18" x14ac:dyDescent="0.25">
      <c r="A28" s="52"/>
      <c r="B28" s="35" t="s">
        <v>93</v>
      </c>
    </row>
    <row r="29" spans="1:18" x14ac:dyDescent="0.25">
      <c r="A29" s="52"/>
    </row>
    <row r="30" spans="1:18" x14ac:dyDescent="0.25">
      <c r="A30" s="52"/>
    </row>
    <row r="31" spans="1:18" x14ac:dyDescent="0.25">
      <c r="A31" s="52"/>
      <c r="D31" s="71" t="s">
        <v>94</v>
      </c>
      <c r="H31" s="71" t="s">
        <v>95</v>
      </c>
      <c r="P31" s="71"/>
    </row>
    <row r="32" spans="1:18" x14ac:dyDescent="0.25">
      <c r="A32" s="52"/>
      <c r="D32" s="71"/>
      <c r="H32" s="71"/>
      <c r="P32" s="71"/>
    </row>
    <row r="33" spans="1:17" x14ac:dyDescent="0.25">
      <c r="A33" s="52"/>
      <c r="D33" s="71"/>
      <c r="G33" s="60"/>
      <c r="H33" s="61"/>
      <c r="I33" s="62"/>
      <c r="P33" s="71"/>
    </row>
    <row r="34" spans="1:17" x14ac:dyDescent="0.25">
      <c r="A34" s="52"/>
      <c r="D34" s="71"/>
      <c r="G34" s="63"/>
      <c r="H34" s="66" t="s">
        <v>218</v>
      </c>
      <c r="I34" s="65"/>
      <c r="P34" s="71"/>
    </row>
    <row r="35" spans="1:17" x14ac:dyDescent="0.25">
      <c r="A35" s="52"/>
      <c r="D35" s="71"/>
      <c r="G35" s="67"/>
      <c r="H35" s="68"/>
      <c r="I35" s="69"/>
      <c r="P35" s="71"/>
    </row>
    <row r="36" spans="1:17" x14ac:dyDescent="0.25">
      <c r="A36" s="52"/>
      <c r="D36" s="71"/>
    </row>
    <row r="37" spans="1:17" x14ac:dyDescent="0.25">
      <c r="A37" s="52"/>
      <c r="D37" s="71"/>
    </row>
    <row r="38" spans="1:17" x14ac:dyDescent="0.25">
      <c r="A38" s="52"/>
      <c r="D38" s="71"/>
    </row>
    <row r="39" spans="1:17" x14ac:dyDescent="0.25">
      <c r="A39" s="52"/>
      <c r="C39" s="60"/>
      <c r="D39" s="61"/>
      <c r="E39" s="62"/>
      <c r="G39" s="60"/>
      <c r="H39" s="61"/>
      <c r="I39" s="62"/>
      <c r="K39" s="60"/>
      <c r="L39" s="61"/>
      <c r="M39" s="62"/>
      <c r="O39" s="60"/>
      <c r="P39" s="61"/>
      <c r="Q39" s="62"/>
    </row>
    <row r="40" spans="1:17" x14ac:dyDescent="0.25">
      <c r="A40" s="52"/>
      <c r="C40" s="63"/>
      <c r="D40" s="64" t="s">
        <v>147</v>
      </c>
      <c r="E40" s="65"/>
      <c r="G40" s="63"/>
      <c r="H40" s="66" t="s">
        <v>217</v>
      </c>
      <c r="I40" s="65"/>
      <c r="K40" s="63"/>
      <c r="L40" s="66" t="s">
        <v>214</v>
      </c>
      <c r="M40" s="65"/>
      <c r="O40" s="63"/>
      <c r="P40" s="66" t="s">
        <v>213</v>
      </c>
      <c r="Q40" s="65"/>
    </row>
    <row r="41" spans="1:17" x14ac:dyDescent="0.25">
      <c r="A41" s="52"/>
      <c r="C41" s="67"/>
      <c r="D41" s="68"/>
      <c r="E41" s="69"/>
      <c r="G41" s="67"/>
      <c r="H41" s="68"/>
      <c r="I41" s="69"/>
      <c r="K41" s="67"/>
      <c r="L41" s="68"/>
      <c r="M41" s="69"/>
      <c r="O41" s="67"/>
      <c r="P41" s="68"/>
      <c r="Q41" s="69"/>
    </row>
    <row r="42" spans="1:17" x14ac:dyDescent="0.25">
      <c r="A42" s="52"/>
      <c r="C42" s="70"/>
      <c r="D42" s="70"/>
      <c r="E42" s="70"/>
      <c r="G42" s="70"/>
      <c r="H42" s="70"/>
      <c r="I42" s="70"/>
    </row>
    <row r="43" spans="1:17" x14ac:dyDescent="0.25">
      <c r="A43" s="52"/>
      <c r="C43" s="70"/>
      <c r="D43" s="70"/>
      <c r="E43" s="70"/>
      <c r="G43" s="70"/>
      <c r="H43" s="70"/>
      <c r="I43" s="70"/>
    </row>
    <row r="44" spans="1:17" x14ac:dyDescent="0.25">
      <c r="A44" s="52"/>
      <c r="C44" s="60"/>
      <c r="D44" s="61"/>
      <c r="E44" s="62"/>
      <c r="G44" s="60"/>
      <c r="H44" s="61"/>
      <c r="I44" s="62"/>
      <c r="K44" s="60"/>
      <c r="L44" s="61"/>
      <c r="M44" s="62"/>
    </row>
    <row r="45" spans="1:17" x14ac:dyDescent="0.25">
      <c r="A45" s="52"/>
      <c r="C45" s="63"/>
      <c r="D45" s="64" t="s">
        <v>145</v>
      </c>
      <c r="E45" s="65"/>
      <c r="G45" s="63"/>
      <c r="H45" s="100" t="s">
        <v>216</v>
      </c>
      <c r="I45" s="65"/>
      <c r="K45" s="63"/>
      <c r="L45" s="100" t="s">
        <v>215</v>
      </c>
      <c r="M45" s="65"/>
    </row>
    <row r="46" spans="1:17" x14ac:dyDescent="0.25">
      <c r="A46" s="52"/>
      <c r="C46" s="67"/>
      <c r="D46" s="68"/>
      <c r="E46" s="69"/>
      <c r="G46" s="67"/>
      <c r="H46" s="68"/>
      <c r="I46" s="69"/>
      <c r="K46" s="67"/>
      <c r="L46" s="68"/>
      <c r="M46" s="69"/>
    </row>
    <row r="47" spans="1:17" x14ac:dyDescent="0.25">
      <c r="A47" s="52"/>
      <c r="C47" s="70"/>
      <c r="D47" s="70"/>
      <c r="E47" s="70"/>
      <c r="G47" s="70"/>
      <c r="H47" s="70"/>
      <c r="I47" s="70"/>
    </row>
    <row r="48" spans="1:17" x14ac:dyDescent="0.25">
      <c r="A48" s="52"/>
      <c r="C48" s="70"/>
      <c r="D48" s="70"/>
      <c r="E48" s="70"/>
      <c r="G48" s="70"/>
      <c r="H48" s="70"/>
      <c r="I48" s="70"/>
    </row>
    <row r="49" spans="1:9" x14ac:dyDescent="0.25">
      <c r="A49" s="52"/>
      <c r="C49" s="60"/>
      <c r="D49" s="61"/>
      <c r="E49" s="62"/>
    </row>
    <row r="50" spans="1:9" x14ac:dyDescent="0.25">
      <c r="A50" s="52"/>
      <c r="C50" s="63"/>
      <c r="D50" s="64" t="s">
        <v>146</v>
      </c>
      <c r="E50" s="65"/>
    </row>
    <row r="51" spans="1:9" x14ac:dyDescent="0.25">
      <c r="A51" s="52"/>
      <c r="C51" s="67"/>
      <c r="D51" s="68"/>
      <c r="E51" s="69"/>
    </row>
    <row r="52" spans="1:9" x14ac:dyDescent="0.25">
      <c r="A52" s="52"/>
      <c r="C52" s="70"/>
      <c r="D52" s="70"/>
      <c r="E52" s="70"/>
      <c r="G52" s="70"/>
      <c r="H52" s="70"/>
      <c r="I52" s="70"/>
    </row>
    <row r="53" spans="1:9" x14ac:dyDescent="0.25">
      <c r="A53" s="52"/>
    </row>
    <row r="54" spans="1:9" s="58" customFormat="1" x14ac:dyDescent="0.25">
      <c r="B54" s="58" t="s">
        <v>97</v>
      </c>
    </row>
    <row r="55" spans="1:9" x14ac:dyDescent="0.25">
      <c r="C55" s="52"/>
    </row>
    <row r="56" spans="1:9" x14ac:dyDescent="0.25">
      <c r="B56" s="37" t="s">
        <v>98</v>
      </c>
      <c r="C56" s="52"/>
      <c r="D56" s="37" t="s">
        <v>62</v>
      </c>
      <c r="F56" s="72"/>
    </row>
    <row r="57" spans="1:9" x14ac:dyDescent="0.25">
      <c r="C57" s="52"/>
    </row>
    <row r="58" spans="1:9" x14ac:dyDescent="0.25">
      <c r="B58" s="73">
        <v>123</v>
      </c>
      <c r="C58" s="52"/>
      <c r="D58" s="39" t="s">
        <v>99</v>
      </c>
    </row>
    <row r="59" spans="1:9" x14ac:dyDescent="0.25">
      <c r="B59" s="74">
        <f>B58</f>
        <v>123</v>
      </c>
      <c r="C59" s="52"/>
      <c r="D59" s="35" t="s">
        <v>100</v>
      </c>
    </row>
    <row r="60" spans="1:9" x14ac:dyDescent="0.25">
      <c r="B60" s="75">
        <f>B59+B58</f>
        <v>246</v>
      </c>
      <c r="C60" s="52"/>
      <c r="D60" s="35" t="s">
        <v>9</v>
      </c>
    </row>
    <row r="61" spans="1:9" x14ac:dyDescent="0.25">
      <c r="B61" s="76">
        <f>B59+B60</f>
        <v>369</v>
      </c>
      <c r="C61" s="52"/>
      <c r="D61" s="39" t="s">
        <v>101</v>
      </c>
      <c r="E61" s="72"/>
      <c r="F61" s="56"/>
      <c r="G61" s="72"/>
      <c r="I61" s="72"/>
    </row>
    <row r="62" spans="1:9" x14ac:dyDescent="0.25">
      <c r="B62" s="77"/>
      <c r="C62" s="52"/>
      <c r="D62" s="39" t="s">
        <v>102</v>
      </c>
      <c r="E62" s="72"/>
      <c r="G62" s="72"/>
      <c r="I62" s="72"/>
    </row>
    <row r="63" spans="1:9" x14ac:dyDescent="0.25">
      <c r="B63" s="52"/>
      <c r="C63" s="52"/>
    </row>
    <row r="64" spans="1:9" x14ac:dyDescent="0.25">
      <c r="B64" s="40" t="s">
        <v>103</v>
      </c>
      <c r="C64" s="52"/>
    </row>
    <row r="65" spans="2:4" x14ac:dyDescent="0.25">
      <c r="B65" s="78">
        <f>B61+16</f>
        <v>385</v>
      </c>
      <c r="C65" s="52"/>
      <c r="D65" s="35" t="s">
        <v>104</v>
      </c>
    </row>
    <row r="66" spans="2:4" x14ac:dyDescent="0.25">
      <c r="B66" s="79">
        <f>B59*PI()</f>
        <v>386.41589639154455</v>
      </c>
      <c r="C66" s="80"/>
      <c r="D66" s="35" t="s">
        <v>105</v>
      </c>
    </row>
    <row r="67" spans="2:4" x14ac:dyDescent="0.25">
      <c r="B67" s="80"/>
      <c r="C67" s="80"/>
    </row>
    <row r="68" spans="2:4" x14ac:dyDescent="0.25">
      <c r="B68" s="40" t="s">
        <v>106</v>
      </c>
      <c r="C68" s="81"/>
    </row>
    <row r="69" spans="2:4" x14ac:dyDescent="0.25">
      <c r="B69" s="82">
        <v>123</v>
      </c>
      <c r="C69" s="81"/>
      <c r="D69" s="39" t="s">
        <v>107</v>
      </c>
    </row>
    <row r="70" spans="2:4" x14ac:dyDescent="0.25">
      <c r="B70" s="83">
        <v>124</v>
      </c>
      <c r="C70" s="81"/>
      <c r="D70" s="39" t="s">
        <v>108</v>
      </c>
    </row>
    <row r="71" spans="2:4" x14ac:dyDescent="0.25">
      <c r="B71" s="84">
        <f>B69-B70</f>
        <v>-1</v>
      </c>
      <c r="C71" s="85"/>
      <c r="D71" s="35" t="s">
        <v>109</v>
      </c>
    </row>
    <row r="74" spans="2:4" x14ac:dyDescent="0.25">
      <c r="B74" s="37" t="s">
        <v>110</v>
      </c>
    </row>
    <row r="75" spans="2:4" x14ac:dyDescent="0.25">
      <c r="B75" s="86"/>
    </row>
    <row r="76" spans="2:4" x14ac:dyDescent="0.25">
      <c r="B76" s="40" t="s">
        <v>111</v>
      </c>
    </row>
    <row r="77" spans="2:4" x14ac:dyDescent="0.25">
      <c r="B77" s="87" t="s">
        <v>96</v>
      </c>
      <c r="C77" s="52"/>
      <c r="D77" s="39" t="s">
        <v>112</v>
      </c>
    </row>
    <row r="78" spans="2:4" x14ac:dyDescent="0.25">
      <c r="B78" s="73" t="s">
        <v>113</v>
      </c>
      <c r="C78" s="52"/>
      <c r="D78" s="39" t="s">
        <v>114</v>
      </c>
    </row>
    <row r="79" spans="2:4" x14ac:dyDescent="0.25">
      <c r="B79" s="88" t="s">
        <v>115</v>
      </c>
      <c r="C79" s="52"/>
      <c r="D79" s="39" t="s">
        <v>116</v>
      </c>
    </row>
    <row r="80" spans="2:4" x14ac:dyDescent="0.25">
      <c r="B80" s="89" t="s">
        <v>115</v>
      </c>
      <c r="C80" s="52"/>
      <c r="D80" s="39" t="s">
        <v>117</v>
      </c>
    </row>
    <row r="81" spans="2:4" x14ac:dyDescent="0.25">
      <c r="C81" s="52"/>
      <c r="D81" s="39"/>
    </row>
    <row r="82" spans="2:4" x14ac:dyDescent="0.25">
      <c r="B82" s="40" t="s">
        <v>118</v>
      </c>
      <c r="C82" s="52"/>
      <c r="D82" s="39"/>
    </row>
    <row r="83" spans="2:4" x14ac:dyDescent="0.25">
      <c r="B83" s="90" t="s">
        <v>119</v>
      </c>
      <c r="C83" s="52"/>
      <c r="D83" s="39" t="s">
        <v>120</v>
      </c>
    </row>
    <row r="84" spans="2:4" x14ac:dyDescent="0.25">
      <c r="B84" s="91" t="s">
        <v>8</v>
      </c>
      <c r="D84" s="39" t="s">
        <v>121</v>
      </c>
    </row>
  </sheetData>
  <mergeCells count="1">
    <mergeCell ref="B6:G6"/>
  </mergeCells>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3">
    <tabColor rgb="FFCCC8D9"/>
  </sheetPr>
  <dimension ref="B2:F35"/>
  <sheetViews>
    <sheetView showGridLines="0" zoomScale="85" zoomScaleNormal="85" workbookViewId="0">
      <pane ySplit="3" topLeftCell="A4" activePane="bottomLeft" state="frozen"/>
      <selection pane="bottomLeft" activeCell="A4" sqref="A4"/>
    </sheetView>
  </sheetViews>
  <sheetFormatPr defaultRowHeight="12.75" x14ac:dyDescent="0.25"/>
  <cols>
    <col min="1" max="1" width="4.7109375" style="35" customWidth="1"/>
    <col min="2" max="2" width="7.5703125" style="35" customWidth="1"/>
    <col min="3" max="3" width="48.140625" style="35" bestFit="1" customWidth="1"/>
    <col min="4" max="5" width="36.28515625" style="35" customWidth="1"/>
    <col min="6" max="6" width="40.7109375" style="35" customWidth="1"/>
    <col min="7" max="7" width="4.5703125" style="35" customWidth="1"/>
    <col min="8" max="8" width="43.42578125" style="35" customWidth="1"/>
    <col min="9" max="9" width="28.7109375" style="35" customWidth="1"/>
    <col min="10" max="10" width="18.42578125" style="35" customWidth="1"/>
    <col min="11" max="12" width="58.42578125" style="35" customWidth="1"/>
    <col min="13" max="16384" width="9.140625" style="35"/>
  </cols>
  <sheetData>
    <row r="2" spans="2:6" s="36" customFormat="1" ht="18" x14ac:dyDescent="0.25">
      <c r="B2" s="36" t="s">
        <v>122</v>
      </c>
    </row>
    <row r="4" spans="2:6" s="41" customFormat="1" x14ac:dyDescent="0.25">
      <c r="B4" s="41" t="s">
        <v>123</v>
      </c>
    </row>
    <row r="6" spans="2:6" x14ac:dyDescent="0.25">
      <c r="B6" s="40" t="s">
        <v>124</v>
      </c>
    </row>
    <row r="7" spans="2:6" x14ac:dyDescent="0.25">
      <c r="B7" s="40" t="s">
        <v>125</v>
      </c>
    </row>
    <row r="9" spans="2:6" x14ac:dyDescent="0.25">
      <c r="B9" s="92" t="s">
        <v>126</v>
      </c>
      <c r="C9" s="92" t="s">
        <v>127</v>
      </c>
      <c r="D9" s="92" t="s">
        <v>128</v>
      </c>
      <c r="E9" s="92" t="s">
        <v>129</v>
      </c>
      <c r="F9" s="92" t="s">
        <v>130</v>
      </c>
    </row>
    <row r="10" spans="2:6" x14ac:dyDescent="0.25">
      <c r="B10" s="93"/>
      <c r="C10" s="93" t="s">
        <v>131</v>
      </c>
      <c r="D10" s="93" t="s">
        <v>132</v>
      </c>
      <c r="E10" s="93" t="s">
        <v>133</v>
      </c>
      <c r="F10" s="93" t="s">
        <v>134</v>
      </c>
    </row>
    <row r="11" spans="2:6" x14ac:dyDescent="0.25">
      <c r="B11" s="94">
        <v>1</v>
      </c>
      <c r="C11" s="95" t="s">
        <v>278</v>
      </c>
      <c r="D11" s="95" t="s">
        <v>328</v>
      </c>
      <c r="E11" s="95"/>
      <c r="F11" s="95"/>
    </row>
    <row r="12" spans="2:6" x14ac:dyDescent="0.25">
      <c r="B12" s="95">
        <v>2</v>
      </c>
      <c r="C12" s="95" t="s">
        <v>211</v>
      </c>
      <c r="D12" s="96" t="s">
        <v>212</v>
      </c>
      <c r="E12" s="95"/>
      <c r="F12" s="95"/>
    </row>
    <row r="13" spans="2:6" x14ac:dyDescent="0.25">
      <c r="B13" s="95">
        <v>3</v>
      </c>
      <c r="C13" s="94" t="s">
        <v>327</v>
      </c>
      <c r="D13" s="95"/>
      <c r="F13" s="95"/>
    </row>
    <row r="14" spans="2:6" x14ac:dyDescent="0.25">
      <c r="B14" s="95">
        <v>4</v>
      </c>
      <c r="C14" s="95" t="s">
        <v>326</v>
      </c>
      <c r="D14" s="95"/>
      <c r="E14" s="95"/>
      <c r="F14" s="95"/>
    </row>
    <row r="15" spans="2:6" x14ac:dyDescent="0.25">
      <c r="B15" s="95">
        <v>5</v>
      </c>
      <c r="C15" s="95" t="s">
        <v>323</v>
      </c>
      <c r="D15" s="95"/>
      <c r="E15" s="95"/>
      <c r="F15" s="95"/>
    </row>
    <row r="16" spans="2:6" x14ac:dyDescent="0.25">
      <c r="B16" s="95">
        <v>6</v>
      </c>
      <c r="C16" s="95" t="s">
        <v>324</v>
      </c>
      <c r="D16" s="95"/>
      <c r="E16" s="95"/>
      <c r="F16" s="95"/>
    </row>
    <row r="17" spans="2:6" x14ac:dyDescent="0.25">
      <c r="B17" s="95">
        <v>7</v>
      </c>
      <c r="C17" s="95" t="s">
        <v>325</v>
      </c>
      <c r="D17" s="95"/>
      <c r="E17" s="95"/>
      <c r="F17" s="95"/>
    </row>
    <row r="18" spans="2:6" x14ac:dyDescent="0.25">
      <c r="B18" s="95">
        <v>8</v>
      </c>
      <c r="C18" s="95" t="s">
        <v>50</v>
      </c>
      <c r="D18" s="97" t="s">
        <v>210</v>
      </c>
      <c r="E18" s="95"/>
      <c r="F18" s="97"/>
    </row>
    <row r="19" spans="2:6" x14ac:dyDescent="0.25">
      <c r="B19" s="95">
        <v>9</v>
      </c>
      <c r="C19" s="95"/>
      <c r="D19" s="97"/>
      <c r="E19" s="95"/>
      <c r="F19" s="97"/>
    </row>
    <row r="20" spans="2:6" x14ac:dyDescent="0.25">
      <c r="B20" s="95">
        <v>10</v>
      </c>
      <c r="C20" s="95"/>
      <c r="D20" s="95"/>
      <c r="E20" s="95"/>
      <c r="F20" s="97"/>
    </row>
    <row r="23" spans="2:6" s="58" customFormat="1" x14ac:dyDescent="0.25">
      <c r="B23" s="58" t="s">
        <v>135</v>
      </c>
    </row>
    <row r="25" spans="2:6" x14ac:dyDescent="0.25">
      <c r="B25" s="40" t="s">
        <v>136</v>
      </c>
    </row>
    <row r="26" spans="2:6" x14ac:dyDescent="0.25">
      <c r="B26" s="40" t="s">
        <v>137</v>
      </c>
    </row>
    <row r="28" spans="2:6" x14ac:dyDescent="0.25">
      <c r="B28" s="86" t="s">
        <v>138</v>
      </c>
    </row>
    <row r="29" spans="2:6" ht="233.25" customHeight="1" x14ac:dyDescent="0.25">
      <c r="B29" s="168" t="s">
        <v>209</v>
      </c>
      <c r="C29" s="168"/>
      <c r="D29" s="168"/>
      <c r="E29" s="168"/>
      <c r="F29" s="168"/>
    </row>
    <row r="30" spans="2:6" x14ac:dyDescent="0.25">
      <c r="B30" s="86" t="s">
        <v>139</v>
      </c>
    </row>
    <row r="31" spans="2:6" ht="114.75" customHeight="1" x14ac:dyDescent="0.25">
      <c r="B31" s="168" t="s">
        <v>140</v>
      </c>
      <c r="C31" s="168"/>
      <c r="D31" s="168"/>
      <c r="E31" s="168"/>
      <c r="F31" s="168"/>
    </row>
    <row r="32" spans="2:6" ht="28.5" customHeight="1" x14ac:dyDescent="0.25">
      <c r="B32" s="169" t="s">
        <v>141</v>
      </c>
      <c r="C32" s="169"/>
      <c r="D32" s="169"/>
      <c r="E32" s="169"/>
      <c r="F32" s="169"/>
    </row>
    <row r="33" spans="2:6" s="98" customFormat="1" ht="95.25" customHeight="1" x14ac:dyDescent="0.25">
      <c r="B33" s="168" t="s">
        <v>142</v>
      </c>
      <c r="C33" s="168"/>
      <c r="D33" s="168"/>
      <c r="E33" s="168"/>
      <c r="F33" s="168"/>
    </row>
    <row r="35" spans="2:6" x14ac:dyDescent="0.25">
      <c r="B35" s="86"/>
    </row>
  </sheetData>
  <mergeCells count="4">
    <mergeCell ref="B29:F29"/>
    <mergeCell ref="B31:F31"/>
    <mergeCell ref="B32:F32"/>
    <mergeCell ref="B33:F33"/>
  </mergeCells>
  <hyperlinks>
    <hyperlink ref="B32" r:id="rId1" xr:uid="{00000000-0004-0000-0200-000000000000}"/>
    <hyperlink ref="D18" r:id="rId2" xr:uid="{70CF586C-2E6F-47EE-9667-9CE448B57C3C}"/>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2">
    <tabColor rgb="FFCCFFFF"/>
  </sheetPr>
  <dimension ref="A1:T37"/>
  <sheetViews>
    <sheetView showGridLines="0" zoomScale="85" zoomScaleNormal="85" workbookViewId="0">
      <pane xSplit="4" ySplit="9" topLeftCell="E10" activePane="bottomRight" state="frozen"/>
      <selection pane="topRight"/>
      <selection pane="bottomLeft"/>
      <selection pane="bottomRight" activeCell="E10" sqref="E10"/>
    </sheetView>
  </sheetViews>
  <sheetFormatPr defaultRowHeight="12.75" x14ac:dyDescent="0.2"/>
  <cols>
    <col min="1" max="1" width="2.7109375" style="22" customWidth="1"/>
    <col min="2" max="2" width="79.85546875" style="31" customWidth="1"/>
    <col min="3" max="3" width="2.7109375" style="22" customWidth="1"/>
    <col min="4" max="4" width="12.5703125" style="31" bestFit="1" customWidth="1"/>
    <col min="5" max="5" width="2.7109375" style="22" customWidth="1"/>
    <col min="6" max="6" width="16.5703125" style="31" bestFit="1" customWidth="1"/>
    <col min="7" max="7" width="2.7109375" style="22" customWidth="1"/>
    <col min="8" max="13" width="14.7109375" style="31" customWidth="1"/>
    <col min="14" max="16384" width="9.140625" style="31"/>
  </cols>
  <sheetData>
    <row r="1" spans="1:17" x14ac:dyDescent="0.2">
      <c r="A1" s="35"/>
      <c r="B1" s="22"/>
      <c r="C1" s="35"/>
      <c r="E1" s="35"/>
      <c r="G1" s="35"/>
    </row>
    <row r="2" spans="1:17" s="36" customFormat="1" ht="18" x14ac:dyDescent="0.25">
      <c r="B2" s="36" t="s">
        <v>24</v>
      </c>
    </row>
    <row r="3" spans="1:17" x14ac:dyDescent="0.2">
      <c r="A3" s="35"/>
      <c r="C3" s="35"/>
      <c r="E3" s="35"/>
      <c r="G3" s="35"/>
    </row>
    <row r="4" spans="1:17" x14ac:dyDescent="0.2">
      <c r="A4" s="35"/>
      <c r="B4" s="32" t="s">
        <v>35</v>
      </c>
      <c r="C4" s="35"/>
      <c r="E4" s="35"/>
      <c r="G4" s="35"/>
    </row>
    <row r="5" spans="1:17" ht="26.25" customHeight="1" x14ac:dyDescent="0.2">
      <c r="A5" s="35"/>
      <c r="B5" s="48" t="s">
        <v>25</v>
      </c>
      <c r="C5" s="35"/>
      <c r="E5" s="35"/>
      <c r="G5" s="35"/>
    </row>
    <row r="6" spans="1:17" x14ac:dyDescent="0.2">
      <c r="A6" s="35"/>
      <c r="C6" s="35"/>
      <c r="E6" s="35"/>
      <c r="G6" s="35"/>
    </row>
    <row r="7" spans="1:17" s="41" customFormat="1" x14ac:dyDescent="0.25">
      <c r="B7" s="41" t="s">
        <v>36</v>
      </c>
      <c r="D7" s="41" t="s">
        <v>1</v>
      </c>
      <c r="F7" s="42" t="s">
        <v>321</v>
      </c>
      <c r="H7" s="41" t="s">
        <v>33</v>
      </c>
      <c r="I7" s="41" t="s">
        <v>2</v>
      </c>
      <c r="J7" s="41" t="s">
        <v>3</v>
      </c>
      <c r="K7" s="41" t="s">
        <v>4</v>
      </c>
      <c r="L7" s="41" t="s">
        <v>5</v>
      </c>
      <c r="M7" s="41" t="s">
        <v>6</v>
      </c>
      <c r="N7" s="163"/>
      <c r="O7" s="163"/>
      <c r="P7" s="163"/>
      <c r="Q7" s="163"/>
    </row>
    <row r="8" spans="1:17" s="22" customFormat="1" x14ac:dyDescent="0.2"/>
    <row r="9" spans="1:17" s="41" customFormat="1" x14ac:dyDescent="0.25">
      <c r="B9" s="41" t="s">
        <v>26</v>
      </c>
      <c r="F9" s="42"/>
      <c r="G9" s="42"/>
      <c r="H9" s="42"/>
      <c r="I9" s="42"/>
      <c r="J9" s="42"/>
      <c r="K9" s="42"/>
      <c r="L9" s="42"/>
      <c r="M9" s="42"/>
    </row>
    <row r="10" spans="1:17" x14ac:dyDescent="0.2">
      <c r="A10" s="35"/>
      <c r="C10" s="35"/>
      <c r="E10" s="35"/>
      <c r="G10" s="35"/>
    </row>
    <row r="11" spans="1:17" x14ac:dyDescent="0.2">
      <c r="A11" s="35"/>
      <c r="B11" s="32" t="s">
        <v>27</v>
      </c>
      <c r="C11" s="35"/>
      <c r="E11" s="35"/>
      <c r="G11" s="35"/>
    </row>
    <row r="12" spans="1:17" x14ac:dyDescent="0.2">
      <c r="A12" s="35"/>
      <c r="B12" s="31" t="s">
        <v>194</v>
      </c>
      <c r="C12" s="35"/>
      <c r="D12" s="31" t="s">
        <v>15</v>
      </c>
      <c r="E12" s="35"/>
      <c r="F12" s="76">
        <f>SUM(H12:M12)</f>
        <v>2545644294.0265293</v>
      </c>
      <c r="G12" s="35"/>
      <c r="H12" s="76">
        <f>'6) X-factor + begininkomsten'!L103</f>
        <v>15323693.508947622</v>
      </c>
      <c r="I12" s="76">
        <f>'6) X-factor + begininkomsten'!M103</f>
        <v>850775904.89899957</v>
      </c>
      <c r="J12" s="76">
        <f>'6) X-factor + begininkomsten'!N103</f>
        <v>978519824.40389407</v>
      </c>
      <c r="K12" s="76">
        <f>'6) X-factor + begininkomsten'!O103</f>
        <v>9227109.3847400285</v>
      </c>
      <c r="L12" s="76">
        <f>'6) X-factor + begininkomsten'!P103</f>
        <v>654955241.60231411</v>
      </c>
      <c r="M12" s="76">
        <f>'6) X-factor + begininkomsten'!Q103</f>
        <v>36842520.227634184</v>
      </c>
    </row>
    <row r="13" spans="1:17" x14ac:dyDescent="0.2">
      <c r="A13" s="35"/>
      <c r="B13" s="156" t="s">
        <v>257</v>
      </c>
      <c r="C13" s="35"/>
      <c r="D13" s="31" t="s">
        <v>63</v>
      </c>
      <c r="E13" s="35"/>
      <c r="F13" s="76">
        <f>SUM(H13:M13)</f>
        <v>3244205053.0996146</v>
      </c>
      <c r="G13" s="35"/>
      <c r="H13" s="76">
        <f>'6) X-factor + begininkomsten'!L110</f>
        <v>19536137.75077565</v>
      </c>
      <c r="I13" s="76">
        <f>'6) X-factor + begininkomsten'!M110</f>
        <v>1086868090.0643618</v>
      </c>
      <c r="J13" s="76">
        <f>'6) X-factor + begininkomsten'!N110</f>
        <v>1244474423.852159</v>
      </c>
      <c r="K13" s="76">
        <f>'6) X-factor + begininkomsten'!O110</f>
        <v>11784700.879750166</v>
      </c>
      <c r="L13" s="76">
        <f>'6) X-factor + begininkomsten'!P110</f>
        <v>834165504.19769025</v>
      </c>
      <c r="M13" s="76">
        <f>'6) X-factor + begininkomsten'!Q110</f>
        <v>47376196.354877718</v>
      </c>
    </row>
    <row r="14" spans="1:17" x14ac:dyDescent="0.2">
      <c r="A14" s="35"/>
      <c r="C14" s="35"/>
      <c r="E14" s="35"/>
      <c r="G14" s="35"/>
    </row>
    <row r="15" spans="1:17" x14ac:dyDescent="0.2">
      <c r="A15" s="35"/>
      <c r="B15" s="31" t="s">
        <v>28</v>
      </c>
      <c r="C15" s="35"/>
      <c r="E15" s="35"/>
      <c r="G15" s="35"/>
      <c r="H15" s="120">
        <f>'6) X-factor + begininkomsten'!L114</f>
        <v>-3.1799999999999997</v>
      </c>
      <c r="I15" s="120">
        <f>'6) X-factor + begininkomsten'!M114</f>
        <v>-3.23</v>
      </c>
      <c r="J15" s="120">
        <f>'6) X-factor + begininkomsten'!N114</f>
        <v>-3.13</v>
      </c>
      <c r="K15" s="120">
        <f>'6) X-factor + begininkomsten'!O114</f>
        <v>-3.2199999999999998</v>
      </c>
      <c r="L15" s="120">
        <f>'6) X-factor + begininkomsten'!P114</f>
        <v>-3.1599999999999997</v>
      </c>
      <c r="M15" s="120">
        <f>'6) X-factor + begininkomsten'!Q114</f>
        <v>-3.36</v>
      </c>
    </row>
    <row r="16" spans="1:17" x14ac:dyDescent="0.2">
      <c r="A16" s="35"/>
      <c r="B16" s="31" t="s">
        <v>29</v>
      </c>
      <c r="C16" s="35"/>
      <c r="E16" s="35"/>
      <c r="G16" s="35"/>
      <c r="H16" s="120">
        <f>'7) Q-factor &amp; tariefruimte'!L32</f>
        <v>1.89</v>
      </c>
      <c r="I16" s="120">
        <f>'7) Q-factor &amp; tariefruimte'!M32</f>
        <v>0.19</v>
      </c>
      <c r="J16" s="120">
        <f>'7) Q-factor &amp; tariefruimte'!N32</f>
        <v>-0.04</v>
      </c>
      <c r="K16" s="120">
        <f>'7) Q-factor &amp; tariefruimte'!O32</f>
        <v>-0.04</v>
      </c>
      <c r="L16" s="120">
        <f>'7) Q-factor &amp; tariefruimte'!P32</f>
        <v>-0.23</v>
      </c>
      <c r="M16" s="120">
        <f>'7) Q-factor &amp; tariefruimte'!Q32</f>
        <v>0.25</v>
      </c>
    </row>
    <row r="17" spans="1:20" x14ac:dyDescent="0.2">
      <c r="A17" s="35"/>
      <c r="C17" s="35"/>
      <c r="E17" s="35"/>
      <c r="G17" s="35"/>
    </row>
    <row r="18" spans="1:20" s="41" customFormat="1" x14ac:dyDescent="0.25">
      <c r="B18" s="41" t="s">
        <v>30</v>
      </c>
      <c r="F18" s="42"/>
      <c r="G18" s="42"/>
      <c r="H18" s="42"/>
      <c r="I18" s="42"/>
      <c r="J18" s="42"/>
      <c r="K18" s="42"/>
      <c r="L18" s="42"/>
      <c r="M18" s="42"/>
    </row>
    <row r="19" spans="1:20" s="37" customFormat="1" x14ac:dyDescent="0.25"/>
    <row r="20" spans="1:20" x14ac:dyDescent="0.2">
      <c r="A20" s="35"/>
      <c r="B20" s="2" t="s">
        <v>17</v>
      </c>
      <c r="C20" s="35"/>
      <c r="E20" s="35"/>
      <c r="G20" s="35"/>
    </row>
    <row r="21" spans="1:20" x14ac:dyDescent="0.2">
      <c r="A21" s="35"/>
      <c r="B21" s="22" t="s">
        <v>198</v>
      </c>
      <c r="C21" s="35"/>
      <c r="D21" s="31" t="s">
        <v>11</v>
      </c>
      <c r="E21" s="35"/>
      <c r="F21" s="129">
        <f>'1) Reguleringsparameters'!H15</f>
        <v>1.7000000000000001E-2</v>
      </c>
      <c r="G21" s="35"/>
      <c r="H21" s="33"/>
      <c r="I21" s="27"/>
      <c r="J21" s="27"/>
      <c r="K21" s="27"/>
      <c r="L21" s="27"/>
      <c r="M21" s="27"/>
    </row>
    <row r="22" spans="1:20" x14ac:dyDescent="0.2">
      <c r="A22" s="35"/>
      <c r="B22" s="22" t="s">
        <v>199</v>
      </c>
      <c r="C22" s="35"/>
      <c r="D22" s="31" t="s">
        <v>11</v>
      </c>
      <c r="E22" s="35"/>
      <c r="F22" s="129">
        <f>'1) Reguleringsparameters'!H16</f>
        <v>1.9E-2</v>
      </c>
      <c r="G22" s="35"/>
      <c r="H22" s="33"/>
      <c r="I22" s="33"/>
      <c r="J22" s="27"/>
      <c r="K22" s="27"/>
      <c r="L22" s="33"/>
      <c r="M22" s="33"/>
    </row>
    <row r="23" spans="1:20" x14ac:dyDescent="0.2">
      <c r="A23" s="35"/>
      <c r="C23" s="35"/>
      <c r="E23" s="35"/>
      <c r="G23" s="35"/>
      <c r="H23" s="33"/>
      <c r="I23" s="33"/>
      <c r="J23" s="27"/>
      <c r="K23" s="27"/>
      <c r="L23" s="33"/>
      <c r="M23" s="33"/>
    </row>
    <row r="24" spans="1:20" x14ac:dyDescent="0.2">
      <c r="A24" s="35"/>
      <c r="B24" s="32" t="s">
        <v>31</v>
      </c>
      <c r="C24" s="35"/>
      <c r="E24" s="35"/>
      <c r="G24" s="35"/>
      <c r="O24" s="22"/>
    </row>
    <row r="25" spans="1:20" x14ac:dyDescent="0.2">
      <c r="A25" s="35"/>
      <c r="B25" s="31" t="s">
        <v>32</v>
      </c>
      <c r="C25" s="35"/>
      <c r="D25" s="31" t="s">
        <v>11</v>
      </c>
      <c r="E25" s="35"/>
      <c r="F25" s="131">
        <f>'6) X-factor + begininkomsten'!J46</f>
        <v>1</v>
      </c>
      <c r="G25" s="35"/>
      <c r="H25" s="129">
        <f>'6) X-factor + begininkomsten'!L46</f>
        <v>6.0356374257644809E-3</v>
      </c>
      <c r="I25" s="129">
        <f>'6) X-factor + begininkomsten'!M46</f>
        <v>0.33990683639467106</v>
      </c>
      <c r="J25" s="129">
        <f>'6) X-factor + begininkomsten'!N46</f>
        <v>0.37882638116447287</v>
      </c>
      <c r="K25" s="129">
        <f>'6) X-factor + begininkomsten'!O46</f>
        <v>3.6800653459173314E-3</v>
      </c>
      <c r="L25" s="129">
        <f>'6) X-factor + begininkomsten'!P46</f>
        <v>0.25615961831762812</v>
      </c>
      <c r="M25" s="129">
        <f>'6) X-factor + begininkomsten'!Q46</f>
        <v>1.5391461351546228E-2</v>
      </c>
    </row>
    <row r="26" spans="1:20" x14ac:dyDescent="0.2">
      <c r="A26" s="35"/>
      <c r="C26" s="35"/>
      <c r="E26" s="35"/>
      <c r="G26" s="35"/>
    </row>
    <row r="27" spans="1:20" x14ac:dyDescent="0.2">
      <c r="A27" s="35"/>
      <c r="B27" s="32" t="s">
        <v>10</v>
      </c>
      <c r="C27" s="35"/>
      <c r="E27" s="35"/>
      <c r="G27" s="49"/>
      <c r="H27" s="50"/>
      <c r="I27" s="50"/>
      <c r="J27" s="50"/>
      <c r="K27" s="32"/>
      <c r="L27" s="32"/>
      <c r="M27" s="32"/>
      <c r="O27" s="22"/>
    </row>
    <row r="28" spans="1:20" x14ac:dyDescent="0.2">
      <c r="A28" s="35"/>
      <c r="B28" s="155" t="s">
        <v>39</v>
      </c>
      <c r="C28" s="35"/>
      <c r="D28" s="31" t="s">
        <v>11</v>
      </c>
      <c r="E28" s="35"/>
      <c r="F28" s="130">
        <f>'4) Berekeningen op parameters'!H30</f>
        <v>-3.0451719992511186E-2</v>
      </c>
      <c r="G28" s="35"/>
    </row>
    <row r="29" spans="1:20" x14ac:dyDescent="0.2">
      <c r="A29" s="35"/>
      <c r="C29" s="35"/>
      <c r="E29" s="35"/>
      <c r="G29" s="35"/>
    </row>
    <row r="30" spans="1:20" s="41" customFormat="1" ht="12" customHeight="1" x14ac:dyDescent="0.25">
      <c r="B30" s="41" t="s">
        <v>189</v>
      </c>
      <c r="H30" s="42"/>
      <c r="I30" s="42"/>
      <c r="J30" s="42"/>
      <c r="K30" s="42"/>
      <c r="L30" s="42"/>
      <c r="M30" s="42"/>
      <c r="N30" s="42"/>
      <c r="R30" s="42"/>
      <c r="T30" s="42"/>
    </row>
    <row r="31" spans="1:20" s="22" customFormat="1" x14ac:dyDescent="0.2"/>
    <row r="32" spans="1:20" s="22" customFormat="1" x14ac:dyDescent="0.2">
      <c r="B32" s="22" t="s">
        <v>166</v>
      </c>
      <c r="D32" s="22" t="s">
        <v>53</v>
      </c>
      <c r="F32" s="76">
        <f>SUM(H32:M32)</f>
        <v>2672389226.7391367</v>
      </c>
      <c r="H32" s="30">
        <f>'7) Q-factor &amp; tariefruimte'!L36</f>
        <v>16376431.253012324</v>
      </c>
      <c r="I32" s="30">
        <f>'7) Q-factor &amp; tariefruimte'!M36</f>
        <v>895186407.13472736</v>
      </c>
      <c r="J32" s="30">
        <f>'7) Q-factor &amp; tariefruimte'!N36</f>
        <v>1026369443.8172446</v>
      </c>
      <c r="K32" s="30">
        <f>'7) Q-factor &amp; tariefruimte'!O36</f>
        <v>9686619.4321000818</v>
      </c>
      <c r="L32" s="30">
        <f>'7) Q-factor &amp; tariefruimte'!P36</f>
        <v>685934624.53010368</v>
      </c>
      <c r="M32" s="30">
        <f>'7) Q-factor &amp; tariefruimte'!Q36</f>
        <v>38835700.571949191</v>
      </c>
    </row>
    <row r="33" spans="2:13" s="22" customFormat="1" x14ac:dyDescent="0.2">
      <c r="B33" s="22" t="s">
        <v>167</v>
      </c>
      <c r="D33" s="22" t="s">
        <v>171</v>
      </c>
      <c r="F33" s="76">
        <f t="shared" ref="F33:F36" si="0">SUM(H33:M33)</f>
        <v>2805460596.6102505</v>
      </c>
      <c r="H33" s="30">
        <f>'7) Q-factor &amp; tariefruimte'!L37</f>
        <v>17501492.08009427</v>
      </c>
      <c r="I33" s="30">
        <f>'7) Q-factor &amp; tariefruimte'!M37</f>
        <v>941915137.58716011</v>
      </c>
      <c r="J33" s="30">
        <f>'7) Q-factor &amp; tariefruimte'!N37</f>
        <v>1076558909.6199081</v>
      </c>
      <c r="K33" s="30">
        <f>'7) Q-factor &amp; tariefruimte'!O37</f>
        <v>10169013.079818666</v>
      </c>
      <c r="L33" s="30">
        <f>'7) Q-factor &amp; tariefruimte'!P37</f>
        <v>718379332.27037764</v>
      </c>
      <c r="M33" s="30">
        <f>'7) Q-factor &amp; tariefruimte'!Q37</f>
        <v>40936711.972891644</v>
      </c>
    </row>
    <row r="34" spans="2:13" s="22" customFormat="1" x14ac:dyDescent="0.2">
      <c r="B34" s="22" t="s">
        <v>168</v>
      </c>
      <c r="D34" s="22" t="s">
        <v>172</v>
      </c>
      <c r="F34" s="76">
        <f t="shared" si="0"/>
        <v>2945175085.3641143</v>
      </c>
      <c r="H34" s="30">
        <f>'7) Q-factor &amp; tariefruimte'!L38</f>
        <v>18703844.585996747</v>
      </c>
      <c r="I34" s="30">
        <f>'7) Q-factor &amp; tariefruimte'!M38</f>
        <v>991083107.76920986</v>
      </c>
      <c r="J34" s="30">
        <f>'7) Q-factor &amp; tariefruimte'!N38</f>
        <v>1129202640.3003218</v>
      </c>
      <c r="K34" s="30">
        <f>'7) Q-factor &amp; tariefruimte'!O38</f>
        <v>10675429.931193637</v>
      </c>
      <c r="L34" s="30">
        <f>'7) Q-factor &amp; tariefruimte'!P38</f>
        <v>752358674.68676662</v>
      </c>
      <c r="M34" s="30">
        <f>'7) Q-factor &amp; tariefruimte'!Q38</f>
        <v>43151388.090625085</v>
      </c>
    </row>
    <row r="35" spans="2:13" s="22" customFormat="1" x14ac:dyDescent="0.2">
      <c r="B35" s="22" t="s">
        <v>169</v>
      </c>
      <c r="D35" s="22" t="s">
        <v>173</v>
      </c>
      <c r="F35" s="76">
        <f t="shared" si="0"/>
        <v>3091865278.6423712</v>
      </c>
      <c r="H35" s="30">
        <f>'7) Q-factor &amp; tariefruimte'!L39</f>
        <v>19988798.709054723</v>
      </c>
      <c r="I35" s="30">
        <f>'7) Q-factor &amp; tariefruimte'!M39</f>
        <v>1042817645.9947627</v>
      </c>
      <c r="J35" s="30">
        <f>'7) Q-factor &amp; tariefruimte'!N39</f>
        <v>1184420649.4110076</v>
      </c>
      <c r="K35" s="30">
        <f>'7) Q-factor &amp; tariefruimte'!O39</f>
        <v>11207066.34176708</v>
      </c>
      <c r="L35" s="30">
        <f>'7) Q-factor &amp; tariefruimte'!P39</f>
        <v>787945239.9994508</v>
      </c>
      <c r="M35" s="30">
        <f>'7) Q-factor &amp; tariefruimte'!Q39</f>
        <v>45485878.186327904</v>
      </c>
    </row>
    <row r="36" spans="2:13" s="22" customFormat="1" x14ac:dyDescent="0.2">
      <c r="B36" s="22" t="s">
        <v>170</v>
      </c>
      <c r="D36" s="22" t="s">
        <v>63</v>
      </c>
      <c r="F36" s="76">
        <f t="shared" si="0"/>
        <v>3245880467.7564826</v>
      </c>
      <c r="H36" s="30">
        <f>'7) Q-factor &amp; tariefruimte'!L40</f>
        <v>21362029.180366784</v>
      </c>
      <c r="I36" s="30">
        <f>'7) Q-factor &amp; tariefruimte'!M40</f>
        <v>1097252727.1156893</v>
      </c>
      <c r="J36" s="30">
        <f>'7) Q-factor &amp; tariefruimte'!N40</f>
        <v>1242338819.167206</v>
      </c>
      <c r="K36" s="30">
        <f>'7) Q-factor &amp; tariefruimte'!O40</f>
        <v>11765178.245587081</v>
      </c>
      <c r="L36" s="30">
        <f>'7) Q-factor &amp; tariefruimte'!P40</f>
        <v>825215049.85142493</v>
      </c>
      <c r="M36" s="30">
        <f>'7) Q-factor &amp; tariefruimte'!Q40</f>
        <v>47946664.196208246</v>
      </c>
    </row>
    <row r="37" spans="2:13" s="22" customFormat="1"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
  <sheetViews>
    <sheetView showGridLines="0" zoomScale="85" zoomScaleNormal="85" workbookViewId="0"/>
  </sheetViews>
  <sheetFormatPr defaultRowHeight="15" x14ac:dyDescent="0.25"/>
  <cols>
    <col min="1" max="16384" width="9.140625" style="5"/>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E1FFE1"/>
  </sheetPr>
  <dimension ref="A1:U46"/>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1" customWidth="1"/>
    <col min="2" max="2" width="70" style="1" bestFit="1" customWidth="1"/>
    <col min="3" max="3" width="3.140625" style="1" customWidth="1"/>
    <col min="4" max="4" width="18.7109375" style="22" customWidth="1"/>
    <col min="5" max="5" width="3.140625" style="22" customWidth="1"/>
    <col min="6" max="6" width="12.5703125" style="1" bestFit="1" customWidth="1"/>
    <col min="7" max="7" width="2.85546875" style="1" customWidth="1"/>
    <col min="8" max="8" width="15.7109375" style="1" customWidth="1"/>
    <col min="9" max="9" width="2.85546875" style="22" customWidth="1"/>
    <col min="10" max="10" width="11.5703125" style="22" customWidth="1"/>
    <col min="11" max="11" width="2.7109375" style="1" customWidth="1"/>
    <col min="12" max="12" width="12.5703125" style="22" bestFit="1" customWidth="1"/>
    <col min="13" max="15" width="10.7109375" style="22" customWidth="1"/>
    <col min="16" max="16" width="11.28515625" style="22" bestFit="1" customWidth="1"/>
    <col min="17" max="17" width="11.28515625" style="22" customWidth="1"/>
    <col min="18" max="18" width="2.7109375" style="22" customWidth="1"/>
    <col min="19" max="19" width="34" style="22" customWidth="1"/>
    <col min="20" max="20" width="2.7109375" style="22" customWidth="1"/>
    <col min="21" max="21" width="14.7109375" style="1" customWidth="1"/>
    <col min="22" max="16384" width="9.140625" style="1"/>
  </cols>
  <sheetData>
    <row r="1" spans="1:21" x14ac:dyDescent="0.2">
      <c r="B1" s="22"/>
      <c r="D1" s="35"/>
    </row>
    <row r="2" spans="1:21" s="36" customFormat="1" ht="18" x14ac:dyDescent="0.25">
      <c r="B2" s="36" t="s">
        <v>46</v>
      </c>
    </row>
    <row r="3" spans="1:21" x14ac:dyDescent="0.2">
      <c r="D3" s="35"/>
    </row>
    <row r="4" spans="1:21" s="22" customFormat="1" x14ac:dyDescent="0.2">
      <c r="B4" s="37" t="s">
        <v>35</v>
      </c>
      <c r="D4" s="35"/>
    </row>
    <row r="5" spans="1:21" ht="23.25" customHeight="1" x14ac:dyDescent="0.2">
      <c r="A5" s="22"/>
      <c r="B5" s="170" t="s">
        <v>277</v>
      </c>
      <c r="C5" s="171"/>
      <c r="D5" s="171"/>
      <c r="E5" s="171"/>
      <c r="F5" s="171"/>
    </row>
    <row r="6" spans="1:21" s="22" customFormat="1" x14ac:dyDescent="0.2">
      <c r="D6" s="35"/>
    </row>
    <row r="7" spans="1:21" s="41" customFormat="1" x14ac:dyDescent="0.25">
      <c r="B7" s="41" t="s">
        <v>36</v>
      </c>
      <c r="D7" s="41" t="s">
        <v>13</v>
      </c>
      <c r="F7" s="41" t="s">
        <v>1</v>
      </c>
      <c r="H7" s="41" t="s">
        <v>192</v>
      </c>
      <c r="J7" s="41" t="s">
        <v>193</v>
      </c>
      <c r="L7" s="163">
        <v>2021</v>
      </c>
      <c r="M7" s="163">
        <v>2022</v>
      </c>
      <c r="N7" s="163">
        <v>2023</v>
      </c>
      <c r="O7" s="163">
        <v>2024</v>
      </c>
      <c r="P7" s="163">
        <v>2025</v>
      </c>
      <c r="Q7" s="163">
        <v>2026</v>
      </c>
      <c r="S7" s="41" t="s">
        <v>45</v>
      </c>
      <c r="U7" s="41" t="s">
        <v>21</v>
      </c>
    </row>
    <row r="9" spans="1:21" s="41" customFormat="1" x14ac:dyDescent="0.25">
      <c r="B9" s="41" t="s">
        <v>12</v>
      </c>
      <c r="L9" s="42"/>
      <c r="M9" s="42"/>
      <c r="N9" s="42"/>
      <c r="O9" s="42"/>
      <c r="P9" s="42"/>
      <c r="Q9" s="42"/>
    </row>
    <row r="11" spans="1:21" s="35" customFormat="1" x14ac:dyDescent="0.25">
      <c r="B11" s="86" t="s">
        <v>237</v>
      </c>
    </row>
    <row r="12" spans="1:21" s="35" customFormat="1" x14ac:dyDescent="0.2">
      <c r="B12" s="35" t="s">
        <v>238</v>
      </c>
      <c r="F12" s="35" t="s">
        <v>11</v>
      </c>
      <c r="H12" s="122">
        <v>3.4000000000000002E-2</v>
      </c>
      <c r="U12" s="35" t="s">
        <v>278</v>
      </c>
    </row>
    <row r="13" spans="1:21" s="35" customFormat="1" x14ac:dyDescent="0.2">
      <c r="B13" s="35" t="s">
        <v>239</v>
      </c>
      <c r="F13" s="35" t="s">
        <v>11</v>
      </c>
      <c r="H13" s="122">
        <v>3.6999999999999998E-2</v>
      </c>
      <c r="U13" s="35" t="s">
        <v>278</v>
      </c>
    </row>
    <row r="14" spans="1:21" x14ac:dyDescent="0.2">
      <c r="A14" s="35"/>
      <c r="B14" s="2" t="s">
        <v>17</v>
      </c>
      <c r="J14" s="6"/>
      <c r="K14" s="1" t="s">
        <v>34</v>
      </c>
      <c r="R14" s="22" t="s">
        <v>34</v>
      </c>
      <c r="U14" s="35" t="s">
        <v>278</v>
      </c>
    </row>
    <row r="15" spans="1:21" x14ac:dyDescent="0.2">
      <c r="A15" s="35"/>
      <c r="B15" s="1" t="s">
        <v>198</v>
      </c>
      <c r="F15" s="1" t="s">
        <v>11</v>
      </c>
      <c r="H15" s="122">
        <v>1.7000000000000001E-2</v>
      </c>
      <c r="J15" s="109"/>
      <c r="U15" s="35" t="s">
        <v>278</v>
      </c>
    </row>
    <row r="16" spans="1:21" x14ac:dyDescent="0.2">
      <c r="A16" s="35"/>
      <c r="B16" s="1" t="s">
        <v>199</v>
      </c>
      <c r="F16" s="1" t="s">
        <v>11</v>
      </c>
      <c r="H16" s="122">
        <v>1.9E-2</v>
      </c>
      <c r="J16" s="109"/>
    </row>
    <row r="17" spans="1:21" x14ac:dyDescent="0.2">
      <c r="J17" s="6"/>
    </row>
    <row r="18" spans="1:21" s="41" customFormat="1" x14ac:dyDescent="0.25">
      <c r="B18" s="41" t="s">
        <v>14</v>
      </c>
      <c r="L18" s="42"/>
      <c r="M18" s="42"/>
      <c r="N18" s="42"/>
      <c r="O18" s="42"/>
      <c r="P18" s="42"/>
      <c r="Q18" s="42"/>
    </row>
    <row r="20" spans="1:21" x14ac:dyDescent="0.2">
      <c r="A20" s="22"/>
      <c r="B20" s="2" t="s">
        <v>224</v>
      </c>
      <c r="F20" s="6"/>
      <c r="G20" s="6"/>
      <c r="H20" s="109"/>
      <c r="J20" s="108"/>
    </row>
    <row r="21" spans="1:21" x14ac:dyDescent="0.2">
      <c r="A21" s="22"/>
      <c r="B21" s="22" t="s">
        <v>223</v>
      </c>
      <c r="F21" s="22" t="s">
        <v>11</v>
      </c>
      <c r="H21" s="122">
        <v>1.7999999999999999E-2</v>
      </c>
      <c r="J21" s="108"/>
      <c r="U21" s="161" t="s">
        <v>278</v>
      </c>
    </row>
    <row r="22" spans="1:21" x14ac:dyDescent="0.2">
      <c r="A22" s="22"/>
    </row>
    <row r="23" spans="1:21" s="41" customFormat="1" x14ac:dyDescent="0.25">
      <c r="B23" s="41" t="s">
        <v>150</v>
      </c>
      <c r="L23" s="42"/>
      <c r="M23" s="42"/>
      <c r="N23" s="42"/>
      <c r="O23" s="42"/>
      <c r="P23" s="42"/>
      <c r="Q23" s="42"/>
    </row>
    <row r="24" spans="1:21" s="22" customFormat="1" x14ac:dyDescent="0.2"/>
    <row r="25" spans="1:21" s="22" customFormat="1" x14ac:dyDescent="0.2">
      <c r="B25" s="22" t="s">
        <v>162</v>
      </c>
      <c r="F25" s="151" t="s">
        <v>52</v>
      </c>
      <c r="J25" s="8"/>
      <c r="N25" s="123">
        <v>711044.41693045199</v>
      </c>
      <c r="O25" s="123">
        <v>2706985.1357409265</v>
      </c>
      <c r="P25" s="123">
        <v>2857514.9619220551</v>
      </c>
      <c r="Q25" s="123">
        <v>3016062.3650681493</v>
      </c>
      <c r="U25" s="25" t="s">
        <v>281</v>
      </c>
    </row>
    <row r="26" spans="1:21" s="22" customFormat="1" x14ac:dyDescent="0.2">
      <c r="B26" s="22" t="s">
        <v>196</v>
      </c>
      <c r="F26" s="151" t="s">
        <v>52</v>
      </c>
      <c r="J26" s="8"/>
      <c r="N26" s="123">
        <v>5133486.3167090835</v>
      </c>
      <c r="O26" s="123">
        <v>6923818.1834277045</v>
      </c>
      <c r="P26" s="123">
        <v>7301850.7437786805</v>
      </c>
      <c r="Q26" s="123">
        <v>7699809.6085839439</v>
      </c>
      <c r="S26" s="161" t="s">
        <v>279</v>
      </c>
      <c r="U26" s="25" t="s">
        <v>282</v>
      </c>
    </row>
    <row r="27" spans="1:21" s="22" customFormat="1" x14ac:dyDescent="0.2">
      <c r="B27" s="22" t="s">
        <v>195</v>
      </c>
      <c r="F27" s="151" t="s">
        <v>52</v>
      </c>
      <c r="J27" s="8"/>
      <c r="U27" s="25"/>
    </row>
    <row r="28" spans="1:21" s="22" customFormat="1" x14ac:dyDescent="0.2">
      <c r="B28" s="22" t="s">
        <v>163</v>
      </c>
      <c r="F28" s="151" t="s">
        <v>52</v>
      </c>
      <c r="J28" s="8"/>
      <c r="U28" s="25"/>
    </row>
    <row r="29" spans="1:21" s="22" customFormat="1" x14ac:dyDescent="0.2">
      <c r="B29" s="22" t="s">
        <v>190</v>
      </c>
      <c r="F29" s="151" t="s">
        <v>52</v>
      </c>
      <c r="J29" s="8"/>
      <c r="O29" s="123">
        <v>5252571.4740927014</v>
      </c>
      <c r="P29" s="123">
        <v>11587823.262618665</v>
      </c>
      <c r="Q29" s="123">
        <v>12249417.398341618</v>
      </c>
      <c r="S29" s="161" t="s">
        <v>280</v>
      </c>
      <c r="U29" s="25" t="s">
        <v>283</v>
      </c>
    </row>
    <row r="30" spans="1:21" s="22" customFormat="1" x14ac:dyDescent="0.2">
      <c r="B30" s="22" t="s">
        <v>164</v>
      </c>
      <c r="F30" s="151" t="s">
        <v>52</v>
      </c>
      <c r="J30" s="8"/>
    </row>
    <row r="31" spans="1:21" s="22" customFormat="1" x14ac:dyDescent="0.2">
      <c r="U31" s="26"/>
    </row>
    <row r="32" spans="1:21" s="41" customFormat="1" x14ac:dyDescent="0.25">
      <c r="B32" s="41" t="s">
        <v>29</v>
      </c>
      <c r="L32" s="42"/>
      <c r="M32" s="42"/>
      <c r="N32" s="42"/>
      <c r="O32" s="42"/>
      <c r="P32" s="42"/>
      <c r="Q32" s="42"/>
    </row>
    <row r="33" spans="1:21" x14ac:dyDescent="0.2">
      <c r="J33" s="6"/>
    </row>
    <row r="34" spans="1:21" s="22" customFormat="1" x14ac:dyDescent="0.2">
      <c r="A34" s="6"/>
      <c r="B34" s="22" t="s">
        <v>57</v>
      </c>
      <c r="F34" s="22" t="s">
        <v>15</v>
      </c>
      <c r="H34" s="121">
        <v>4822740.8938368913</v>
      </c>
      <c r="J34" s="110"/>
      <c r="U34" s="161" t="s">
        <v>284</v>
      </c>
    </row>
    <row r="35" spans="1:21" x14ac:dyDescent="0.2">
      <c r="B35" s="1" t="s">
        <v>58</v>
      </c>
      <c r="F35" s="22" t="s">
        <v>15</v>
      </c>
      <c r="H35" s="121">
        <v>25895281.033806879</v>
      </c>
      <c r="J35" s="110"/>
      <c r="N35" s="140"/>
      <c r="O35" s="140"/>
      <c r="P35" s="140"/>
      <c r="Q35" s="140"/>
      <c r="U35" s="161" t="s">
        <v>285</v>
      </c>
    </row>
    <row r="36" spans="1:21" x14ac:dyDescent="0.2">
      <c r="B36" s="1" t="s">
        <v>59</v>
      </c>
      <c r="F36" s="22" t="s">
        <v>15</v>
      </c>
      <c r="H36" s="121">
        <v>-6986651.1138314363</v>
      </c>
      <c r="J36" s="110"/>
      <c r="N36" s="140"/>
      <c r="O36" s="140"/>
      <c r="P36" s="140"/>
      <c r="Q36" s="140"/>
      <c r="U36" s="161" t="s">
        <v>286</v>
      </c>
    </row>
    <row r="37" spans="1:21" x14ac:dyDescent="0.2">
      <c r="B37" s="22" t="s">
        <v>60</v>
      </c>
      <c r="F37" s="22" t="s">
        <v>15</v>
      </c>
      <c r="H37" s="121">
        <v>-63881.848380199328</v>
      </c>
      <c r="J37" s="110"/>
      <c r="N37" s="140"/>
      <c r="O37" s="140"/>
      <c r="P37" s="140"/>
      <c r="Q37" s="140"/>
      <c r="U37" s="161" t="s">
        <v>287</v>
      </c>
    </row>
    <row r="38" spans="1:21" x14ac:dyDescent="0.2">
      <c r="B38" s="22" t="s">
        <v>191</v>
      </c>
      <c r="F38" s="22" t="s">
        <v>15</v>
      </c>
      <c r="H38" s="121">
        <v>-25144803.556875207</v>
      </c>
      <c r="J38" s="110"/>
      <c r="N38" s="140"/>
      <c r="O38" s="140"/>
      <c r="P38" s="140"/>
      <c r="Q38" s="140"/>
      <c r="U38" s="161" t="s">
        <v>288</v>
      </c>
    </row>
    <row r="39" spans="1:21" x14ac:dyDescent="0.2">
      <c r="B39" s="22" t="s">
        <v>61</v>
      </c>
      <c r="F39" s="22" t="s">
        <v>15</v>
      </c>
      <c r="H39" s="121">
        <v>1477314.5914432928</v>
      </c>
      <c r="J39" s="110"/>
      <c r="N39" s="140"/>
      <c r="O39" s="140"/>
      <c r="P39" s="140"/>
      <c r="Q39" s="140"/>
      <c r="U39" s="161" t="s">
        <v>289</v>
      </c>
    </row>
    <row r="40" spans="1:21" x14ac:dyDescent="0.2">
      <c r="J40" s="6"/>
      <c r="N40" s="140"/>
      <c r="O40" s="140"/>
      <c r="P40" s="140"/>
      <c r="Q40" s="140"/>
      <c r="U40" s="22"/>
    </row>
    <row r="41" spans="1:21" s="41" customFormat="1" x14ac:dyDescent="0.25">
      <c r="B41" s="41" t="s">
        <v>253</v>
      </c>
    </row>
    <row r="42" spans="1:21" x14ac:dyDescent="0.2">
      <c r="D42" s="1"/>
      <c r="E42" s="1"/>
      <c r="G42" s="22"/>
      <c r="H42" s="22"/>
      <c r="I42" s="1"/>
      <c r="J42" s="1"/>
      <c r="L42" s="1"/>
      <c r="M42" s="1"/>
      <c r="N42" s="1"/>
      <c r="O42" s="1"/>
      <c r="P42" s="1"/>
      <c r="Q42" s="1"/>
      <c r="R42" s="1"/>
      <c r="S42" s="1"/>
      <c r="T42" s="1"/>
    </row>
    <row r="43" spans="1:21" x14ac:dyDescent="0.2">
      <c r="A43" s="22"/>
      <c r="B43" s="152" t="s">
        <v>39</v>
      </c>
      <c r="D43" s="1"/>
      <c r="E43" s="1"/>
      <c r="F43" s="22" t="s">
        <v>11</v>
      </c>
      <c r="G43" s="22"/>
      <c r="H43" s="164">
        <v>-3.3393131208133475E-2</v>
      </c>
      <c r="I43" s="1"/>
      <c r="J43" s="1"/>
      <c r="L43" s="1"/>
      <c r="M43" s="1"/>
      <c r="N43" s="1"/>
      <c r="O43" s="1"/>
      <c r="P43" s="1"/>
      <c r="Q43" s="1"/>
      <c r="R43" s="1"/>
      <c r="S43" s="1"/>
      <c r="T43" s="1"/>
      <c r="U43" s="162" t="s">
        <v>290</v>
      </c>
    </row>
    <row r="44" spans="1:21" x14ac:dyDescent="0.2">
      <c r="A44" s="22"/>
      <c r="B44" s="152" t="s">
        <v>255</v>
      </c>
      <c r="D44" s="1"/>
      <c r="E44" s="1"/>
      <c r="F44" s="152" t="s">
        <v>11</v>
      </c>
      <c r="G44" s="22"/>
      <c r="H44" s="164">
        <v>3.4200000000000001E-2</v>
      </c>
      <c r="I44" s="1"/>
      <c r="J44" s="1"/>
      <c r="L44" s="1"/>
      <c r="M44" s="1"/>
      <c r="N44" s="1"/>
      <c r="O44" s="1"/>
      <c r="P44" s="1"/>
      <c r="Q44" s="1"/>
      <c r="R44" s="1"/>
      <c r="S44" s="1"/>
      <c r="T44" s="1"/>
      <c r="U44" s="166" t="s">
        <v>329</v>
      </c>
    </row>
    <row r="45" spans="1:21" x14ac:dyDescent="0.2">
      <c r="A45" s="22"/>
      <c r="B45" s="152" t="s">
        <v>256</v>
      </c>
      <c r="D45" s="1"/>
      <c r="E45" s="1"/>
      <c r="F45" s="152" t="s">
        <v>52</v>
      </c>
      <c r="G45" s="22"/>
      <c r="I45" s="1"/>
      <c r="J45" s="1"/>
      <c r="L45" s="73">
        <v>110777331.12227097</v>
      </c>
      <c r="M45" s="1"/>
      <c r="O45" s="1"/>
      <c r="P45" s="1"/>
      <c r="Q45" s="1"/>
      <c r="R45" s="1"/>
      <c r="S45" s="1"/>
      <c r="T45" s="1"/>
      <c r="U45" s="166" t="s">
        <v>330</v>
      </c>
    </row>
    <row r="46" spans="1:21" x14ac:dyDescent="0.2">
      <c r="N46" s="140"/>
      <c r="O46" s="140"/>
      <c r="P46" s="140"/>
      <c r="Q46" s="140"/>
    </row>
  </sheetData>
  <mergeCells count="1">
    <mergeCell ref="B5:F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tabColor rgb="FFE1FFE1"/>
    <pageSetUpPr fitToPage="1"/>
  </sheetPr>
  <dimension ref="A1:W15"/>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 customHeight="1" x14ac:dyDescent="0.2"/>
  <cols>
    <col min="1" max="1" width="2.7109375" style="1" customWidth="1"/>
    <col min="2" max="2" width="64.42578125" style="1" customWidth="1"/>
    <col min="3" max="3" width="3.140625" style="1" customWidth="1"/>
    <col min="4" max="4" width="18.7109375" style="1" customWidth="1"/>
    <col min="5" max="5" width="2.85546875" style="1" customWidth="1"/>
    <col min="6" max="6" width="15.7109375" style="1" customWidth="1"/>
    <col min="7" max="7" width="2.7109375" style="22" customWidth="1"/>
    <col min="8" max="8" width="14.42578125" style="22" customWidth="1"/>
    <col min="9" max="9" width="2.7109375" style="1" customWidth="1"/>
    <col min="10" max="10" width="15.7109375" style="1" customWidth="1"/>
    <col min="11" max="11" width="3.28515625" style="1" customWidth="1"/>
    <col min="12" max="17" width="14.7109375" style="1" customWidth="1"/>
    <col min="18" max="18" width="3.28515625" style="22" customWidth="1"/>
    <col min="19" max="21" width="14.7109375" style="22" customWidth="1"/>
    <col min="22" max="22" width="3.28515625" style="22" customWidth="1"/>
    <col min="23" max="16384" width="9.140625" style="1"/>
  </cols>
  <sheetData>
    <row r="1" spans="1:23" s="35" customFormat="1" ht="12.75" x14ac:dyDescent="0.25"/>
    <row r="2" spans="1:23" s="36" customFormat="1" ht="18" x14ac:dyDescent="0.25">
      <c r="B2" s="36" t="s">
        <v>291</v>
      </c>
    </row>
    <row r="3" spans="1:23" s="35" customFormat="1" ht="12.75" x14ac:dyDescent="0.25"/>
    <row r="4" spans="1:23" s="35" customFormat="1" ht="12" customHeight="1" x14ac:dyDescent="0.25">
      <c r="B4" s="37" t="s">
        <v>35</v>
      </c>
      <c r="K4" s="38"/>
      <c r="L4" s="38"/>
      <c r="R4" s="38"/>
      <c r="V4" s="38"/>
    </row>
    <row r="5" spans="1:23" s="35" customFormat="1" ht="25.5" customHeight="1" x14ac:dyDescent="0.25">
      <c r="B5" s="167" t="s">
        <v>292</v>
      </c>
      <c r="C5" s="167"/>
    </row>
    <row r="6" spans="1:23" s="22" customFormat="1" ht="12" customHeight="1" x14ac:dyDescent="0.2">
      <c r="B6" s="26"/>
    </row>
    <row r="7" spans="1:23" s="41" customFormat="1" ht="12" customHeight="1" x14ac:dyDescent="0.25">
      <c r="B7" s="41" t="s">
        <v>36</v>
      </c>
      <c r="D7" s="41" t="s">
        <v>13</v>
      </c>
      <c r="F7" s="41" t="s">
        <v>1</v>
      </c>
      <c r="H7" s="41" t="s">
        <v>192</v>
      </c>
      <c r="J7" s="41" t="s">
        <v>193</v>
      </c>
      <c r="L7" s="41" t="s">
        <v>33</v>
      </c>
      <c r="M7" s="41" t="s">
        <v>2</v>
      </c>
      <c r="N7" s="41" t="s">
        <v>3</v>
      </c>
      <c r="O7" s="41" t="s">
        <v>4</v>
      </c>
      <c r="P7" s="41" t="s">
        <v>5</v>
      </c>
      <c r="Q7" s="41" t="s">
        <v>6</v>
      </c>
      <c r="S7" s="41" t="s">
        <v>197</v>
      </c>
      <c r="T7" s="41" t="s">
        <v>250</v>
      </c>
      <c r="U7" s="41" t="s">
        <v>293</v>
      </c>
      <c r="W7" s="41" t="s">
        <v>22</v>
      </c>
    </row>
    <row r="9" spans="1:23" s="41" customFormat="1" ht="12" customHeight="1" x14ac:dyDescent="0.25">
      <c r="B9" s="41" t="s">
        <v>258</v>
      </c>
    </row>
    <row r="11" spans="1:23" ht="12" customHeight="1" x14ac:dyDescent="0.2">
      <c r="A11" s="22"/>
      <c r="B11" s="20" t="s">
        <v>19</v>
      </c>
      <c r="C11" s="25"/>
      <c r="D11" s="25"/>
      <c r="E11" s="25"/>
      <c r="F11" s="25"/>
    </row>
    <row r="12" spans="1:23" ht="12" customHeight="1" x14ac:dyDescent="0.2">
      <c r="A12" s="22"/>
      <c r="B12" s="158" t="s">
        <v>259</v>
      </c>
      <c r="C12" s="158"/>
      <c r="D12" s="158" t="s">
        <v>260</v>
      </c>
      <c r="E12" s="158"/>
      <c r="F12" s="158" t="s">
        <v>15</v>
      </c>
      <c r="J12" s="18">
        <f>SUM(L12:Q12)</f>
        <v>1334971582.76948</v>
      </c>
      <c r="L12" s="124">
        <v>6013923.5827800008</v>
      </c>
      <c r="M12" s="124">
        <v>423067652.70261514</v>
      </c>
      <c r="N12" s="124">
        <v>563627897.25509131</v>
      </c>
      <c r="O12" s="124">
        <v>4479844.9099999992</v>
      </c>
      <c r="P12" s="124">
        <v>320725912.53171027</v>
      </c>
      <c r="Q12" s="124">
        <v>17056351.787283242</v>
      </c>
      <c r="S12" s="134"/>
      <c r="T12" s="134"/>
      <c r="U12" s="134"/>
      <c r="W12" s="166" t="s">
        <v>331</v>
      </c>
    </row>
    <row r="13" spans="1:23" ht="12" customHeight="1" x14ac:dyDescent="0.2">
      <c r="A13" s="22"/>
      <c r="B13" s="158" t="s">
        <v>261</v>
      </c>
      <c r="C13" s="158"/>
      <c r="D13" s="158"/>
      <c r="E13" s="158"/>
      <c r="F13" s="158" t="s">
        <v>15</v>
      </c>
      <c r="J13" s="18">
        <f>SUM(L13:Q13)</f>
        <v>520778667.80258071</v>
      </c>
      <c r="L13" s="124">
        <v>3184123.6826917222</v>
      </c>
      <c r="M13" s="124">
        <v>191522223.10431039</v>
      </c>
      <c r="N13" s="124">
        <v>183122089.34547222</v>
      </c>
      <c r="O13" s="124">
        <v>2057527.4930124646</v>
      </c>
      <c r="P13" s="124">
        <v>130538493.90024146</v>
      </c>
      <c r="Q13" s="124">
        <v>10354210.276852481</v>
      </c>
      <c r="S13" s="134"/>
      <c r="T13" s="134"/>
      <c r="U13" s="134"/>
      <c r="W13" s="166" t="s">
        <v>332</v>
      </c>
    </row>
    <row r="14" spans="1:23" ht="12" customHeight="1" x14ac:dyDescent="0.2">
      <c r="A14" s="22"/>
      <c r="B14" s="158" t="s">
        <v>262</v>
      </c>
      <c r="C14" s="158"/>
      <c r="D14" s="158" t="s">
        <v>41</v>
      </c>
      <c r="E14" s="158"/>
      <c r="F14" s="158" t="s">
        <v>15</v>
      </c>
      <c r="J14" s="18">
        <f>SUM(L14:Q14)</f>
        <v>1041107562.9935292</v>
      </c>
      <c r="L14" s="124">
        <v>5407817.2873708</v>
      </c>
      <c r="M14" s="124">
        <v>339545572.32199591</v>
      </c>
      <c r="N14" s="124">
        <v>358259829.40235484</v>
      </c>
      <c r="O14" s="124">
        <v>1876519.4157397409</v>
      </c>
      <c r="P14" s="124">
        <v>319019671.66018271</v>
      </c>
      <c r="Q14" s="124">
        <v>16998152.905885119</v>
      </c>
      <c r="S14" s="124">
        <v>344347024.698309</v>
      </c>
      <c r="T14" s="124">
        <v>2067852.0443077136</v>
      </c>
      <c r="U14" s="124">
        <v>319749270.5161621</v>
      </c>
      <c r="W14" s="166" t="s">
        <v>333</v>
      </c>
    </row>
    <row r="15" spans="1:23" ht="12" customHeight="1" x14ac:dyDescent="0.2">
      <c r="A15" s="22"/>
      <c r="B15" s="158" t="s">
        <v>262</v>
      </c>
      <c r="C15" s="158"/>
      <c r="D15" s="158" t="s">
        <v>40</v>
      </c>
      <c r="E15" s="158"/>
      <c r="F15" s="158" t="s">
        <v>15</v>
      </c>
      <c r="J15" s="18">
        <f>SUM(L15:Q15)</f>
        <v>1067467424.3912021</v>
      </c>
      <c r="L15" s="124">
        <v>5510759.6681238329</v>
      </c>
      <c r="M15" s="124">
        <v>347663120.12631255</v>
      </c>
      <c r="N15" s="124">
        <v>368175159.39555341</v>
      </c>
      <c r="O15" s="124">
        <v>1944511.4809583661</v>
      </c>
      <c r="P15" s="124">
        <v>326692321.6258024</v>
      </c>
      <c r="Q15" s="124">
        <v>17481552.094451584</v>
      </c>
      <c r="S15" s="124">
        <v>352482371.32889986</v>
      </c>
      <c r="T15" s="124">
        <v>2136906.9694405487</v>
      </c>
      <c r="U15" s="124">
        <v>327431323.46683121</v>
      </c>
      <c r="W15" s="166" t="s">
        <v>334</v>
      </c>
    </row>
  </sheetData>
  <mergeCells count="1">
    <mergeCell ref="B5:C5"/>
  </mergeCells>
  <phoneticPr fontId="28" type="noConversion"/>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tabColor rgb="FFE1FFE1"/>
  </sheetPr>
  <dimension ref="A1:S22"/>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1" customWidth="1"/>
    <col min="2" max="2" width="54" style="1" customWidth="1"/>
    <col min="3" max="3" width="3.140625" style="1" customWidth="1"/>
    <col min="4" max="4" width="28.28515625" style="1" customWidth="1"/>
    <col min="5" max="5" width="2.7109375" style="1" customWidth="1"/>
    <col min="6" max="6" width="15.7109375" style="1" customWidth="1"/>
    <col min="7" max="7" width="2.7109375" style="22" customWidth="1"/>
    <col min="8" max="8" width="15.7109375" style="22" customWidth="1"/>
    <col min="9" max="9" width="2.7109375" style="1" customWidth="1"/>
    <col min="10" max="10" width="15.7109375" style="1" customWidth="1"/>
    <col min="11" max="11" width="3.28515625" style="1" customWidth="1"/>
    <col min="12" max="17" width="14.7109375" style="1" customWidth="1"/>
    <col min="18" max="18" width="3.85546875" style="1" customWidth="1"/>
    <col min="19" max="20" width="11.85546875" style="1" customWidth="1"/>
    <col min="21" max="21" width="18.42578125" style="1" customWidth="1"/>
    <col min="22" max="22" width="11.28515625" style="1" customWidth="1"/>
    <col min="23" max="23" width="4.5703125" style="1" customWidth="1"/>
    <col min="24" max="24" width="12.85546875" style="1" customWidth="1"/>
    <col min="25" max="16384" width="9.140625" style="1"/>
  </cols>
  <sheetData>
    <row r="1" spans="2:19" s="35" customFormat="1" x14ac:dyDescent="0.25"/>
    <row r="2" spans="2:19" s="36" customFormat="1" ht="18" x14ac:dyDescent="0.25">
      <c r="B2" s="36" t="s">
        <v>221</v>
      </c>
    </row>
    <row r="3" spans="2:19" s="35" customFormat="1" x14ac:dyDescent="0.25"/>
    <row r="4" spans="2:19" s="35" customFormat="1" ht="12" customHeight="1" x14ac:dyDescent="0.25">
      <c r="B4" s="37" t="s">
        <v>35</v>
      </c>
      <c r="K4" s="38"/>
      <c r="L4" s="38"/>
    </row>
    <row r="5" spans="2:19" s="35" customFormat="1" ht="12" customHeight="1" x14ac:dyDescent="0.25">
      <c r="B5" s="167" t="s">
        <v>295</v>
      </c>
      <c r="C5" s="167"/>
      <c r="D5" s="167"/>
      <c r="E5" s="167"/>
      <c r="F5" s="167"/>
    </row>
    <row r="6" spans="2:19" s="35" customFormat="1" x14ac:dyDescent="0.25">
      <c r="B6" s="39"/>
    </row>
    <row r="7" spans="2:19" s="41" customFormat="1" x14ac:dyDescent="0.25">
      <c r="B7" s="41" t="s">
        <v>36</v>
      </c>
      <c r="D7" s="41" t="s">
        <v>13</v>
      </c>
      <c r="F7" s="41" t="s">
        <v>1</v>
      </c>
      <c r="H7" s="41" t="s">
        <v>192</v>
      </c>
      <c r="J7" s="41" t="s">
        <v>193</v>
      </c>
      <c r="L7" s="41" t="s">
        <v>33</v>
      </c>
      <c r="M7" s="41" t="s">
        <v>2</v>
      </c>
      <c r="N7" s="41" t="s">
        <v>3</v>
      </c>
      <c r="O7" s="41" t="s">
        <v>4</v>
      </c>
      <c r="P7" s="41" t="s">
        <v>5</v>
      </c>
      <c r="Q7" s="41" t="s">
        <v>6</v>
      </c>
      <c r="S7" s="41" t="s">
        <v>22</v>
      </c>
    </row>
    <row r="9" spans="2:19" s="41" customFormat="1" x14ac:dyDescent="0.25">
      <c r="B9" s="41" t="s">
        <v>47</v>
      </c>
    </row>
    <row r="10" spans="2:19" s="22" customFormat="1" x14ac:dyDescent="0.2">
      <c r="H10" s="7"/>
      <c r="J10" s="7"/>
      <c r="K10" s="7"/>
      <c r="L10" s="7"/>
      <c r="M10" s="7"/>
      <c r="N10" s="7"/>
      <c r="O10" s="7"/>
      <c r="P10" s="7"/>
      <c r="Q10" s="7"/>
    </row>
    <row r="11" spans="2:19" s="22" customFormat="1" x14ac:dyDescent="0.2">
      <c r="B11" s="2" t="s">
        <v>42</v>
      </c>
    </row>
    <row r="12" spans="2:19" s="22" customFormat="1" x14ac:dyDescent="0.2">
      <c r="B12" s="22" t="s">
        <v>37</v>
      </c>
      <c r="F12" s="22" t="s">
        <v>38</v>
      </c>
      <c r="H12" s="112"/>
      <c r="J12" s="23">
        <f>SUM(L12:Q12)</f>
        <v>3084986772.2116771</v>
      </c>
      <c r="K12" s="7"/>
      <c r="L12" s="73">
        <v>17636202.763467204</v>
      </c>
      <c r="M12" s="73">
        <v>1009955614.7705355</v>
      </c>
      <c r="N12" s="73">
        <v>1210888083.150923</v>
      </c>
      <c r="O12" s="73">
        <v>11209827.929315047</v>
      </c>
      <c r="P12" s="73">
        <v>784366996.42395794</v>
      </c>
      <c r="Q12" s="73">
        <v>50930047.173478633</v>
      </c>
      <c r="S12" s="162" t="s">
        <v>296</v>
      </c>
    </row>
    <row r="13" spans="2:19" s="22" customFormat="1" x14ac:dyDescent="0.2">
      <c r="H13" s="7"/>
      <c r="J13" s="7"/>
      <c r="K13" s="7"/>
      <c r="L13" s="7"/>
      <c r="M13" s="7"/>
      <c r="N13" s="7"/>
      <c r="O13" s="7"/>
      <c r="P13" s="7"/>
      <c r="Q13" s="7"/>
    </row>
    <row r="14" spans="2:19" s="41" customFormat="1" x14ac:dyDescent="0.25">
      <c r="B14" s="41" t="s">
        <v>48</v>
      </c>
    </row>
    <row r="15" spans="2:19" s="22" customFormat="1" x14ac:dyDescent="0.2">
      <c r="H15" s="7"/>
      <c r="J15" s="7"/>
      <c r="K15" s="7"/>
      <c r="L15" s="7"/>
      <c r="M15" s="7"/>
      <c r="N15" s="7"/>
      <c r="O15" s="7"/>
      <c r="P15" s="7"/>
      <c r="Q15" s="7"/>
    </row>
    <row r="16" spans="2:19" s="22" customFormat="1" x14ac:dyDescent="0.2">
      <c r="B16" s="162" t="s">
        <v>294</v>
      </c>
      <c r="D16" s="22" t="s">
        <v>23</v>
      </c>
      <c r="F16" s="22" t="s">
        <v>38</v>
      </c>
      <c r="H16" s="112"/>
      <c r="J16" s="23">
        <f t="shared" ref="J16" si="0">SUM(L16:Q16)</f>
        <v>169701244.15769491</v>
      </c>
      <c r="K16" s="7"/>
      <c r="L16" s="73">
        <v>705908.91000000073</v>
      </c>
      <c r="M16" s="73">
        <v>44887661.290000014</v>
      </c>
      <c r="N16" s="73">
        <v>73858171.587694898</v>
      </c>
      <c r="O16" s="73">
        <v>279776.84999999998</v>
      </c>
      <c r="P16" s="73">
        <v>48794369.620000005</v>
      </c>
      <c r="Q16" s="73">
        <v>1175355.8999999999</v>
      </c>
      <c r="S16" s="165" t="s">
        <v>322</v>
      </c>
    </row>
    <row r="17" spans="1:19" s="22" customFormat="1" x14ac:dyDescent="0.2">
      <c r="H17" s="7"/>
      <c r="J17" s="7"/>
      <c r="K17" s="7"/>
      <c r="L17" s="7"/>
      <c r="M17" s="7"/>
      <c r="N17" s="7"/>
      <c r="O17" s="7"/>
      <c r="P17" s="7"/>
      <c r="Q17" s="7"/>
    </row>
    <row r="18" spans="1:19" s="41" customFormat="1" x14ac:dyDescent="0.25">
      <c r="B18" s="41" t="s">
        <v>49</v>
      </c>
    </row>
    <row r="19" spans="1:19" s="22" customFormat="1" x14ac:dyDescent="0.2">
      <c r="H19" s="7"/>
      <c r="J19" s="7"/>
      <c r="K19" s="7"/>
      <c r="L19" s="7"/>
      <c r="M19" s="7"/>
      <c r="N19" s="7"/>
      <c r="O19" s="7"/>
      <c r="P19" s="7"/>
      <c r="Q19" s="7"/>
    </row>
    <row r="20" spans="1:19" s="22" customFormat="1" x14ac:dyDescent="0.2">
      <c r="B20" s="2" t="s">
        <v>20</v>
      </c>
      <c r="H20" s="7"/>
      <c r="J20" s="7"/>
      <c r="K20" s="7"/>
      <c r="L20" s="7"/>
      <c r="M20" s="7"/>
      <c r="N20" s="7"/>
      <c r="O20" s="7"/>
      <c r="P20" s="7"/>
      <c r="Q20" s="7"/>
    </row>
    <row r="21" spans="1:19" s="22" customFormat="1" x14ac:dyDescent="0.2">
      <c r="B21" s="22" t="s">
        <v>43</v>
      </c>
      <c r="F21" s="22" t="s">
        <v>7</v>
      </c>
      <c r="H21" s="112"/>
      <c r="J21" s="23">
        <f>SUM(L21:Q21)</f>
        <v>3096701065.7689772</v>
      </c>
      <c r="K21" s="7"/>
      <c r="L21" s="73">
        <v>18690564.848959994</v>
      </c>
      <c r="M21" s="73">
        <v>1052589862.5255393</v>
      </c>
      <c r="N21" s="73">
        <v>1173112058.2934279</v>
      </c>
      <c r="O21" s="73">
        <v>11396062.27880168</v>
      </c>
      <c r="P21" s="73">
        <v>793249763.05117345</v>
      </c>
      <c r="Q21" s="73">
        <v>47662754.771075226</v>
      </c>
      <c r="S21" s="162" t="s">
        <v>297</v>
      </c>
    </row>
    <row r="22" spans="1:19" x14ac:dyDescent="0.2">
      <c r="A22" s="22"/>
    </row>
  </sheetData>
  <mergeCells count="1">
    <mergeCell ref="B5:F5"/>
  </mergeCells>
  <phoneticPr fontId="2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
  <sheetViews>
    <sheetView showGridLines="0" zoomScale="85" zoomScaleNormal="85" workbookViewId="0"/>
  </sheetViews>
  <sheetFormatPr defaultRowHeight="15" x14ac:dyDescent="0.25"/>
  <cols>
    <col min="1" max="16384" width="9.140625" style="5"/>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Bijlage 1</vt:lpstr>
      <vt:lpstr>Input -&gt;</vt:lpstr>
      <vt:lpstr>1) Reguleringsparameters</vt:lpstr>
      <vt:lpstr>2) Kosten 2021</vt:lpstr>
      <vt:lpstr>3) BI, EAV, SO &amp; PV</vt:lpstr>
      <vt:lpstr>Berekeningen --&gt;</vt:lpstr>
      <vt:lpstr>4) Berekeningen op parameters</vt:lpstr>
      <vt:lpstr>5) Totale kosten maatstaf</vt:lpstr>
      <vt:lpstr>6) X-factor + begininkomsten</vt:lpstr>
      <vt:lpstr>7) Q-factor &amp; tariefruimte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Langen, Vincent van</dc:creator>
  <cp:lastModifiedBy>Hoek, Dion</cp:lastModifiedBy>
  <cp:lastPrinted>2024-01-23T08:17:15Z</cp:lastPrinted>
  <dcterms:created xsi:type="dcterms:W3CDTF">2015-11-25T09:31:40Z</dcterms:created>
  <dcterms:modified xsi:type="dcterms:W3CDTF">2024-04-09T09:00:56Z</dcterms:modified>
</cp:coreProperties>
</file>