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24226"/>
  <xr:revisionPtr revIDLastSave="0" documentId="13_ncr:1_{B32AEE6F-B52E-44AF-BA1B-F79E84223E5C}" xr6:coauthVersionLast="47" xr6:coauthVersionMax="47" xr10:uidLastSave="{00000000-0000-0000-0000-000000000000}"/>
  <bookViews>
    <workbookView xWindow="-120" yWindow="-120" windowWidth="29040" windowHeight="15840" tabRatio="782" xr2:uid="{00000000-000D-0000-FFFF-FFFF00000000}"/>
  </bookViews>
  <sheets>
    <sheet name="Titelblad" sheetId="9" r:id="rId1"/>
    <sheet name="Toelichting" sheetId="35" r:id="rId2"/>
    <sheet name="Bronnen en toepassingen" sheetId="11" r:id="rId3"/>
    <sheet name="Resultaat" sheetId="34" r:id="rId4"/>
    <sheet name="Input --&gt;" sheetId="13" r:id="rId5"/>
    <sheet name="1) Reguleringsparameters" sheetId="18" r:id="rId6"/>
    <sheet name="2) Kosten 2015-2020" sheetId="24" r:id="rId7"/>
    <sheet name="3)  SO, BI &amp; PV" sheetId="25" r:id="rId8"/>
    <sheet name="4) Netverliezen" sheetId="38" r:id="rId9"/>
    <sheet name="Berekeningen --&gt;" sheetId="15" r:id="rId10"/>
    <sheet name="4) Berekeningen op parameters" sheetId="37" r:id="rId11"/>
    <sheet name="5) PV TD" sheetId="27" r:id="rId12"/>
    <sheet name="6) PV AD" sheetId="32" r:id="rId13"/>
    <sheet name="7) Totale kosten TD maatstaf" sheetId="29" r:id="rId14"/>
    <sheet name="8) Totale kosten AD maatstaf" sheetId="31" r:id="rId15"/>
    <sheet name="9) Kosten netverliezen" sheetId="39" r:id="rId16"/>
    <sheet name="10) Toetsen toepassing one-off" sheetId="28" r:id="rId17"/>
    <sheet name="11) BI &amp; EI TD" sheetId="33" r:id="rId18"/>
    <sheet name="12) BI &amp; EI AD" sheetId="21" r:id="rId19"/>
    <sheet name="13) X-factor &amp; tariefruimte" sheetId="36"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_DAT1" localSheetId="19">#REF!</definedName>
    <definedName name="__DAT1">#REF!</definedName>
    <definedName name="__DAT10" localSheetId="19">#REF!</definedName>
    <definedName name="__DAT10">#REF!</definedName>
    <definedName name="__DAT11" localSheetId="19">#REF!</definedName>
    <definedName name="__DAT11">#REF!</definedName>
    <definedName name="__DAT12" localSheetId="19">#REF!</definedName>
    <definedName name="__DAT12">#REF!</definedName>
    <definedName name="__DAT13" localSheetId="19">#REF!</definedName>
    <definedName name="__DAT13">#REF!</definedName>
    <definedName name="__DAT14" localSheetId="19">#REF!</definedName>
    <definedName name="__DAT14">#REF!</definedName>
    <definedName name="__DAT15" localSheetId="19">#REF!</definedName>
    <definedName name="__DAT15">#REF!</definedName>
    <definedName name="__DAT2" localSheetId="19">#REF!</definedName>
    <definedName name="__DAT2">#REF!</definedName>
    <definedName name="__DAT3" localSheetId="19">#REF!</definedName>
    <definedName name="__DAT3">#REF!</definedName>
    <definedName name="__DAT4" localSheetId="19">#REF!</definedName>
    <definedName name="__DAT4">#REF!</definedName>
    <definedName name="__DAT5" localSheetId="19">#REF!</definedName>
    <definedName name="__DAT5">#REF!</definedName>
    <definedName name="__DAT6" localSheetId="19">#REF!</definedName>
    <definedName name="__DAT6">#REF!</definedName>
    <definedName name="__DAT7" localSheetId="19">#REF!</definedName>
    <definedName name="__DAT7">#REF!</definedName>
    <definedName name="__DAT8" localSheetId="19">#REF!</definedName>
    <definedName name="__DAT8">#REF!</definedName>
    <definedName name="__DAT9" localSheetId="19">#REF!</definedName>
    <definedName name="__DAT9">#REF!</definedName>
    <definedName name="_cpi2000" localSheetId="19">#REF!</definedName>
    <definedName name="_cpi2000">#REF!</definedName>
    <definedName name="_cpi2001" localSheetId="19">#REF!</definedName>
    <definedName name="_cpi2001">#REF!</definedName>
    <definedName name="_cpi2002" localSheetId="19">#REF!</definedName>
    <definedName name="_cpi2002">#REF!</definedName>
    <definedName name="_cpi2003" localSheetId="19">#REF!</definedName>
    <definedName name="_cpi2003">#REF!</definedName>
    <definedName name="_DAT1" localSheetId="19">#REF!</definedName>
    <definedName name="_DAT1">#REF!</definedName>
    <definedName name="_DAT10" localSheetId="19">#REF!</definedName>
    <definedName name="_DAT10">#REF!</definedName>
    <definedName name="_DAT11" localSheetId="19">#REF!</definedName>
    <definedName name="_DAT11">#REF!</definedName>
    <definedName name="_DAT12" localSheetId="19">#REF!</definedName>
    <definedName name="_DAT12">#REF!</definedName>
    <definedName name="_DAT13" localSheetId="19">#REF!</definedName>
    <definedName name="_DAT13">#REF!</definedName>
    <definedName name="_DAT14" localSheetId="19">#REF!</definedName>
    <definedName name="_DAT14">#REF!</definedName>
    <definedName name="_DAT15" localSheetId="19">#REF!</definedName>
    <definedName name="_DAT15">#REF!</definedName>
    <definedName name="_DAT2" localSheetId="19">#REF!</definedName>
    <definedName name="_DAT2">#REF!</definedName>
    <definedName name="_DAT3" localSheetId="19">#REF!</definedName>
    <definedName name="_DAT3">#REF!</definedName>
    <definedName name="_DAT4" localSheetId="19">#REF!</definedName>
    <definedName name="_DAT4">#REF!</definedName>
    <definedName name="_DAT5" localSheetId="19">#REF!</definedName>
    <definedName name="_DAT5">#REF!</definedName>
    <definedName name="_DAT6" localSheetId="19">#REF!</definedName>
    <definedName name="_DAT6">#REF!</definedName>
    <definedName name="_DAT7" localSheetId="19">#REF!</definedName>
    <definedName name="_DAT7">#REF!</definedName>
    <definedName name="_DAT8" localSheetId="19">#REF!</definedName>
    <definedName name="_DAT8">#REF!</definedName>
    <definedName name="_DAT9" localSheetId="19">#REF!</definedName>
    <definedName name="_DAT9">#REF!</definedName>
    <definedName name="AF" localSheetId="19">[1]ORI!#REF!</definedName>
    <definedName name="AF">[1]ORI!#REF!</definedName>
    <definedName name="afd">'[2]PwC - Afdelingen'!$A$2:$B$109</definedName>
    <definedName name="afdtennet">'[2]TenneT - Afdelingen'!$D$3:$E$70</definedName>
    <definedName name="afwijking" localSheetId="19">#REF!</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d" localSheetId="19">#REF!</definedName>
    <definedName name="dd">#REF!</definedName>
    <definedName name="DF_GRID_3" localSheetId="19">[1]ORI!#REF!</definedName>
    <definedName name="DF_GRID_3">[1]ORI!#REF!</definedName>
    <definedName name="ee" localSheetId="19">[1]ORI!#REF!</definedName>
    <definedName name="ee">[1]ORI!#REF!</definedName>
    <definedName name="eeee" localSheetId="19">'[7]Toegestane Omzet'!#REF!</definedName>
    <definedName name="eeee">'[7]Toegestane Omzet'!#REF!</definedName>
    <definedName name="Eigenaar">[3]Lijsten!$G$2:$G$11</definedName>
    <definedName name="eur" localSheetId="19">#REF!</definedName>
    <definedName name="eur">#REF!</definedName>
    <definedName name="factor" localSheetId="19">#REF!</definedName>
    <definedName name="factor">#REF!</definedName>
    <definedName name="fik">[8]cockpit!$B$9</definedName>
    <definedName name="Financiering">[3]Lijsten!$P$2:$P$9</definedName>
    <definedName name="Jaar">[3]Lijsten!$A$2:$A$19</definedName>
    <definedName name="Kwartaal">[3]Lijsten!$B$2:$B$5</definedName>
    <definedName name="METHODE" localSheetId="19">#REF!</definedName>
    <definedName name="METHODE">#REF!</definedName>
    <definedName name="Naam">[9]Lijsten!$B$3:$B$10</definedName>
    <definedName name="NAAM_NE">'[7]Toegestane Omzet'!$M$1</definedName>
    <definedName name="NAAM_VOL">[4]Adresgegevens!$D$8</definedName>
    <definedName name="omzet_2000_aanpas_kolom" localSheetId="19">#REF!</definedName>
    <definedName name="omzet_2000_aanpas_kolom">#REF!</definedName>
    <definedName name="omzet_2000_kolom" localSheetId="19">#REF!</definedName>
    <definedName name="omzet_2000_kolom">#REF!</definedName>
    <definedName name="omzet_2001_kolom" localSheetId="19">#REF!</definedName>
    <definedName name="omzet_2001_kolom">#REF!</definedName>
    <definedName name="PB">[4]Adresgegevens!$D$9</definedName>
    <definedName name="PC">[4]Adresgegevens!$D$10</definedName>
    <definedName name="PGcode">[3]Lijsten!$L$2:$L$26</definedName>
    <definedName name="PLAATS">[4]Adresgegevens!$D$11</definedName>
    <definedName name="PR_ME_2000" localSheetId="19">'[7]Toegestane Omzet'!#REF!</definedName>
    <definedName name="PR_ME_2000">'[7]Toegestane Omzet'!#REF!</definedName>
    <definedName name="Projecteigenaar">[3]Lijsten!$H$2:$H$25</definedName>
    <definedName name="Projectleider">[3]Lijsten!$J$2:$J$15</definedName>
    <definedName name="Regio">[3]Lijsten!$F$2:$F$7</definedName>
    <definedName name="required_x" localSheetId="19">#REF!</definedName>
    <definedName name="required_x">#REF!</definedName>
    <definedName name="s" localSheetId="19">[10]Data!#REF!</definedName>
    <definedName name="s">[10]Data!#REF!</definedName>
    <definedName name="SAPBEXhrIndnt" hidden="1">"Wide"</definedName>
    <definedName name="SAPsysID" hidden="1">"708C5W7SBKP804JT78WJ0JNKI"</definedName>
    <definedName name="SAPwbID" hidden="1">"ARS"</definedName>
    <definedName name="solver_adj" localSheetId="17" hidden="1">'11) BI &amp; EI TD'!$H$79</definedName>
    <definedName name="solver_adj" localSheetId="18" hidden="1">'12) BI &amp; EI AD'!$H$75</definedName>
    <definedName name="solver_adj" localSheetId="3" hidden="1">Resultaat!#REF!</definedName>
    <definedName name="solver_cvg" localSheetId="17" hidden="1">0.0001</definedName>
    <definedName name="solver_cvg" localSheetId="18" hidden="1">0.0001</definedName>
    <definedName name="solver_cvg" localSheetId="19" hidden="1">0.0001</definedName>
    <definedName name="solver_cvg" localSheetId="3" hidden="1">0.0001</definedName>
    <definedName name="solver_drv" localSheetId="17" hidden="1">2</definedName>
    <definedName name="solver_drv" localSheetId="18" hidden="1">2</definedName>
    <definedName name="solver_drv" localSheetId="19" hidden="1">2</definedName>
    <definedName name="solver_drv" localSheetId="3" hidden="1">2</definedName>
    <definedName name="solver_eng" localSheetId="17" hidden="1">1</definedName>
    <definedName name="solver_eng" localSheetId="18" hidden="1">1</definedName>
    <definedName name="solver_eng" localSheetId="19" hidden="1">1</definedName>
    <definedName name="solver_eng" localSheetId="3" hidden="1">1</definedName>
    <definedName name="solver_est" localSheetId="17" hidden="1">1</definedName>
    <definedName name="solver_est" localSheetId="18" hidden="1">1</definedName>
    <definedName name="solver_est" localSheetId="19" hidden="1">1</definedName>
    <definedName name="solver_est" localSheetId="3" hidden="1">1</definedName>
    <definedName name="solver_itr" localSheetId="17" hidden="1">2147483647</definedName>
    <definedName name="solver_itr" localSheetId="18" hidden="1">2147483647</definedName>
    <definedName name="solver_itr" localSheetId="19" hidden="1">2147483647</definedName>
    <definedName name="solver_itr" localSheetId="3" hidden="1">2147483647</definedName>
    <definedName name="solver_lhs1" localSheetId="17" hidden="1">'11) BI &amp; EI TD'!$H$76</definedName>
    <definedName name="solver_lhs1" localSheetId="18" hidden="1">'12) BI &amp; EI AD'!$H$72</definedName>
    <definedName name="solver_lhs1" localSheetId="19" hidden="1">'13) X-factor &amp; tariefruimte'!#REF!</definedName>
    <definedName name="solver_lhs1" localSheetId="3" hidden="1">Resultaat!#REF!</definedName>
    <definedName name="solver_lhs2" localSheetId="18" hidden="1">'12) BI &amp; EI AD'!$H$72</definedName>
    <definedName name="solver_mip" localSheetId="17" hidden="1">2147483647</definedName>
    <definedName name="solver_mip" localSheetId="18" hidden="1">2147483647</definedName>
    <definedName name="solver_mip" localSheetId="19" hidden="1">2147483647</definedName>
    <definedName name="solver_mip" localSheetId="3" hidden="1">2147483647</definedName>
    <definedName name="solver_mni" localSheetId="17" hidden="1">30</definedName>
    <definedName name="solver_mni" localSheetId="18" hidden="1">30</definedName>
    <definedName name="solver_mni" localSheetId="19" hidden="1">30</definedName>
    <definedName name="solver_mni" localSheetId="3" hidden="1">30</definedName>
    <definedName name="solver_mrt" localSheetId="17" hidden="1">0.075</definedName>
    <definedName name="solver_mrt" localSheetId="18" hidden="1">0.075</definedName>
    <definedName name="solver_mrt" localSheetId="19" hidden="1">0.075</definedName>
    <definedName name="solver_mrt" localSheetId="3" hidden="1">0.075</definedName>
    <definedName name="solver_msl" localSheetId="17" hidden="1">2</definedName>
    <definedName name="solver_msl" localSheetId="18" hidden="1">2</definedName>
    <definedName name="solver_msl" localSheetId="19" hidden="1">2</definedName>
    <definedName name="solver_msl" localSheetId="3" hidden="1">2</definedName>
    <definedName name="solver_neg" localSheetId="17" hidden="1">1</definedName>
    <definedName name="solver_neg" localSheetId="18" hidden="1">1</definedName>
    <definedName name="solver_neg" localSheetId="19" hidden="1">1</definedName>
    <definedName name="solver_neg" localSheetId="3" hidden="1">1</definedName>
    <definedName name="solver_nod" localSheetId="17" hidden="1">2147483647</definedName>
    <definedName name="solver_nod" localSheetId="18" hidden="1">2147483647</definedName>
    <definedName name="solver_nod" localSheetId="19" hidden="1">2147483647</definedName>
    <definedName name="solver_nod" localSheetId="3" hidden="1">2147483647</definedName>
    <definedName name="solver_num" localSheetId="17" hidden="1">1</definedName>
    <definedName name="solver_num" localSheetId="18" hidden="1">1</definedName>
    <definedName name="solver_num" localSheetId="19" hidden="1">0</definedName>
    <definedName name="solver_num" localSheetId="3" hidden="1">1</definedName>
    <definedName name="solver_nwt" localSheetId="17" hidden="1">1</definedName>
    <definedName name="solver_nwt" localSheetId="18" hidden="1">1</definedName>
    <definedName name="solver_nwt" localSheetId="19" hidden="1">1</definedName>
    <definedName name="solver_nwt" localSheetId="3" hidden="1">1</definedName>
    <definedName name="solver_opt" localSheetId="17" hidden="1">'11) BI &amp; EI TD'!$H$89</definedName>
    <definedName name="solver_opt" localSheetId="18" hidden="1">'12) BI &amp; EI AD'!$H$85</definedName>
    <definedName name="solver_opt" localSheetId="3" hidden="1">Resultaat!#REF!</definedName>
    <definedName name="solver_pre" localSheetId="17" hidden="1">0.000001</definedName>
    <definedName name="solver_pre" localSheetId="18" hidden="1">0.000001</definedName>
    <definedName name="solver_pre" localSheetId="19" hidden="1">0.000001</definedName>
    <definedName name="solver_pre" localSheetId="3" hidden="1">0.000001</definedName>
    <definedName name="solver_rbv" localSheetId="17" hidden="1">2</definedName>
    <definedName name="solver_rbv" localSheetId="18" hidden="1">2</definedName>
    <definedName name="solver_rbv" localSheetId="19" hidden="1">2</definedName>
    <definedName name="solver_rbv" localSheetId="3" hidden="1">2</definedName>
    <definedName name="solver_rel1" localSheetId="17" hidden="1">2</definedName>
    <definedName name="solver_rel1" localSheetId="18" hidden="1">2</definedName>
    <definedName name="solver_rel1" localSheetId="19" hidden="1">2</definedName>
    <definedName name="solver_rel1" localSheetId="3" hidden="1">2</definedName>
    <definedName name="solver_rel2" localSheetId="18" hidden="1">2</definedName>
    <definedName name="solver_rhs1" localSheetId="17" hidden="1">'11) BI &amp; EI TD'!$H$89</definedName>
    <definedName name="solver_rhs1" localSheetId="18" hidden="1">'12) BI &amp; EI AD'!$H$85</definedName>
    <definedName name="solver_rhs1" localSheetId="19" hidden="1">'13) X-factor &amp; tariefruimte'!#REF!</definedName>
    <definedName name="solver_rhs1" localSheetId="3" hidden="1">Resultaat!#REF!</definedName>
    <definedName name="solver_rhs2" localSheetId="18" hidden="1">'12) BI &amp; EI AD'!$H$85</definedName>
    <definedName name="solver_rlx" localSheetId="17" hidden="1">2</definedName>
    <definedName name="solver_rlx" localSheetId="18" hidden="1">2</definedName>
    <definedName name="solver_rlx" localSheetId="19" hidden="1">2</definedName>
    <definedName name="solver_rlx" localSheetId="3" hidden="1">2</definedName>
    <definedName name="solver_rsd" localSheetId="17" hidden="1">0</definedName>
    <definedName name="solver_rsd" localSheetId="18" hidden="1">0</definedName>
    <definedName name="solver_rsd" localSheetId="19" hidden="1">0</definedName>
    <definedName name="solver_rsd" localSheetId="3" hidden="1">0</definedName>
    <definedName name="solver_scl" localSheetId="17" hidden="1">2</definedName>
    <definedName name="solver_scl" localSheetId="18" hidden="1">2</definedName>
    <definedName name="solver_scl" localSheetId="19" hidden="1">2</definedName>
    <definedName name="solver_scl" localSheetId="3" hidden="1">2</definedName>
    <definedName name="solver_sho" localSheetId="17" hidden="1">2</definedName>
    <definedName name="solver_sho" localSheetId="18" hidden="1">2</definedName>
    <definedName name="solver_sho" localSheetId="19" hidden="1">2</definedName>
    <definedName name="solver_sho" localSheetId="3" hidden="1">2</definedName>
    <definedName name="solver_ssz" localSheetId="17" hidden="1">100</definedName>
    <definedName name="solver_ssz" localSheetId="18" hidden="1">100</definedName>
    <definedName name="solver_ssz" localSheetId="19" hidden="1">100</definedName>
    <definedName name="solver_ssz" localSheetId="3" hidden="1">100</definedName>
    <definedName name="solver_tim" localSheetId="17" hidden="1">2147483647</definedName>
    <definedName name="solver_tim" localSheetId="18" hidden="1">2147483647</definedName>
    <definedName name="solver_tim" localSheetId="19" hidden="1">2147483647</definedName>
    <definedName name="solver_tim" localSheetId="3" hidden="1">2147483647</definedName>
    <definedName name="solver_tol" localSheetId="17" hidden="1">0.01</definedName>
    <definedName name="solver_tol" localSheetId="18" hidden="1">0.01</definedName>
    <definedName name="solver_tol" localSheetId="19" hidden="1">0.01</definedName>
    <definedName name="solver_tol" localSheetId="3" hidden="1">0.01</definedName>
    <definedName name="solver_typ" localSheetId="17" hidden="1">1</definedName>
    <definedName name="solver_typ" localSheetId="18" hidden="1">1</definedName>
    <definedName name="solver_typ" localSheetId="19" hidden="1">1</definedName>
    <definedName name="solver_typ" localSheetId="3" hidden="1">1</definedName>
    <definedName name="solver_val" localSheetId="17" hidden="1">0</definedName>
    <definedName name="solver_val" localSheetId="18" hidden="1">0</definedName>
    <definedName name="solver_val" localSheetId="19" hidden="1">0</definedName>
    <definedName name="solver_val" localSheetId="3" hidden="1">0</definedName>
    <definedName name="solver_ver" localSheetId="17" hidden="1">3</definedName>
    <definedName name="solver_ver" localSheetId="18" hidden="1">3</definedName>
    <definedName name="solver_ver" localSheetId="19" hidden="1">3</definedName>
    <definedName name="solver_ver" localSheetId="3" hidden="1">3</definedName>
    <definedName name="Spanning">[3]Lijsten!$C$2:$C$6</definedName>
    <definedName name="Status">[3]Lijsten!$E$2:$E$13</definedName>
    <definedName name="tarief_factor" localSheetId="19">#REF!</definedName>
    <definedName name="tarief_factor">#REF!</definedName>
    <definedName name="test" localSheetId="19">#REF!</definedName>
    <definedName name="test">#REF!</definedName>
    <definedName name="TEST0" localSheetId="19">#REF!</definedName>
    <definedName name="TEST0">#REF!</definedName>
    <definedName name="TESTHKEY" localSheetId="19">#REF!</definedName>
    <definedName name="TESTHKEY">#REF!</definedName>
    <definedName name="TESTKEYS" localSheetId="19">#REF!</definedName>
    <definedName name="TESTKEYS">#REF!</definedName>
    <definedName name="TESTVKEY" localSheetId="19">#REF!</definedName>
    <definedName name="TESTVKEY">#REF!</definedName>
    <definedName name="TIPROJ">'[2]PwC - TI-projecten'!$B$1:$E$303</definedName>
    <definedName name="TTTI">'[2]TenneT - Projecten TI'!$B$2:$G$221</definedName>
    <definedName name="VerbruikstarRC" localSheetId="19">[11]Tarievenvoorstel!#REF!</definedName>
    <definedName name="VerbruikstarRC">[11]Tarievenvoorstel!#REF!</definedName>
    <definedName name="wac" localSheetId="19">[10]Data!#REF!</definedName>
    <definedName name="wac">[10]Data!#REF!</definedName>
    <definedName name="wacc" localSheetId="19">[10]Data!#REF!</definedName>
    <definedName name="wacc">[10]Data!#REF!</definedName>
    <definedName name="wacc_exc_tax">[10]constants!$E$3</definedName>
    <definedName name="wacc_inc_tax">[10]constants!$E$4</definedName>
    <definedName name="WvD">'[2]TenneT - WvD'!$A$2:$A$274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7" i="24" l="1"/>
  <c r="M24" i="29" l="1"/>
  <c r="M74" i="29" s="1"/>
  <c r="N24" i="29"/>
  <c r="N74" i="29" s="1"/>
  <c r="O24" i="29"/>
  <c r="O74" i="29" s="1"/>
  <c r="P24" i="29"/>
  <c r="P74" i="29" s="1"/>
  <c r="Q24" i="29"/>
  <c r="Q74" i="29" s="1"/>
  <c r="R24" i="29"/>
  <c r="R74" i="29" s="1"/>
  <c r="M25" i="29"/>
  <c r="N25" i="29"/>
  <c r="O25" i="29"/>
  <c r="P25" i="29"/>
  <c r="Q25" i="29"/>
  <c r="R25" i="29"/>
  <c r="M26" i="29"/>
  <c r="N26" i="29"/>
  <c r="O26" i="29"/>
  <c r="P26" i="29"/>
  <c r="Q26" i="29"/>
  <c r="R26" i="29"/>
  <c r="M18" i="29"/>
  <c r="M73" i="29" s="1"/>
  <c r="N18" i="29"/>
  <c r="N73" i="29" s="1"/>
  <c r="O18" i="29"/>
  <c r="O73" i="29" s="1"/>
  <c r="P18" i="29"/>
  <c r="P73" i="29" s="1"/>
  <c r="Q18" i="29"/>
  <c r="Q73" i="29" s="1"/>
  <c r="R18" i="29"/>
  <c r="R73" i="29" s="1"/>
  <c r="M46" i="31"/>
  <c r="M45" i="31"/>
  <c r="H94" i="33"/>
  <c r="K61" i="24"/>
  <c r="K49" i="24"/>
  <c r="K24" i="29" l="1"/>
  <c r="K18" i="29"/>
  <c r="P25" i="31"/>
  <c r="P24" i="31"/>
  <c r="P17" i="31"/>
  <c r="P16" i="31"/>
  <c r="P20" i="29"/>
  <c r="P19" i="29"/>
  <c r="P14" i="29"/>
  <c r="P13" i="29"/>
  <c r="P12" i="29"/>
  <c r="P32" i="32"/>
  <c r="Q32" i="32"/>
  <c r="Q31" i="32"/>
  <c r="P31" i="32"/>
  <c r="O32" i="32"/>
  <c r="O31" i="32"/>
  <c r="Q30" i="32"/>
  <c r="Q29" i="32"/>
  <c r="P30" i="32"/>
  <c r="P29" i="32"/>
  <c r="O30" i="32"/>
  <c r="O29" i="32"/>
  <c r="M32" i="32"/>
  <c r="M31" i="32"/>
  <c r="N32" i="32"/>
  <c r="N31" i="32"/>
  <c r="N30" i="32"/>
  <c r="N29" i="32"/>
  <c r="N23" i="32"/>
  <c r="F35" i="34" l="1"/>
  <c r="F34" i="34"/>
  <c r="M11" i="28" l="1"/>
  <c r="H29" i="21"/>
  <c r="H28" i="33"/>
  <c r="R31" i="31" l="1"/>
  <c r="R92" i="31" s="1"/>
  <c r="Q31" i="31"/>
  <c r="Q92" i="31" s="1"/>
  <c r="P31" i="31"/>
  <c r="P92" i="31" s="1"/>
  <c r="O31" i="31"/>
  <c r="O92" i="31" s="1"/>
  <c r="N31" i="31"/>
  <c r="N92" i="31" s="1"/>
  <c r="M31" i="31"/>
  <c r="M92" i="31" s="1"/>
  <c r="R23" i="31"/>
  <c r="R91" i="31" s="1"/>
  <c r="Q23" i="31"/>
  <c r="Q91" i="31" s="1"/>
  <c r="P23" i="31"/>
  <c r="P91" i="31" s="1"/>
  <c r="O23" i="31"/>
  <c r="O91" i="31" s="1"/>
  <c r="N23" i="31"/>
  <c r="N91" i="31" s="1"/>
  <c r="M23" i="31"/>
  <c r="M91" i="31" s="1"/>
  <c r="K117" i="24"/>
  <c r="K105" i="24"/>
  <c r="Q44" i="27"/>
  <c r="Q43" i="27"/>
  <c r="Q42" i="27"/>
  <c r="Q41" i="27"/>
  <c r="P44" i="27"/>
  <c r="P43" i="27"/>
  <c r="P42" i="27"/>
  <c r="P41" i="27"/>
  <c r="O44" i="27"/>
  <c r="O43" i="27"/>
  <c r="O42" i="27"/>
  <c r="O41" i="27"/>
  <c r="K31" i="31" l="1"/>
  <c r="K23" i="31"/>
  <c r="N44" i="27"/>
  <c r="N43" i="27"/>
  <c r="N42" i="27"/>
  <c r="N41" i="27"/>
  <c r="M44" i="27"/>
  <c r="M43" i="27"/>
  <c r="H39" i="21" l="1"/>
  <c r="H40" i="21"/>
  <c r="H38" i="21"/>
  <c r="H37" i="21"/>
  <c r="H36" i="21"/>
  <c r="H15" i="21"/>
  <c r="H15" i="33"/>
  <c r="W12" i="37"/>
  <c r="R12" i="37"/>
  <c r="R19" i="37" s="1"/>
  <c r="H39" i="33"/>
  <c r="H38" i="33"/>
  <c r="H37" i="33"/>
  <c r="H36" i="33"/>
  <c r="H35" i="33"/>
  <c r="S19" i="37" l="1"/>
  <c r="T19" i="37"/>
  <c r="U19" i="37" s="1"/>
  <c r="V19" i="37" s="1"/>
  <c r="W19" i="37" s="1"/>
  <c r="T21" i="37"/>
  <c r="U21" i="37" s="1"/>
  <c r="H21" i="39"/>
  <c r="I21" i="39"/>
  <c r="J21" i="39"/>
  <c r="K21" i="39"/>
  <c r="L21" i="39"/>
  <c r="M21" i="39"/>
  <c r="O21" i="39"/>
  <c r="H22" i="39"/>
  <c r="I22" i="39"/>
  <c r="J22" i="39"/>
  <c r="K22" i="39"/>
  <c r="L22" i="39"/>
  <c r="M22" i="39"/>
  <c r="O22" i="39"/>
  <c r="H25" i="39"/>
  <c r="I25" i="39"/>
  <c r="J25" i="39"/>
  <c r="K25" i="39"/>
  <c r="L25" i="39"/>
  <c r="M25" i="39"/>
  <c r="O25" i="39"/>
  <c r="H26" i="39"/>
  <c r="I26" i="39"/>
  <c r="J26" i="39"/>
  <c r="K26" i="39"/>
  <c r="L26" i="39"/>
  <c r="M26" i="39"/>
  <c r="O26" i="39"/>
  <c r="H29" i="39"/>
  <c r="I29" i="39"/>
  <c r="J29" i="39"/>
  <c r="K29" i="39"/>
  <c r="L29" i="39"/>
  <c r="M29" i="39"/>
  <c r="O29" i="39"/>
  <c r="H30" i="39"/>
  <c r="I30" i="39"/>
  <c r="J30" i="39"/>
  <c r="K30" i="39"/>
  <c r="L30" i="39"/>
  <c r="M30" i="39"/>
  <c r="O30" i="39"/>
  <c r="F33" i="39"/>
  <c r="F34" i="39"/>
  <c r="F35" i="39"/>
  <c r="H38" i="39"/>
  <c r="I38" i="39"/>
  <c r="J38" i="39"/>
  <c r="K38" i="39"/>
  <c r="L38" i="39"/>
  <c r="M38" i="39"/>
  <c r="O38" i="39"/>
  <c r="H39" i="39"/>
  <c r="I39" i="39"/>
  <c r="J39" i="39"/>
  <c r="K39" i="39"/>
  <c r="L39" i="39"/>
  <c r="M39" i="39"/>
  <c r="O39" i="39"/>
  <c r="H42" i="39"/>
  <c r="I42" i="39"/>
  <c r="J42" i="39"/>
  <c r="K42" i="39"/>
  <c r="L42" i="39"/>
  <c r="M42" i="39"/>
  <c r="O42" i="39"/>
  <c r="F14" i="38"/>
  <c r="F15" i="38"/>
  <c r="F18" i="38"/>
  <c r="F19" i="38"/>
  <c r="F22" i="38"/>
  <c r="F23" i="38"/>
  <c r="F35" i="38"/>
  <c r="F38" i="38"/>
  <c r="F41" i="38"/>
  <c r="I40" i="39" l="1"/>
  <c r="O40" i="39"/>
  <c r="M40" i="39"/>
  <c r="L40" i="39"/>
  <c r="K40" i="39"/>
  <c r="H40" i="39"/>
  <c r="H16" i="21"/>
  <c r="H16" i="33"/>
  <c r="F21" i="39"/>
  <c r="F39" i="39"/>
  <c r="F38" i="39"/>
  <c r="F22" i="39"/>
  <c r="F25" i="39"/>
  <c r="F42" i="39"/>
  <c r="J40" i="39"/>
  <c r="F40" i="39" s="1"/>
  <c r="F26" i="39"/>
  <c r="F29" i="39"/>
  <c r="F47" i="39" s="1"/>
  <c r="F30" i="39"/>
  <c r="F26" i="34"/>
  <c r="F48" i="39" l="1"/>
  <c r="F49" i="39" s="1"/>
  <c r="F51" i="39" s="1"/>
  <c r="V21" i="37"/>
  <c r="H17" i="33"/>
  <c r="H17" i="21"/>
  <c r="N13" i="36"/>
  <c r="O13" i="36"/>
  <c r="P13" i="36"/>
  <c r="Q13" i="36"/>
  <c r="R13" i="36"/>
  <c r="N14" i="36"/>
  <c r="O14" i="36"/>
  <c r="P14" i="36"/>
  <c r="Q14" i="36"/>
  <c r="Q30" i="36" s="1"/>
  <c r="R14" i="36"/>
  <c r="R30" i="36" s="1"/>
  <c r="M14" i="36"/>
  <c r="M13" i="36"/>
  <c r="P30" i="36" l="1"/>
  <c r="F52" i="39"/>
  <c r="H18" i="33"/>
  <c r="H18" i="21"/>
  <c r="W21" i="37"/>
  <c r="F54" i="39"/>
  <c r="H67" i="39" s="1"/>
  <c r="N30" i="36"/>
  <c r="M30" i="36"/>
  <c r="O30" i="36"/>
  <c r="I67" i="39" l="1"/>
  <c r="I69" i="39" s="1"/>
  <c r="K67" i="39"/>
  <c r="K69" i="39" s="1"/>
  <c r="O67" i="39"/>
  <c r="O69" i="39" s="1"/>
  <c r="M67" i="39"/>
  <c r="M69" i="39" s="1"/>
  <c r="H19" i="21"/>
  <c r="H19" i="33"/>
  <c r="K30" i="36"/>
  <c r="R31" i="36" s="1"/>
  <c r="P29" i="34" s="1"/>
  <c r="L67" i="39"/>
  <c r="L69" i="39" s="1"/>
  <c r="J67" i="39"/>
  <c r="J69" i="39" s="1"/>
  <c r="H69" i="39"/>
  <c r="F25" i="34"/>
  <c r="N31" i="36" l="1"/>
  <c r="L29" i="34" s="1"/>
  <c r="M31" i="36"/>
  <c r="K29" i="34" s="1"/>
  <c r="Q31" i="36"/>
  <c r="O29" i="34" s="1"/>
  <c r="O31" i="36"/>
  <c r="M29" i="34" s="1"/>
  <c r="P31" i="36"/>
  <c r="N29" i="34" s="1"/>
  <c r="F67" i="39"/>
  <c r="F69" i="39"/>
  <c r="N15" i="37"/>
  <c r="N28" i="37" s="1"/>
  <c r="O15" i="37"/>
  <c r="O29" i="37" s="1"/>
  <c r="P15" i="37"/>
  <c r="Q15" i="37"/>
  <c r="R15" i="37"/>
  <c r="R32" i="37" s="1"/>
  <c r="M15" i="37"/>
  <c r="M27" i="37" s="1"/>
  <c r="K31" i="36" l="1"/>
  <c r="I29" i="34" s="1"/>
  <c r="R15" i="27"/>
  <c r="F18" i="39"/>
  <c r="H42" i="31"/>
  <c r="R15" i="32"/>
  <c r="H33" i="29"/>
  <c r="P29" i="37"/>
  <c r="Q29" i="37" s="1"/>
  <c r="R29" i="37" s="1"/>
  <c r="N27" i="37"/>
  <c r="O27" i="37" s="1"/>
  <c r="Q31" i="37"/>
  <c r="R31" i="37" s="1"/>
  <c r="F17" i="39" s="1"/>
  <c r="O28" i="37"/>
  <c r="P28" i="37" s="1"/>
  <c r="Q28" i="37" s="1"/>
  <c r="R28" i="37" s="1"/>
  <c r="P30" i="37"/>
  <c r="Q30" i="37" s="1"/>
  <c r="R30" i="37" s="1"/>
  <c r="F16" i="39" s="1"/>
  <c r="N26" i="32"/>
  <c r="M26" i="32"/>
  <c r="N25" i="32"/>
  <c r="M25" i="32"/>
  <c r="N24" i="32"/>
  <c r="N38" i="27"/>
  <c r="M38" i="27"/>
  <c r="N37" i="27"/>
  <c r="M37" i="27"/>
  <c r="N36" i="27"/>
  <c r="N35" i="27"/>
  <c r="P27" i="37" l="1"/>
  <c r="Q27" i="37" s="1"/>
  <c r="R27" i="37" s="1"/>
  <c r="N15" i="27"/>
  <c r="N15" i="32"/>
  <c r="P15" i="32"/>
  <c r="P15" i="27"/>
  <c r="H40" i="31"/>
  <c r="H31" i="29"/>
  <c r="O15" i="32"/>
  <c r="O15" i="27"/>
  <c r="H41" i="31"/>
  <c r="H32" i="29"/>
  <c r="Q15" i="27"/>
  <c r="Q15" i="32"/>
  <c r="M15" i="27" l="1"/>
  <c r="M15" i="32"/>
  <c r="N45" i="31"/>
  <c r="O45" i="31"/>
  <c r="P45" i="31"/>
  <c r="Q45" i="31"/>
  <c r="R45" i="31"/>
  <c r="K45" i="31" l="1"/>
  <c r="M15" i="31" l="1"/>
  <c r="N15" i="31"/>
  <c r="O15" i="31"/>
  <c r="P15" i="31"/>
  <c r="Q15" i="31"/>
  <c r="R15" i="31"/>
  <c r="H18" i="27"/>
  <c r="H59" i="27" s="1"/>
  <c r="H19" i="27"/>
  <c r="H60" i="27" s="1"/>
  <c r="H20" i="27"/>
  <c r="H61" i="27" s="1"/>
  <c r="H21" i="27"/>
  <c r="H62" i="27" s="1"/>
  <c r="H22" i="27"/>
  <c r="H63" i="27" s="1"/>
  <c r="H23" i="27"/>
  <c r="H64" i="27" s="1"/>
  <c r="H24" i="27"/>
  <c r="H65" i="27" s="1"/>
  <c r="H25" i="27"/>
  <c r="H66" i="27" s="1"/>
  <c r="H26" i="27"/>
  <c r="H67" i="27" s="1"/>
  <c r="H27" i="27"/>
  <c r="H68" i="27" s="1"/>
  <c r="N47" i="27"/>
  <c r="M47" i="27"/>
  <c r="O47" i="27"/>
  <c r="P47" i="27"/>
  <c r="Q47" i="27"/>
  <c r="R47" i="27"/>
  <c r="M22" i="31"/>
  <c r="N22" i="31"/>
  <c r="O22" i="31"/>
  <c r="P22" i="31"/>
  <c r="Q22" i="31"/>
  <c r="R22" i="31"/>
  <c r="M30" i="31"/>
  <c r="N30" i="31"/>
  <c r="O30" i="31"/>
  <c r="P30" i="31"/>
  <c r="Q30" i="31"/>
  <c r="R30" i="31"/>
  <c r="M17" i="31"/>
  <c r="N17" i="31"/>
  <c r="O17" i="31"/>
  <c r="Q17" i="31"/>
  <c r="R17" i="31"/>
  <c r="M25" i="31"/>
  <c r="N25" i="31"/>
  <c r="O25" i="31"/>
  <c r="Q25" i="31"/>
  <c r="R25" i="31"/>
  <c r="M33" i="31"/>
  <c r="N33" i="31"/>
  <c r="O33" i="31"/>
  <c r="P33" i="31"/>
  <c r="Q33" i="31"/>
  <c r="R33" i="31"/>
  <c r="M19" i="31"/>
  <c r="N19" i="31"/>
  <c r="O19" i="31"/>
  <c r="P19" i="31"/>
  <c r="Q19" i="31"/>
  <c r="R19" i="31"/>
  <c r="M27" i="31"/>
  <c r="N27" i="31"/>
  <c r="O27" i="31"/>
  <c r="P27" i="31"/>
  <c r="Q27" i="31"/>
  <c r="R27" i="31"/>
  <c r="M35" i="31"/>
  <c r="N35" i="31"/>
  <c r="O35" i="31"/>
  <c r="P35" i="31"/>
  <c r="Q35" i="31"/>
  <c r="R35" i="31"/>
  <c r="M16" i="31"/>
  <c r="N16" i="31"/>
  <c r="O16" i="31"/>
  <c r="Q16" i="31"/>
  <c r="R16" i="31"/>
  <c r="M24" i="31"/>
  <c r="N24" i="31"/>
  <c r="O24" i="31"/>
  <c r="Q24" i="31"/>
  <c r="R24" i="31"/>
  <c r="M32" i="31"/>
  <c r="N32" i="31"/>
  <c r="O32" i="31"/>
  <c r="P32" i="31"/>
  <c r="Q32" i="31"/>
  <c r="R32" i="31"/>
  <c r="N46" i="31"/>
  <c r="O46" i="31"/>
  <c r="P46" i="31"/>
  <c r="Q46" i="31"/>
  <c r="R46" i="31"/>
  <c r="B77" i="35"/>
  <c r="B66" i="35"/>
  <c r="B67" i="35"/>
  <c r="B71" i="35"/>
  <c r="B65" i="35"/>
  <c r="B72" i="35"/>
  <c r="H25" i="36"/>
  <c r="M22" i="21"/>
  <c r="N22" i="21"/>
  <c r="O22" i="21"/>
  <c r="P22" i="21"/>
  <c r="Q22" i="21"/>
  <c r="M23" i="21"/>
  <c r="N23" i="21"/>
  <c r="O23" i="21"/>
  <c r="P23" i="21"/>
  <c r="Q23" i="21"/>
  <c r="L23" i="21"/>
  <c r="L22" i="21"/>
  <c r="P35" i="32"/>
  <c r="M35" i="32"/>
  <c r="N35" i="32"/>
  <c r="R35" i="32"/>
  <c r="Q35" i="32"/>
  <c r="O35" i="32"/>
  <c r="K29" i="25"/>
  <c r="J23" i="21" s="1"/>
  <c r="K28" i="25"/>
  <c r="K31" i="24"/>
  <c r="O31" i="27" s="1"/>
  <c r="K23" i="24"/>
  <c r="N30" i="27" s="1"/>
  <c r="K30" i="24"/>
  <c r="O30" i="27" s="1"/>
  <c r="O51" i="27" s="1"/>
  <c r="Q22" i="33"/>
  <c r="P22" i="33"/>
  <c r="O22" i="33"/>
  <c r="N22" i="33"/>
  <c r="M22" i="33"/>
  <c r="L22" i="33"/>
  <c r="K122" i="24"/>
  <c r="R19" i="32" s="1"/>
  <c r="K111" i="24"/>
  <c r="Q20" i="32" s="1"/>
  <c r="K110" i="24"/>
  <c r="Q19" i="32" s="1"/>
  <c r="K99" i="24"/>
  <c r="P20" i="32" s="1"/>
  <c r="K98" i="24"/>
  <c r="P19" i="32" s="1"/>
  <c r="K88" i="24"/>
  <c r="O20" i="32" s="1"/>
  <c r="K87" i="24"/>
  <c r="O19" i="32" s="1"/>
  <c r="K81" i="24"/>
  <c r="N20" i="32" s="1"/>
  <c r="K80" i="24"/>
  <c r="N19" i="32" s="1"/>
  <c r="K74" i="24"/>
  <c r="M20" i="32" s="1"/>
  <c r="K55" i="24"/>
  <c r="Q32" i="27" s="1"/>
  <c r="K43" i="24"/>
  <c r="P32" i="27" s="1"/>
  <c r="K32" i="24"/>
  <c r="O32" i="27" s="1"/>
  <c r="K25" i="24"/>
  <c r="N32" i="27" s="1"/>
  <c r="N12" i="28"/>
  <c r="O12" i="28"/>
  <c r="P12" i="28"/>
  <c r="Q12" i="28"/>
  <c r="R12" i="28"/>
  <c r="M12" i="28"/>
  <c r="N11" i="28"/>
  <c r="O11" i="28"/>
  <c r="P11" i="28"/>
  <c r="Q11" i="28"/>
  <c r="R11" i="28"/>
  <c r="K128" i="24"/>
  <c r="K127" i="24"/>
  <c r="K126" i="24"/>
  <c r="N35" i="29"/>
  <c r="O35" i="29"/>
  <c r="P35" i="29"/>
  <c r="Q35" i="29"/>
  <c r="R35" i="29"/>
  <c r="M35" i="29"/>
  <c r="N23" i="29"/>
  <c r="O23" i="29"/>
  <c r="P23" i="29"/>
  <c r="Q23" i="29"/>
  <c r="R23" i="29"/>
  <c r="M23" i="29"/>
  <c r="R20" i="29"/>
  <c r="Q20" i="29"/>
  <c r="O20" i="29"/>
  <c r="N20" i="29"/>
  <c r="M20" i="29"/>
  <c r="R19" i="29"/>
  <c r="Q19" i="29"/>
  <c r="O19" i="29"/>
  <c r="N19" i="29"/>
  <c r="M19" i="29"/>
  <c r="N17" i="29"/>
  <c r="O17" i="29"/>
  <c r="P17" i="29"/>
  <c r="Q17" i="29"/>
  <c r="R17" i="29"/>
  <c r="M17" i="29"/>
  <c r="R14" i="29"/>
  <c r="Q14" i="29"/>
  <c r="O14" i="29"/>
  <c r="N14" i="29"/>
  <c r="M14" i="29"/>
  <c r="R13" i="29"/>
  <c r="Q13" i="29"/>
  <c r="O13" i="29"/>
  <c r="N13" i="29"/>
  <c r="M13" i="29"/>
  <c r="N12" i="29"/>
  <c r="O12" i="29"/>
  <c r="Q12" i="29"/>
  <c r="R12" i="29"/>
  <c r="M12" i="29"/>
  <c r="K40" i="25"/>
  <c r="K23" i="25"/>
  <c r="K12" i="25"/>
  <c r="K119" i="24"/>
  <c r="K118" i="24"/>
  <c r="K116" i="24"/>
  <c r="R18" i="32" s="1"/>
  <c r="K107" i="24"/>
  <c r="K106" i="24"/>
  <c r="K104" i="24"/>
  <c r="Q18" i="32" s="1"/>
  <c r="K95" i="24"/>
  <c r="K94" i="24"/>
  <c r="K93" i="24"/>
  <c r="P18" i="32" s="1"/>
  <c r="K86" i="24"/>
  <c r="O18" i="32" s="1"/>
  <c r="K79" i="24"/>
  <c r="N18" i="32" s="1"/>
  <c r="K73" i="24"/>
  <c r="M18" i="32" s="1"/>
  <c r="M40" i="32" s="1"/>
  <c r="K66" i="24"/>
  <c r="R31" i="27" s="1"/>
  <c r="K63" i="24"/>
  <c r="K62" i="24"/>
  <c r="K60" i="24"/>
  <c r="R30" i="27" s="1"/>
  <c r="K54" i="24"/>
  <c r="Q31" i="27" s="1"/>
  <c r="K51" i="24"/>
  <c r="K50" i="24"/>
  <c r="K48" i="24"/>
  <c r="Q30" i="27" s="1"/>
  <c r="K42" i="24"/>
  <c r="P31" i="27" s="1"/>
  <c r="K39" i="24"/>
  <c r="K38" i="24"/>
  <c r="P30" i="27"/>
  <c r="K24" i="24"/>
  <c r="N31" i="27" s="1"/>
  <c r="K18" i="24"/>
  <c r="M32" i="27" s="1"/>
  <c r="K17" i="24"/>
  <c r="M30" i="27" s="1"/>
  <c r="R39" i="32" l="1"/>
  <c r="P39" i="32"/>
  <c r="P40" i="32"/>
  <c r="N40" i="32"/>
  <c r="N39" i="32"/>
  <c r="O40" i="32"/>
  <c r="O39" i="32"/>
  <c r="Q40" i="32"/>
  <c r="Q39" i="32"/>
  <c r="Q51" i="27"/>
  <c r="P51" i="27"/>
  <c r="R51" i="27"/>
  <c r="N51" i="27"/>
  <c r="O52" i="27"/>
  <c r="N52" i="27"/>
  <c r="P52" i="27"/>
  <c r="Q52" i="27"/>
  <c r="M52" i="27"/>
  <c r="J22" i="21"/>
  <c r="K14" i="36"/>
  <c r="K13" i="36"/>
  <c r="J22" i="33"/>
  <c r="H95" i="33" s="1"/>
  <c r="R20" i="28"/>
  <c r="N20" i="28"/>
  <c r="Q20" i="28"/>
  <c r="M20" i="28"/>
  <c r="O20" i="28"/>
  <c r="P20" i="28"/>
  <c r="K15" i="31"/>
  <c r="K12" i="28"/>
  <c r="K11" i="28"/>
  <c r="K46" i="31"/>
  <c r="K30" i="31"/>
  <c r="K22" i="31"/>
  <c r="K35" i="29"/>
  <c r="K25" i="29"/>
  <c r="K27" i="31"/>
  <c r="K13" i="29"/>
  <c r="K16" i="31"/>
  <c r="K24" i="31"/>
  <c r="K14" i="29"/>
  <c r="K19" i="29"/>
  <c r="K23" i="29"/>
  <c r="K26" i="29"/>
  <c r="K17" i="31"/>
  <c r="K35" i="31"/>
  <c r="K19" i="31"/>
  <c r="K25" i="31"/>
  <c r="K20" i="29"/>
  <c r="K12" i="29"/>
  <c r="K33" i="31"/>
  <c r="K32" i="31"/>
  <c r="K17" i="29"/>
  <c r="H30" i="21"/>
  <c r="H29" i="33"/>
  <c r="R42" i="32" l="1"/>
  <c r="H51" i="32" s="1"/>
  <c r="H90" i="21"/>
  <c r="L92" i="21" s="1"/>
  <c r="K20" i="28"/>
  <c r="N42" i="32"/>
  <c r="H47" i="32" s="1"/>
  <c r="R54" i="27"/>
  <c r="H73" i="27" s="1"/>
  <c r="N54" i="27"/>
  <c r="H69" i="27" s="1"/>
  <c r="M92" i="21" l="1"/>
  <c r="N21" i="36" s="1"/>
  <c r="N92" i="21"/>
  <c r="M16" i="34" s="1"/>
  <c r="P92" i="21"/>
  <c r="O16" i="34" s="1"/>
  <c r="Q92" i="21"/>
  <c r="P16" i="34" s="1"/>
  <c r="M21" i="36"/>
  <c r="K16" i="34"/>
  <c r="O92" i="21"/>
  <c r="P21" i="36" s="1"/>
  <c r="P54" i="27"/>
  <c r="H71" i="27" s="1"/>
  <c r="Q54" i="27"/>
  <c r="H72" i="27" s="1"/>
  <c r="O54" i="27"/>
  <c r="H70" i="27" s="1"/>
  <c r="P42" i="32"/>
  <c r="H49" i="32" s="1"/>
  <c r="O42" i="32"/>
  <c r="H48" i="32" s="1"/>
  <c r="Q42" i="32"/>
  <c r="H50" i="32" s="1"/>
  <c r="H53" i="32" l="1"/>
  <c r="H38" i="31" s="1"/>
  <c r="L16" i="34"/>
  <c r="O21" i="36"/>
  <c r="Q21" i="36"/>
  <c r="R21" i="36"/>
  <c r="N16" i="34"/>
  <c r="J92" i="21"/>
  <c r="I16" i="34" s="1"/>
  <c r="H75" i="27"/>
  <c r="Q93" i="31" l="1"/>
  <c r="P43" i="21" s="1"/>
  <c r="R93" i="31"/>
  <c r="Q43" i="21" s="1"/>
  <c r="P93" i="31"/>
  <c r="O43" i="21" s="1"/>
  <c r="H58" i="31"/>
  <c r="K21" i="36"/>
  <c r="F33" i="34"/>
  <c r="F13" i="39"/>
  <c r="F58" i="39" s="1"/>
  <c r="F32" i="34"/>
  <c r="H29" i="29"/>
  <c r="K92" i="31" l="1"/>
  <c r="O93" i="31"/>
  <c r="N43" i="21" s="1"/>
  <c r="N93" i="31"/>
  <c r="M43" i="21" s="1"/>
  <c r="K91" i="31"/>
  <c r="M93" i="31"/>
  <c r="L43" i="21" s="1"/>
  <c r="H41" i="29"/>
  <c r="H51" i="29"/>
  <c r="H45" i="29"/>
  <c r="H40" i="29"/>
  <c r="H50" i="29"/>
  <c r="H47" i="29"/>
  <c r="H42" i="29"/>
  <c r="H52" i="29"/>
  <c r="H46" i="29"/>
  <c r="F60" i="39"/>
  <c r="F59" i="39"/>
  <c r="H60" i="31"/>
  <c r="H62" i="31"/>
  <c r="H69" i="31"/>
  <c r="H65" i="31"/>
  <c r="H51" i="31"/>
  <c r="H53" i="31"/>
  <c r="H66" i="31"/>
  <c r="H52" i="31"/>
  <c r="H55" i="31"/>
  <c r="H67" i="31"/>
  <c r="H59" i="31"/>
  <c r="K93" i="31" l="1"/>
  <c r="J43" i="21" s="1"/>
  <c r="Q75" i="29"/>
  <c r="P45" i="33" s="1"/>
  <c r="K74" i="29"/>
  <c r="P75" i="29"/>
  <c r="O45" i="33" s="1"/>
  <c r="O75" i="29"/>
  <c r="N45" i="33" s="1"/>
  <c r="N75" i="29"/>
  <c r="M45" i="33" s="1"/>
  <c r="H74" i="31"/>
  <c r="H77" i="31"/>
  <c r="H75" i="31"/>
  <c r="F62" i="39"/>
  <c r="H71" i="39" s="1"/>
  <c r="H58" i="29"/>
  <c r="H57" i="29"/>
  <c r="H76" i="31"/>
  <c r="H59" i="29"/>
  <c r="M16" i="28" l="1"/>
  <c r="L42" i="33"/>
  <c r="L98" i="33" s="1"/>
  <c r="K73" i="29"/>
  <c r="K75" i="29" s="1"/>
  <c r="J45" i="33" s="1"/>
  <c r="M75" i="29"/>
  <c r="L45" i="33" s="1"/>
  <c r="R75" i="29"/>
  <c r="Q45" i="33" s="1"/>
  <c r="H83" i="31"/>
  <c r="H85" i="31" s="1"/>
  <c r="M87" i="31" s="1"/>
  <c r="H80" i="31"/>
  <c r="H33" i="21" s="1"/>
  <c r="H49" i="21" s="1"/>
  <c r="H65" i="29"/>
  <c r="M71" i="39"/>
  <c r="K71" i="39"/>
  <c r="L71" i="39"/>
  <c r="I71" i="39"/>
  <c r="J71" i="39"/>
  <c r="H62" i="29"/>
  <c r="H32" i="33" s="1"/>
  <c r="H53" i="33" l="1"/>
  <c r="P87" i="31"/>
  <c r="P15" i="28" s="1"/>
  <c r="P31" i="28" s="1"/>
  <c r="O26" i="21" s="1"/>
  <c r="O47" i="21" s="1"/>
  <c r="N42" i="33"/>
  <c r="N98" i="33" s="1"/>
  <c r="O16" i="28"/>
  <c r="Q42" i="33"/>
  <c r="Q98" i="33" s="1"/>
  <c r="R16" i="28"/>
  <c r="M42" i="33"/>
  <c r="M98" i="33" s="1"/>
  <c r="N16" i="28"/>
  <c r="P42" i="33"/>
  <c r="P98" i="33" s="1"/>
  <c r="Q16" i="28"/>
  <c r="H67" i="29"/>
  <c r="M69" i="29" s="1"/>
  <c r="O42" i="33"/>
  <c r="O98" i="33" s="1"/>
  <c r="P16" i="28"/>
  <c r="F71" i="39"/>
  <c r="J42" i="33" s="1"/>
  <c r="H50" i="21"/>
  <c r="L52" i="21" s="1"/>
  <c r="M15" i="28"/>
  <c r="M31" i="28" s="1"/>
  <c r="R87" i="31"/>
  <c r="R15" i="28" s="1"/>
  <c r="R31" i="28" s="1"/>
  <c r="Q26" i="21" s="1"/>
  <c r="Q47" i="21" s="1"/>
  <c r="Q87" i="31"/>
  <c r="Q15" i="28" s="1"/>
  <c r="Q31" i="28" s="1"/>
  <c r="P26" i="21" s="1"/>
  <c r="P47" i="21" s="1"/>
  <c r="O87" i="31"/>
  <c r="O15" i="28" s="1"/>
  <c r="O31" i="28" s="1"/>
  <c r="N26" i="21" s="1"/>
  <c r="N47" i="21" s="1"/>
  <c r="N87" i="31"/>
  <c r="N15" i="28" s="1"/>
  <c r="N31" i="28" s="1"/>
  <c r="M26" i="21" s="1"/>
  <c r="M47" i="21" s="1"/>
  <c r="P69" i="29" l="1"/>
  <c r="P14" i="28" s="1"/>
  <c r="P30" i="28" s="1"/>
  <c r="O25" i="33" s="1"/>
  <c r="O69" i="29"/>
  <c r="O14" i="28" s="1"/>
  <c r="O21" i="28" s="1"/>
  <c r="O22" i="28" s="1"/>
  <c r="R69" i="29"/>
  <c r="R14" i="28" s="1"/>
  <c r="R30" i="28" s="1"/>
  <c r="Q25" i="33" s="1"/>
  <c r="Q69" i="29"/>
  <c r="Q14" i="28" s="1"/>
  <c r="Q21" i="28" s="1"/>
  <c r="Q22" i="28" s="1"/>
  <c r="K16" i="28"/>
  <c r="P21" i="28"/>
  <c r="P22" i="28" s="1"/>
  <c r="N69" i="29"/>
  <c r="N14" i="28" s="1"/>
  <c r="H54" i="33"/>
  <c r="L12" i="34"/>
  <c r="N17" i="36"/>
  <c r="O17" i="36"/>
  <c r="M12" i="34"/>
  <c r="R17" i="36"/>
  <c r="P12" i="34"/>
  <c r="P17" i="36"/>
  <c r="N12" i="34"/>
  <c r="Q17" i="36"/>
  <c r="O12" i="34"/>
  <c r="O52" i="21"/>
  <c r="M52" i="21"/>
  <c r="N52" i="21"/>
  <c r="P52" i="21"/>
  <c r="Q52" i="21"/>
  <c r="K15" i="28"/>
  <c r="K87" i="31"/>
  <c r="M14" i="28"/>
  <c r="M21" i="28" s="1"/>
  <c r="K31" i="28"/>
  <c r="J26" i="21" s="1"/>
  <c r="L26" i="21"/>
  <c r="L47" i="21" l="1"/>
  <c r="J47" i="21" s="1"/>
  <c r="P36" i="36"/>
  <c r="O36" i="36"/>
  <c r="N36" i="36"/>
  <c r="Q36" i="36"/>
  <c r="R36" i="36"/>
  <c r="O30" i="28"/>
  <c r="N25" i="33" s="1"/>
  <c r="R21" i="28"/>
  <c r="R22" i="28" s="1"/>
  <c r="K69" i="29"/>
  <c r="Q30" i="28"/>
  <c r="P25" i="33" s="1"/>
  <c r="N21" i="28"/>
  <c r="N22" i="28" s="1"/>
  <c r="N30" i="28"/>
  <c r="M25" i="33" s="1"/>
  <c r="M56" i="33"/>
  <c r="L56" i="33"/>
  <c r="O56" i="33"/>
  <c r="J56" i="33"/>
  <c r="Q56" i="33"/>
  <c r="N56" i="33"/>
  <c r="P56" i="33"/>
  <c r="J52" i="21"/>
  <c r="H76" i="21" s="1"/>
  <c r="K14" i="28"/>
  <c r="M30" i="28"/>
  <c r="H77" i="21" l="1"/>
  <c r="H79" i="21" s="1"/>
  <c r="M17" i="36"/>
  <c r="K12" i="34"/>
  <c r="J98" i="33"/>
  <c r="H54" i="21"/>
  <c r="H57" i="21" s="1"/>
  <c r="H58" i="21" s="1"/>
  <c r="M22" i="28"/>
  <c r="K22" i="28" s="1"/>
  <c r="H24" i="28" s="1"/>
  <c r="K30" i="28"/>
  <c r="J25" i="33" s="1"/>
  <c r="L25" i="33"/>
  <c r="K21" i="28"/>
  <c r="H49" i="33" l="1"/>
  <c r="H58" i="33" s="1"/>
  <c r="M36" i="36"/>
  <c r="K36" i="36" s="1"/>
  <c r="H66" i="21"/>
  <c r="H95" i="21"/>
  <c r="L97" i="21" s="1"/>
  <c r="K17" i="34" s="1"/>
  <c r="H80" i="21"/>
  <c r="H81" i="21" s="1"/>
  <c r="H82" i="21" s="1"/>
  <c r="H83" i="21" s="1"/>
  <c r="K17" i="36"/>
  <c r="I12" i="34"/>
  <c r="H61" i="33" l="1"/>
  <c r="M97" i="21"/>
  <c r="N22" i="36" s="1"/>
  <c r="H85" i="21"/>
  <c r="O97" i="21"/>
  <c r="N17" i="34" s="1"/>
  <c r="N97" i="21"/>
  <c r="M17" i="34" s="1"/>
  <c r="H59" i="21"/>
  <c r="H67" i="21"/>
  <c r="Q97" i="21"/>
  <c r="P17" i="34" s="1"/>
  <c r="M22" i="36"/>
  <c r="P97" i="21"/>
  <c r="Q22" i="36" s="1"/>
  <c r="H70" i="33" l="1"/>
  <c r="H62" i="33"/>
  <c r="H71" i="33" s="1"/>
  <c r="L17" i="34"/>
  <c r="P22" i="36"/>
  <c r="O22" i="36"/>
  <c r="H60" i="21"/>
  <c r="H68" i="21"/>
  <c r="J97" i="21"/>
  <c r="I17" i="34" s="1"/>
  <c r="O17" i="34"/>
  <c r="R22" i="36"/>
  <c r="H63" i="33" l="1"/>
  <c r="H72" i="33" s="1"/>
  <c r="H61" i="21"/>
  <c r="H70" i="21" s="1"/>
  <c r="H69" i="21"/>
  <c r="K22" i="36"/>
  <c r="H64" i="33" l="1"/>
  <c r="H65" i="33" s="1"/>
  <c r="H74" i="33" s="1"/>
  <c r="H72" i="21"/>
  <c r="H80" i="33" l="1"/>
  <c r="H101" i="33" s="1"/>
  <c r="H102" i="33" s="1"/>
  <c r="H73" i="33"/>
  <c r="H76" i="33" s="1"/>
  <c r="Q105" i="33" l="1"/>
  <c r="M105" i="33"/>
  <c r="L105" i="33"/>
  <c r="N105" i="33"/>
  <c r="O105" i="33"/>
  <c r="P105" i="33"/>
  <c r="H81" i="33"/>
  <c r="H83" i="33" s="1"/>
  <c r="H84" i="33" s="1"/>
  <c r="H85" i="33" s="1"/>
  <c r="H86" i="33" s="1"/>
  <c r="H87" i="33" s="1"/>
  <c r="H89" i="33" l="1"/>
  <c r="N18" i="36"/>
  <c r="N37" i="36" s="1"/>
  <c r="N40" i="36" s="1"/>
  <c r="N41" i="36" s="1"/>
  <c r="N45" i="36" s="1"/>
  <c r="N46" i="36" s="1"/>
  <c r="N47" i="36" s="1"/>
  <c r="N48" i="36" s="1"/>
  <c r="N49" i="36" s="1"/>
  <c r="P13" i="34"/>
  <c r="R18" i="36"/>
  <c r="R37" i="36" s="1"/>
  <c r="R40" i="36" s="1"/>
  <c r="R41" i="36" s="1"/>
  <c r="R45" i="36" s="1"/>
  <c r="R46" i="36" s="1"/>
  <c r="R47" i="36" s="1"/>
  <c r="R48" i="36" s="1"/>
  <c r="R49" i="36" s="1"/>
  <c r="M13" i="34"/>
  <c r="O18" i="36"/>
  <c r="O37" i="36" s="1"/>
  <c r="O40" i="36" s="1"/>
  <c r="O41" i="36" s="1"/>
  <c r="O45" i="36" s="1"/>
  <c r="O46" i="36" s="1"/>
  <c r="O47" i="36" s="1"/>
  <c r="O48" i="36" s="1"/>
  <c r="O49" i="36" s="1"/>
  <c r="L13" i="34"/>
  <c r="N13" i="34"/>
  <c r="P18" i="36"/>
  <c r="P37" i="36" s="1"/>
  <c r="P40" i="36" s="1"/>
  <c r="P41" i="36" s="1"/>
  <c r="P45" i="36" s="1"/>
  <c r="P46" i="36" s="1"/>
  <c r="P47" i="36" s="1"/>
  <c r="P48" i="36" s="1"/>
  <c r="P49" i="36" s="1"/>
  <c r="Q18" i="36"/>
  <c r="Q37" i="36" s="1"/>
  <c r="Q40" i="36" s="1"/>
  <c r="Q41" i="36" s="1"/>
  <c r="Q45" i="36" s="1"/>
  <c r="Q46" i="36" s="1"/>
  <c r="Q47" i="36" s="1"/>
  <c r="Q48" i="36" s="1"/>
  <c r="Q49" i="36" s="1"/>
  <c r="O13" i="34"/>
  <c r="M20" i="34" l="1"/>
  <c r="O20" i="34"/>
  <c r="N20" i="34"/>
  <c r="P20" i="34"/>
  <c r="M18" i="36"/>
  <c r="M37" i="36" s="1"/>
  <c r="J105" i="33"/>
  <c r="K13" i="34"/>
  <c r="L20" i="34"/>
  <c r="P40" i="34" l="1"/>
  <c r="N40" i="34"/>
  <c r="M40" i="34"/>
  <c r="L40" i="34"/>
  <c r="I13" i="34"/>
  <c r="K18" i="36"/>
  <c r="M40" i="36"/>
  <c r="M41" i="36" s="1"/>
  <c r="M45" i="36" s="1"/>
  <c r="M46" i="36" s="1"/>
  <c r="M47" i="36" s="1"/>
  <c r="M48" i="36" s="1"/>
  <c r="M49" i="36" s="1"/>
  <c r="K37" i="36"/>
  <c r="O40" i="34"/>
  <c r="L41" i="34" l="1"/>
  <c r="N41" i="34"/>
  <c r="O41" i="34"/>
  <c r="K20" i="34"/>
  <c r="M41" i="34"/>
  <c r="P41" i="34"/>
  <c r="K40" i="34" l="1"/>
  <c r="I40" i="34" s="1"/>
  <c r="K45" i="36"/>
  <c r="N42" i="34"/>
  <c r="P42" i="34"/>
  <c r="M42" i="34"/>
  <c r="O42" i="34"/>
  <c r="L42" i="34"/>
  <c r="M44" i="34" l="1"/>
  <c r="M43" i="34"/>
  <c r="L44" i="34"/>
  <c r="L43" i="34"/>
  <c r="P44" i="34"/>
  <c r="P43" i="34"/>
  <c r="K41" i="34"/>
  <c r="I41" i="34" s="1"/>
  <c r="K46" i="36"/>
  <c r="N43" i="34"/>
  <c r="N44" i="34"/>
  <c r="O44" i="34"/>
  <c r="O43" i="34"/>
  <c r="K42" i="34" l="1"/>
  <c r="I42" i="34" s="1"/>
  <c r="K47" i="36"/>
  <c r="K43" i="34" l="1"/>
  <c r="I43" i="34" s="1"/>
  <c r="K48" i="36"/>
  <c r="K44" i="34" l="1"/>
  <c r="I44" i="34" s="1"/>
  <c r="K49"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71" authorId="0" shapeId="0" xr:uid="{00000000-0006-0000-04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L71" authorId="0" shapeId="0" xr:uid="{00000000-0006-0000-1200-000001000000}">
      <text>
        <r>
          <rPr>
            <sz val="8"/>
            <color indexed="81"/>
            <rFont val="Tahoma"/>
            <family val="2"/>
          </rPr>
          <t>Inclusief Enduris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H50" authorId="0" shapeId="0" xr:uid="{00000000-0006-0000-1500-000001000000}">
      <text>
        <r>
          <rPr>
            <sz val="8"/>
            <color indexed="81"/>
            <rFont val="Tahoma"/>
            <family val="2"/>
          </rPr>
          <t>Deze waarde wordt berekend op basis van de samengestelde output waarbij alle peiljaren gebruikt zijn voor de EAV.</t>
        </r>
      </text>
    </comment>
  </commentList>
</comments>
</file>

<file path=xl/sharedStrings.xml><?xml version="1.0" encoding="utf-8"?>
<sst xmlns="http://schemas.openxmlformats.org/spreadsheetml/2006/main" count="1581" uniqueCount="587">
  <si>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</si>
  <si>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</si>
  <si>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</si>
  <si>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</si>
  <si>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</si>
  <si>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</si>
  <si>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</si>
  <si>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</si>
  <si>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</si>
  <si>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</si>
  <si>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</si>
  <si>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Juridisch integraal onderdeel van bovenstaande besluit(en) (j/n)?</t>
  </si>
  <si>
    <t>Opmerkingen openbare versiegeschiedenis</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</si>
  <si>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</si>
  <si>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</si>
  <si>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</si>
  <si>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</si>
  <si>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</si>
  <si>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</si>
  <si>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</si>
  <si>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</si>
  <si>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</si>
  <si>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</si>
  <si>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</si>
  <si>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</si>
  <si>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Eenheid</t>
  </si>
  <si>
    <t>Beschrijving gegevens</t>
  </si>
  <si>
    <t>Toelichting bij bijzonderheden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</si>
  <si>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</si>
  <si>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</si>
  <si>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</si>
  <si>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</si>
  <si>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</si>
  <si>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</si>
  <si>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</si>
  <si>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</si>
  <si>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</si>
  <si>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</si>
  <si>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</si>
  <si>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</si>
  <si>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</si>
  <si>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</si>
  <si>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</si>
  <si>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Opmerking</t>
  </si>
  <si>
    <t>Ophalen gegevens voor berekening</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</si>
  <si>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</si>
  <si>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</si>
  <si>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</si>
  <si>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</si>
  <si>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Nr.</t>
  </si>
  <si>
    <t xml:space="preserve">Verkorte naam </t>
  </si>
  <si>
    <t>Naam bestand extern</t>
  </si>
  <si>
    <t>Beschrijving berekening</t>
  </si>
  <si>
    <t>Beschrijving resultaat</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</si>
  <si>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</si>
  <si>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</si>
  <si>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</si>
  <si>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</si>
  <si>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</si>
  <si>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</si>
  <si>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</si>
  <si>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</si>
  <si>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</si>
  <si>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Bevat bedrijfsvertrouwelijke gegevens? (j/n)</t>
  </si>
  <si>
    <t>Is of wordt gepubliceerd? (j/n)</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</si>
  <si>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</si>
  <si>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</si>
  <si>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</si>
  <si>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</si>
  <si>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</si>
  <si>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</si>
  <si>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Op basis van</t>
  </si>
  <si>
    <t>Coteq</t>
  </si>
  <si>
    <t>Enexis</t>
  </si>
  <si>
    <t>Liander</t>
  </si>
  <si>
    <t>RENDO</t>
  </si>
  <si>
    <t>Stedin</t>
  </si>
  <si>
    <t>Westland</t>
  </si>
  <si>
    <t>Transportdienst</t>
  </si>
  <si>
    <t>Netto kosten 2015</t>
  </si>
  <si>
    <t>Maatstaf</t>
  </si>
  <si>
    <t>Reguliere operationele kosten 2015</t>
  </si>
  <si>
    <t>EUR, pp 2015</t>
  </si>
  <si>
    <t>Totale reguliere kapitaalkosten 2015</t>
  </si>
  <si>
    <t xml:space="preserve">Productiviteitsverandering </t>
  </si>
  <si>
    <t>Netto kosten 2016</t>
  </si>
  <si>
    <t>Reguliere operationele kosten 2016</t>
  </si>
  <si>
    <t>EUR, pp 2016</t>
  </si>
  <si>
    <t>Totale reguliere kapitaalkosten 2016</t>
  </si>
  <si>
    <t>Netto kosten 2017</t>
  </si>
  <si>
    <t>Reguliere operationele kosten 2017</t>
  </si>
  <si>
    <t>EUR, pp 2017</t>
  </si>
  <si>
    <t>Totale reguliere kapitaalkosten 2017</t>
  </si>
  <si>
    <t>Netto kosten 2018</t>
  </si>
  <si>
    <t>Reguliere operationele kosten 2018</t>
  </si>
  <si>
    <t>EUR, pp 2018</t>
  </si>
  <si>
    <t>Totale reguliere kapitaalkosten 2018</t>
  </si>
  <si>
    <t>Netto kosten 2019</t>
  </si>
  <si>
    <t>Reguliere operationele kosten 2019</t>
  </si>
  <si>
    <t>EUR, pp 2019</t>
  </si>
  <si>
    <t>Totale reguliere kapitaalkosten 2019</t>
  </si>
  <si>
    <t>Netto kosten 2020</t>
  </si>
  <si>
    <t>Reguliere operationele kosten 2020</t>
  </si>
  <si>
    <t>EUR, pp 2020</t>
  </si>
  <si>
    <t>Totale reguliere kapitaalkosten 2020</t>
  </si>
  <si>
    <t>Aansluitdienst</t>
  </si>
  <si>
    <t>Samengestelde output</t>
  </si>
  <si>
    <t>Begininkomsten</t>
  </si>
  <si>
    <t>Begininkomsten voor de one-off</t>
  </si>
  <si>
    <t>#</t>
  </si>
  <si>
    <t>%</t>
  </si>
  <si>
    <t>CPI</t>
  </si>
  <si>
    <t>CBS</t>
  </si>
  <si>
    <t>Kapitaalkosten voor PV berekening</t>
  </si>
  <si>
    <t>Jaarlijkse productiviteitsverandering 2005-2006</t>
  </si>
  <si>
    <t>Jaarlijkse productiviteitsverandering 2006-2007</t>
  </si>
  <si>
    <t>Jaarlijkse productiviteitsverandering 2007-2008</t>
  </si>
  <si>
    <t>Jaarlijkse productiviteitsverandering 2008-2009</t>
  </si>
  <si>
    <t>Jaarlijkse productiviteitsverandering 2009-2010</t>
  </si>
  <si>
    <t>Jaarlijkse productiviteitsverandering 2010-2011</t>
  </si>
  <si>
    <t>Jaarlijkse productiviteitsverandering 2011-2012</t>
  </si>
  <si>
    <t>Jaarlijkse productiviteitsverandering 2012-2013</t>
  </si>
  <si>
    <t>Jaarlijkse productiviteitsverandering 2013-2014</t>
  </si>
  <si>
    <t>Jaarlijkse productiviteitsverandering 2014-2015</t>
  </si>
  <si>
    <t>Jaarlijkse PV + 1</t>
  </si>
  <si>
    <t>Gegevens productiviteitsverandering en CPI</t>
  </si>
  <si>
    <t>Gemiddelde reguliere operationele kosten</t>
  </si>
  <si>
    <t>Gemiddelde totale kosten voor maatstafberekening</t>
  </si>
  <si>
    <t>Gemiddelde totale kosten voor one-off</t>
  </si>
  <si>
    <t>Netto</t>
  </si>
  <si>
    <t>Bijdrage EAV 2018</t>
  </si>
  <si>
    <t>Bijdrage EAV 2019</t>
  </si>
  <si>
    <t>Bijdrage EAV 2020</t>
  </si>
  <si>
    <t>Kosten 2018 voor maatstafberekening</t>
  </si>
  <si>
    <t>Totale bijdrage uit Eenmalige Aansluitvergoedingen 2018</t>
  </si>
  <si>
    <t>Kosten 2019 voor maatstafberekening</t>
  </si>
  <si>
    <t>Totale bijdrage uit Eenmalige Aansluitvergoedingen 2019</t>
  </si>
  <si>
    <t>Kosten 2020 voor maatstafberekening</t>
  </si>
  <si>
    <t>Totale bijdrage uit Eenmalige Aansluitvergoedingen 2020</t>
  </si>
  <si>
    <t>Gemiddelde totale bijdrage uit Eenmalige Aansluitvergoedingen</t>
  </si>
  <si>
    <t>Op dit blad worden de toepassingsvoorwaarde en de aanleidingstoets uitgevoerd in verband met de aanpassing van de begininkomsten.</t>
  </si>
  <si>
    <t>Toets toepassingsvoorwaarde en aanleiding one-off</t>
  </si>
  <si>
    <t>Beslissing toepassing one-off</t>
  </si>
  <si>
    <t>Productiviteitsverandering en CPI</t>
  </si>
  <si>
    <t>Gemiddelde kosten TD</t>
  </si>
  <si>
    <t>Gemiddelde kosten AD</t>
  </si>
  <si>
    <t>Ophalen gegevens</t>
  </si>
  <si>
    <t>EUR, pp 2021</t>
  </si>
  <si>
    <t>EUR/#, pp 2021</t>
  </si>
  <si>
    <t>Samengestelde output transportdienst 2021 voor maatstaf</t>
  </si>
  <si>
    <t>RV 2018-2020</t>
  </si>
  <si>
    <t>WACC BI2021</t>
  </si>
  <si>
    <t>WACC EI2026</t>
  </si>
  <si>
    <t>Jaarlijkse productiviteitsverandering 2015-2016</t>
  </si>
  <si>
    <t>Jaarlijkse productiviteitsverandering 2016-2017</t>
  </si>
  <si>
    <t>Jaarlijkse productiviteitsverandering 2017-2018</t>
  </si>
  <si>
    <t>Jaarlijkse productiviteitsverandering 2018-2019</t>
  </si>
  <si>
    <t>Jaarlijkse productiviteitsverandering 2019-2020</t>
  </si>
  <si>
    <t>Jaarlijkse productiviteitsverandering 2004-2020</t>
  </si>
  <si>
    <t>Netto; WACC BI2021</t>
  </si>
  <si>
    <t>Netto; WACC EI2026</t>
  </si>
  <si>
    <t>CPI van 2018 naar 2021</t>
  </si>
  <si>
    <t>CPI van 2019 naar 2021</t>
  </si>
  <si>
    <t>CPI van 2020 naar 2021</t>
  </si>
  <si>
    <t>Op dit blad worden de efficiënte kosten voor het jaar 2021 voor de bepaling van de begin- en eindinkomsten voor de transportdienst berekend.</t>
  </si>
  <si>
    <t>Kosten 2018 voor maatstafberekening in efficiëntieniveau 2021 en prijspeil 2021</t>
  </si>
  <si>
    <t>Kosten 2018-2020 in efficiëntie-niveau en prijspeil 2016; voor maatstafberekening</t>
  </si>
  <si>
    <t>Kosten 2019 voor maatstafberekening in efficiëntieniveau 2021 en prijspeil 2021</t>
  </si>
  <si>
    <t>Kosten 2020 voor maatstafberekening in efficiëntieniveau 2021 en prijspeil 2021</t>
  </si>
  <si>
    <t>Gemiddelde van kosten over 2018-2020</t>
  </si>
  <si>
    <t>Gemiddelde totale reguliere kapitaalkosten o.b.v. WACC EI2026</t>
  </si>
  <si>
    <t>Gemiddelde totale reguliere kapitaalkosten o.b.v. WACC BI2021</t>
  </si>
  <si>
    <t>Samengestelde output (o.b.v. RV 2021)</t>
  </si>
  <si>
    <t>Efficiënte kosten 2021 per netbeheerder</t>
  </si>
  <si>
    <t>Op dit blad worden de efficiënte kosten voor het jaar 2021 voor de bepaling van de begin- en eindinkomsten voor de aansluitdienst berekend.</t>
  </si>
  <si>
    <t>Totale reguliere kapitaalkosten 2018 o.b.v. WACC BI2021</t>
  </si>
  <si>
    <t>Totale reguliere kapitaalkosten 2018 o.b.v. WACC EI2026</t>
  </si>
  <si>
    <t>Totale reguliere kapitaalkosten 2019 o.b.v. WACC BI2021</t>
  </si>
  <si>
    <t>Totale reguliere kapitaalkosten 2019 o.b.v. WACC EI2026</t>
  </si>
  <si>
    <t>Totale reguliere kapitaalkosten 2020 o.b.v. WACC BI2021</t>
  </si>
  <si>
    <t>Totale reguliere kapitaalkosten 2020 o.b.v. WACC EI2026</t>
  </si>
  <si>
    <t>EUR, pp 2023</t>
  </si>
  <si>
    <t>EUR, pp 2024</t>
  </si>
  <si>
    <t>EUR, pp 2025</t>
  </si>
  <si>
    <t>EUR, pp 2026</t>
  </si>
  <si>
    <t>Berekening Eindinkomsten AD 2026</t>
  </si>
  <si>
    <t>Eindinkomsten 2026 per netbeheerder</t>
  </si>
  <si>
    <t>EUR/#, pp 2026</t>
  </si>
  <si>
    <t>Berekening Eindinkomsten TD 2026</t>
  </si>
  <si>
    <t>Gemiddelde genormaliseerde totale kosten in efficiëntie-niveau 2021</t>
  </si>
  <si>
    <t>OPEX voor PV berekening</t>
  </si>
  <si>
    <t>Operationele kosten 2018</t>
  </si>
  <si>
    <t>Operationele kosten 2019</t>
  </si>
  <si>
    <t>Operationele kosten 2020</t>
  </si>
  <si>
    <t>Tabblad 1 - Reguleringsparameters</t>
  </si>
  <si>
    <t>Tabblad 2 - Kostengegevens 2015 - 2020</t>
  </si>
  <si>
    <t>Op dit tabblad importeert ACM de samengestelde output, de begininkomsten en de jaarlijkse productiviteitsverandering.</t>
  </si>
  <si>
    <t>Tabblad 3 - Import SO, BI en PV</t>
  </si>
  <si>
    <t>PV</t>
  </si>
  <si>
    <t>Kosten voor PV berekening</t>
  </si>
  <si>
    <t>EUR, pp 2015-2020</t>
  </si>
  <si>
    <t>Netto; WACC 2016</t>
  </si>
  <si>
    <t>Netto; WACC 2017</t>
  </si>
  <si>
    <t>Netto; WACC 2018</t>
  </si>
  <si>
    <t>Netto; WACC 2019</t>
  </si>
  <si>
    <t>Netto; WACC 2020</t>
  </si>
  <si>
    <t>Berekening jaarlijkse productiviteitsverandering 2015-2020</t>
  </si>
  <si>
    <t>Samengestelde output voor PV berekening jaar n-1 naar jaar n</t>
  </si>
  <si>
    <t>Samengestelde Output voor maatstaf</t>
  </si>
  <si>
    <t>Samengestelde Output voor PV</t>
  </si>
  <si>
    <t>Jaarlijkse productiviteitsverandering jaar n-1 naar jaar n</t>
  </si>
  <si>
    <t>WACC jaar n</t>
  </si>
  <si>
    <t>WACC jaar n + 1</t>
  </si>
  <si>
    <t>Totale kosten voor PV berekening</t>
  </si>
  <si>
    <t>Kosten 2018</t>
  </si>
  <si>
    <t>Kosten 2019</t>
  </si>
  <si>
    <t>Kosten 2020</t>
  </si>
  <si>
    <t>X-factor TD voor de periode 2021-2026 (onafgerond)</t>
  </si>
  <si>
    <t>X-factor AD voor de periode 2021-2026 (onafgerond)</t>
  </si>
  <si>
    <t xml:space="preserve">Efficiënte kosten per eenheid SO </t>
  </si>
  <si>
    <t>TD correctie kapitaalkosten 2026</t>
  </si>
  <si>
    <t>AD correctie kapitaalkosten 2026</t>
  </si>
  <si>
    <t>Correctie kapitaalkosten</t>
  </si>
  <si>
    <t>Correctie kapitaalkosten  TD</t>
  </si>
  <si>
    <t>Correctie kapitaalkosten  AD</t>
  </si>
  <si>
    <t>Inschatting kosten excl. correctie kapitaalkosten 2022</t>
  </si>
  <si>
    <t>Inschatting kosten excl. correctie kapitaalkosten 2023</t>
  </si>
  <si>
    <t>Inschatting kosten excl. correctie kapitaalkosten 2024</t>
  </si>
  <si>
    <t>Inschatting kosten excl. correctie kapitaalkosten 2025</t>
  </si>
  <si>
    <t>Inschatting kosten excl. correctie kapitaalkosten 2026</t>
  </si>
  <si>
    <t xml:space="preserve">Eindinkomsten TD inclusief correctie kapitaalkosten </t>
  </si>
  <si>
    <t>Inschatting kosten incl. correctie kapitaalkosten 2022</t>
  </si>
  <si>
    <t>Inschatting kosten incl. correctie kapitaalkosten 2023</t>
  </si>
  <si>
    <t>Inschatting kosten incl. correctie kapitaalkosten 2024</t>
  </si>
  <si>
    <t>Inschatting kosten incl. correctie kapitaalkosten 2025</t>
  </si>
  <si>
    <t>Inschatting kosten incl. correctie kapitaalkosten 2026</t>
  </si>
  <si>
    <t>Inschatting kosten incl. correctie kapitaalkosten totaal</t>
  </si>
  <si>
    <t>Begininkomsten TD inclusief correctie kapitaalkosten</t>
  </si>
  <si>
    <t>X-factor inclusief correctie kapitaalkosten</t>
  </si>
  <si>
    <t>Berekening begin- en eindinkomsten na correctie kapitaalkosten</t>
  </si>
  <si>
    <t>Begininkomsten AD inclusief correctie kapitaalkosten</t>
  </si>
  <si>
    <t xml:space="preserve">Eindinkomsten AD inclusief correctie kapitaalkosten </t>
  </si>
  <si>
    <t>TD correctie kapitaalkosten 2022 t/m 2026</t>
  </si>
  <si>
    <t>Op dit tabblad worden de begin- en eindinkomsten van de transportdienst berekend.</t>
  </si>
  <si>
    <t>Op dit tabblad worden de begin- en eindinkomsten van de aansluitdienst berekend.</t>
  </si>
  <si>
    <t>AD correctie kapitaalkosten 2022 t/m 2026</t>
  </si>
  <si>
    <t>Reguliere operationele kosten</t>
  </si>
  <si>
    <t xml:space="preserve">Begininkomsten voor berekening x-factor </t>
  </si>
  <si>
    <t>Eindinkomsten</t>
  </si>
  <si>
    <t xml:space="preserve">Kosten per eenheid SO </t>
  </si>
  <si>
    <t>Eindinkomsten voor berekening x-factor</t>
  </si>
  <si>
    <t>Begininkomsten inclusief correctie kapitaalkosten</t>
  </si>
  <si>
    <t>X-factor berekening</t>
  </si>
  <si>
    <t>X-factor voor de periode 2022-2026 (onafgerond)</t>
  </si>
  <si>
    <t>X-factor voor de periode 2022-2026 (afgerond)</t>
  </si>
  <si>
    <t xml:space="preserve">SO 2015 voor PV </t>
  </si>
  <si>
    <t xml:space="preserve">SO 2016 voor PV </t>
  </si>
  <si>
    <t xml:space="preserve">SO 2017 voor PV </t>
  </si>
  <si>
    <t xml:space="preserve">SO 2018 voor PV </t>
  </si>
  <si>
    <t xml:space="preserve">SO 2019 voor PV </t>
  </si>
  <si>
    <t xml:space="preserve">SO 2020 voor PV </t>
  </si>
  <si>
    <t>Samengestelde output aansluitdienst 2021 (EAV o.b.v. 2020)</t>
  </si>
  <si>
    <t>Samengestelde output aansluitdienst 2021 voor maatstaf (EAV o.b.v. peiljaren)</t>
  </si>
  <si>
    <t>Samengestelde output voor PV berekening</t>
  </si>
  <si>
    <t xml:space="preserve">Efficiënte kosten 2021 </t>
  </si>
  <si>
    <t xml:space="preserve">Samengestelde output </t>
  </si>
  <si>
    <t>EUR, pp jaar</t>
  </si>
  <si>
    <t>Deze waarde wordt berekend door de oplosser</t>
  </si>
  <si>
    <t>Deze waardes worden berekend op basis van de samengestelde output waarbij 2020 als peiljaar gebruikt is voor de EAV</t>
  </si>
  <si>
    <t>x-factor</t>
  </si>
  <si>
    <t>Indicatieve tariefruimte</t>
  </si>
  <si>
    <t>EUR, pp 2022</t>
  </si>
  <si>
    <t>Samenhang van dit bestand met andere bestanden</t>
  </si>
  <si>
    <t>Investeringen</t>
  </si>
  <si>
    <t>GAW model</t>
  </si>
  <si>
    <t>Kosten</t>
  </si>
  <si>
    <t>X-factor</t>
  </si>
  <si>
    <t>SO</t>
  </si>
  <si>
    <t>Toelichting samenhang tabbladen:</t>
  </si>
  <si>
    <t>Inputs</t>
  </si>
  <si>
    <t>Berekeningen</t>
  </si>
  <si>
    <t>1) Reguleringsparameters</t>
  </si>
  <si>
    <t>2) Kosten 2015-2020</t>
  </si>
  <si>
    <t>3) SO, BI &amp; PV</t>
  </si>
  <si>
    <t>Alle berekeningstabbladen</t>
  </si>
  <si>
    <t>Resultaten</t>
  </si>
  <si>
    <t>Dit bestand bevat de berekening van de begininkomsten en x-factoren voor regionale netbeheerders gas  voor de periode 2022-2026. De verhouding tussen de begininkomsten 2021 en de eindinkomsten 2026 bepaalt de x-factor.</t>
  </si>
  <si>
    <t xml:space="preserve">Efficiënte kosten 2026 </t>
  </si>
  <si>
    <t>Efficiënte kosten 2026 per eenheid SO</t>
  </si>
  <si>
    <t>Efficiënte kosten per eenheid SO (o.b.v. RV 2021)</t>
  </si>
  <si>
    <t>Efficiënte kosten netverliezen per netbeheerder</t>
  </si>
  <si>
    <t>Oplosser</t>
  </si>
  <si>
    <t>Gebruik van oplosser</t>
  </si>
  <si>
    <t xml:space="preserve">Op het tabblad ‘X-factor berekening’ berekent de ACM de totale verwachte efficiënte kosten. Vervolgens gebruikt de ACM de oplosser om de begininkomsten te berekenen zodanig dat gesommeerd over de reguleringsperiode (2022-2026) de verwachte efficiënte kosten terugverdiend kunnen worden. De totale verwachte efficiënte kosten zijn daarbij gelijk aan de totale toegestane inkomsten. 
Indien de verwachte efficiënte kosten op het tabblad ‘X-factorberekening’ worden aangepast, dan veranderen de begininkomsten niet automatisch mee. In dat geval moet de oplosser worden gebruikt om de begininkomsten opnieuw te berekenen.  De begininkomsten met de oplosserworden als volgt berekend:
Op het tabblad 'X-factor berekening' gebruikt de ACM de invoegtoepassing "oplosser". Uitleg over hoe deze invoegtoepassing ingeladen kan worden is te vinden via deze link:
</t>
  </si>
  <si>
    <t>https://support.office.com/nl-nl/article/de-invoegtoepassing-oplosser-laden-in-excel-612926fc-d53b-46b4-872c-e24772f078ca</t>
  </si>
  <si>
    <t>1. De oplosser kan worden geopend via Gegevens – Analysis – Solver
2. Klik op “Solve” om de begininkomsten te berekenen.
3. Er verschijnt nu een pop-up. Controleer of “Keep solver solution” is aangevinkt. Klik vervolgens op “OK”.
4. De begininkomsten zijn nu opnieuw berekend.</t>
  </si>
  <si>
    <t>Contactgegevens ACM</t>
  </si>
  <si>
    <t>Bron</t>
  </si>
  <si>
    <t>Jaarlijkse productiviteitsverandering Transportdienst</t>
  </si>
  <si>
    <t>Productiviteitsverandering Transportdienst</t>
  </si>
  <si>
    <t>Berekening bij herstel x-factorbesluit regionale netbeheerders gas 2017-2021 (sep 2020)</t>
  </si>
  <si>
    <t>Bijdrage EAV</t>
  </si>
  <si>
    <t>Constante</t>
  </si>
  <si>
    <t>Totaal</t>
  </si>
  <si>
    <t>De inschatting van de PV voor de aansluitdienst voor de periode 2021-2026 wordt gebaseerd op de jaarlijkse PV's in de periode 2015-2020 (eerste meetjaar 2015-2016). Op dit tabblad wordt een inschatting gemaakt van de productiviteitsverandering over 2021-2026.</t>
  </si>
  <si>
    <t>De inschatting van de langjarige PV voor de transportdienst voor de periode 2021-2026 wordt gebaseerd op de jaarlijkse PV's in de periode 2005-2020 (eerste meetjaar 2005-2006). De onderliggende berekeningen van de jaarlijkse PV's over de periode 2005-2015 worden uit eerdere x-factormodellen gehaald. Op dit tabblad wordt een inschatting gemaakt van de productiviteitsverandering over 2021-2026.</t>
  </si>
  <si>
    <t>Efficiënte kosten netverliezen</t>
  </si>
  <si>
    <t xml:space="preserve">Begininkomsten </t>
  </si>
  <si>
    <t>Transportdienst + Aansluitdienst</t>
  </si>
  <si>
    <t>Resultaat x-factorberekening en TI-bedragen</t>
  </si>
  <si>
    <t>Begininkomsten 2017-2021 TD (product van tarieven 2021 en rekenvolumes 2021-2026)</t>
  </si>
  <si>
    <t>Begininkomsten 2017-2021 AD (product van tarieven 2021 en rekenvolumes 2021-2026)</t>
  </si>
  <si>
    <t>Begininkomsten 2017-2021 (product van tarieven 2021 en rekenvolumes 2021-2026)</t>
  </si>
  <si>
    <t>Efficiënte kosten 2021 TD per netbeheerder (t.b.v. toepassingsvoorwaarde one-off)</t>
  </si>
  <si>
    <t>Efficiënte kosten 2021 AD per netbeheerder (t.b.v. toepassingsvoorwaarde one-off)</t>
  </si>
  <si>
    <t>Efficiënte kosten 2021 per netbeheerder (t.b.v. toepassingsvoorwaarde one-off)</t>
  </si>
  <si>
    <t>Verschil tussen begininkomsten 2017-2021 en Efficiënte kosten 2021</t>
  </si>
  <si>
    <t>Verschil tussen begininkomsten 2017-2021 en sectorkosten 2021</t>
  </si>
  <si>
    <t>Begininkomsten TD (na aanpassing naar efficiënte kosten 2021)</t>
  </si>
  <si>
    <t>Begininkomsten AD (na aanpassing naar efficiënte kosten 2021)</t>
  </si>
  <si>
    <t>20210126 RNBs gas 2022 ev - correctie o.b.v. peiljaren</t>
  </si>
  <si>
    <t>Enexis incl. BV</t>
  </si>
  <si>
    <t>Kapitaalkosten Enexis</t>
  </si>
  <si>
    <t>Kapitaalkosten voor PV berekening inclusief personeel BV</t>
  </si>
  <si>
    <t>Kapitaalkosten voor PV berekening exclusief personeel BV</t>
  </si>
  <si>
    <t>Rijtotaal</t>
  </si>
  <si>
    <t>Jaarlijkse CPI</t>
  </si>
  <si>
    <t>CPI september jaar t-2 t/m augustus jaar t-1</t>
  </si>
  <si>
    <t>Berekening CPI-mutatie</t>
  </si>
  <si>
    <t xml:space="preserve">1+ CPI van … naar … </t>
  </si>
  <si>
    <t>De ACM gebruikt de oplosser om de begininkomsten te berekenen. De aanleiding daarvoor is het verwerken van de kapitaalkostencorrectie als gevolg van de verwachte afnemende benuttingsgraad van het gasnet.
In de oude schattingsmethode bepaalde de ACM de efficiënte kosten in het jaar voorafgaand aan de reguleringsperiode en de verwachte efficiënte kosten in het laatste jaar van de reguleringsperiode. De consequentie daarvan is dat alle ontwikkelingen van de verwachte efficiënte kosten in tussenliggende jaren niet tot uitdrukking komen in de x-factor. Daardoor ontstaat – zeker bij een ongelijkmatige ontwikkeling van de verwachte efficiënte kosten – het risico dat de RNB's gesommeerd over de reguleringsperiode aanzienlijk meer of minder dan haar verwachte efficiënte kosten kunnenn terugverdienen via de tarieven. Dat zou leiden tot over- of onderdekking van de verwachte efficiënte kosten over de reguleringsperiode.
Het doel van de methode is dat de RNB's in beginsel haar verwachte efficiënte kosten inclusief een redelijk rendement dat in het economisch verkeer gebruikelijk is terug kunnen verdienen binnen de betrokken reguleringsperiode.  Daarom is het noodzakelijk om de manier waarop de ACM het efficiënte kostenniveau ten behoeve van het bepalen van de begininkomsten vaststelt te wijzigen. In plaats van de verwachte efficiënte kosten voor het beginjaar (2021) te bepalen, bepaalt de ACM het efficiënte kostenniveau van 2021 zodanig dat gesommeerd over de reguleringsperiode (2022-2026) de RNB's  hun verwachte efficiënte kosten terug kunnen verdienen.
Een expliciete berekening voor de begininkomsten 2021 inbouwen in het x-factormodel is onevenredig complex, omdat er dan wiskundig geoptimaliseerd moet worden. Daarom maakt de ACM gebruik van de oplosser. De oplosser kan het efficiënte kostenniveau 2021 vinden zodanig dat gesommeerd over de reguleringsperiode (2022-2026) de verwachte efficiënte kosten terugverdiend kunnen worden.</t>
  </si>
  <si>
    <t>Berekeningsbestand correctie kapitaalkosten</t>
  </si>
  <si>
    <t>4) Berekeningen op parameters</t>
  </si>
  <si>
    <t>5) PV TD</t>
  </si>
  <si>
    <t>7) Totale kosten TD maatstaf</t>
  </si>
  <si>
    <t>9) Toetsen toepassing one-off</t>
  </si>
  <si>
    <t>10) x-factorberekening TD</t>
  </si>
  <si>
    <t>6) PV AD</t>
  </si>
  <si>
    <t>11) x-factorberekening AD</t>
  </si>
  <si>
    <t>8) Totale kosten AD maatstaf</t>
  </si>
  <si>
    <t>n.v.t.</t>
  </si>
  <si>
    <t>Regulering.energie@acm.nl</t>
  </si>
  <si>
    <t>Op dit tabblad worden de CPI en de kapitaalkosten correctie in het kader van verwachte afnemende benuttingsgraad van het gasnet opgehaald.</t>
  </si>
  <si>
    <t>WACC</t>
  </si>
  <si>
    <t>Reële WACC begininkomstenjaar 2021</t>
  </si>
  <si>
    <t>Reële WACC eindinkomstenjaar 2026</t>
  </si>
  <si>
    <t>WACC-percentages (reëel, voor belasting)</t>
  </si>
  <si>
    <t>WACC-percentages (nominaal, voor belasting)</t>
  </si>
  <si>
    <t>Nominale WACC begininkomstenjaar 2021</t>
  </si>
  <si>
    <t>Nominale WACC eindinkomstenjaar 2026</t>
  </si>
  <si>
    <t>Op dit tabblad halen we de historische kosten gegevens op. Voor de berekening van de productiviteitsverandering worden gegevens van 2015 t/m 2020 opgehaald. Voor de berekening van de maatstaf halen we de kosten gegevens van 2018 t/m 2020 op.</t>
  </si>
  <si>
    <t>Bij de kosten die we gebruiken voor de berekening van de productiviteitsverandering worden de reguliere kapitaalkosten twee keer opgehaald. De kapitaalkosten worden berekend met de in dat jaar geldende WACC, evenals met de in het volgende jaar geldende WACC. Dit doen we om de gegevens bij de berekening van de productiviteitsverandering vergelijkbaar te maken.</t>
  </si>
  <si>
    <t>Begininkomsten voor berekening x-factor (inclusief netverliezen gas)</t>
  </si>
  <si>
    <t>Eindinkomsten voor berekening x-factor (inclusief netverliezen gas)</t>
  </si>
  <si>
    <t>Na aanpassing naar efficiënte kosten 2021</t>
  </si>
  <si>
    <t>Berekening bij herstel x-factorbesluit regionale netbeheerders gas 2017-2021 (sep 2020), tabblad productiviteitsverandering, regel 41</t>
  </si>
  <si>
    <t>Berekening bij herstel x-factorbesluit regionale netbeheerders gas 2017-2021 (sep 2020), tabblad productiviteitsverandering, regel 42</t>
  </si>
  <si>
    <t>Berekening bij herstel x-factorbesluit regionale netbeheerders gas 2017-2021 (sep 2020), tabblad productiviteitsverandering, regel 43</t>
  </si>
  <si>
    <t>Berekening bij herstel x-factorbesluit regionale netbeheerders gas 2017-2021 (sep 2020), tabblad productiviteitsverandering, regel 44</t>
  </si>
  <si>
    <t>Berekening bij herstel x-factorbesluit regionale netbeheerders gas 2017-2021 (sep 2020), tabblad productiviteitsverandering, regel 45</t>
  </si>
  <si>
    <t>Berekening bij herstel x-factorbesluit regionale netbeheerders gas 2017-2021 (sep 2020), tabblad productiviteitsverandering, regel 46</t>
  </si>
  <si>
    <t>Berekening bij herstel x-factorbesluit regionale netbeheerders gas 2017-2021 (sep 2020), tabblad productiviteitsverandering, regel 47</t>
  </si>
  <si>
    <t>Berekening bij herstel x-factorbesluit regionale netbeheerders gas 2017-2021 (sep 2020), tabblad productiviteitsverandering, regel 48</t>
  </si>
  <si>
    <t>Berekening bij herstel x-factorbesluit regionale netbeheerders gas 2017-2021 (sep 2020), tabblad productiviteitsverandering, regel 49</t>
  </si>
  <si>
    <t>Berekening bij herstel x-factorbesluit regionale netbeheerders gas 2017-2021 (sep 2020), tabblad productiviteitsverandering, regel 50</t>
  </si>
  <si>
    <t>Gemiddelde kosten 2018-2020 in efficiëntie-niveau 2021</t>
  </si>
  <si>
    <t>De ACM kiest ervoor de begininkomsten aan te passen naar het niveau van de efficiënte kosten.</t>
  </si>
  <si>
    <t xml:space="preserve">Inschatting kosten exclusief correctie kapitaalkosten </t>
  </si>
  <si>
    <t>Begininkomsten na aanpassing naar efficiënte kostenniveau</t>
  </si>
  <si>
    <t xml:space="preserve">Samengestelde output transportdienst </t>
  </si>
  <si>
    <t>Inschatting kosten exclusief correctie kapitaalkosten</t>
  </si>
  <si>
    <t>Berekening begininkomsten AD per netbeheerder inclusief correctie kapitaalkosten</t>
  </si>
  <si>
    <t>Berekening eindinkomsten AD per netbeheerder inclusief correctie kapitaalkosten</t>
  </si>
  <si>
    <t>Berekening begininkomsten TD per netbeheerder</t>
  </si>
  <si>
    <t>Begininkomsten TD</t>
  </si>
  <si>
    <t>Eindinkomsten TD</t>
  </si>
  <si>
    <t>Tabblad 8 - Totale kosten aansluitdienst voor maatstaf</t>
  </si>
  <si>
    <t>Tabblad 7 - Totale kosten transportdienst voor maatstaf</t>
  </si>
  <si>
    <t>Tabblad 6 - Productiviteitsverandering Aansluitdienst</t>
  </si>
  <si>
    <t>Tabblad 5 - Productiviteitsverandering Transportdienst</t>
  </si>
  <si>
    <t>Aandeel samengestelde output</t>
  </si>
  <si>
    <t>Samengestelde output (SO)</t>
  </si>
  <si>
    <t>Aandeel SO</t>
  </si>
  <si>
    <t>Op dit tabblad wordt de x-factor, het aandeel in de SO en de indicatieve tariefruimte berekend per netbeheerder.</t>
  </si>
  <si>
    <t>Resultaten x-factor gas</t>
  </si>
  <si>
    <t>Overige parameters</t>
  </si>
  <si>
    <t>Samengestelde Output (SO)</t>
  </si>
  <si>
    <t>Productiviteitsverandering</t>
  </si>
  <si>
    <t>WACC onderzoek Brattle</t>
  </si>
  <si>
    <t>The Brattle Group - The WACC for the Dutch Electricity TSO and Electricity and Gas DSOs (draft of 20 january 2021)</t>
  </si>
  <si>
    <t xml:space="preserve">https://www.acm.nl/nl/publicaties/berekening-x-factor-bij-gewijzigde-x-factorbesluiten-gas-2017-2021 </t>
  </si>
  <si>
    <t>Rekenvolume capaciteitsafhankelijk tarief telemetrieverbruik</t>
  </si>
  <si>
    <t>Telemetriegrootverbruik (&lt; 16 bar)</t>
  </si>
  <si>
    <t>Rekenvolume capaciteitsafhankelijk tarief profielgrootverbruik</t>
  </si>
  <si>
    <t>Profielgrootverbruik ( &gt;40 m3/h)</t>
  </si>
  <si>
    <t>Rekenvolume capaciteitsafhankelijk tarief profielkleinverbruik</t>
  </si>
  <si>
    <t>Kleinverbruik (t/m 40 m3/h)</t>
  </si>
  <si>
    <t>Ophalen rekenvolumes TD (gem. 2018-2020)</t>
  </si>
  <si>
    <t>Rapport netverliezen KYOS 2021</t>
  </si>
  <si>
    <t>Inschatting totale kosten netverlies 2020</t>
  </si>
  <si>
    <t>Inschatting totale kosten netverlies 2019</t>
  </si>
  <si>
    <t>Inschatting totale kosten netverlies 2018</t>
  </si>
  <si>
    <t xml:space="preserve">Data inschatting kosten netverliezen </t>
  </si>
  <si>
    <t>MJ</t>
  </si>
  <si>
    <t>Verbruik telemetriegrootverbruikers</t>
  </si>
  <si>
    <t>Informatieverzoek netverliezen gas 2020</t>
  </si>
  <si>
    <t>Verbruik profielverbruikers</t>
  </si>
  <si>
    <t>Data verbruik 2018</t>
  </si>
  <si>
    <t>Data verbruik 2017</t>
  </si>
  <si>
    <t>Informatieverzoek netverliezen gas 2019</t>
  </si>
  <si>
    <t>Data verbruik 2016</t>
  </si>
  <si>
    <t>Data verbruik</t>
  </si>
  <si>
    <t>Bronverwijzing</t>
  </si>
  <si>
    <t>Enduris</t>
  </si>
  <si>
    <t>Constante/rijtotaal</t>
  </si>
  <si>
    <t>Input kosten netverliezen gas</t>
  </si>
  <si>
    <t>Totale aangepaste rekenvolumes t.b.v. verdeling kosten netverliezen</t>
  </si>
  <si>
    <t>Capaciteitsafhankelijk tarief (TAVTc)</t>
  </si>
  <si>
    <t>Aangepaste rekenvolume telemetrieverbruik t.b.v. verdeling kosten netverliezen</t>
  </si>
  <si>
    <t>Berekening totale aangepaste rekenvolumes  t.b.v. verdeling kosten netverliezen</t>
  </si>
  <si>
    <t>Gemiddelde totale kosten netverliezen in prijspeil en efficiëntieniveau 2021</t>
  </si>
  <si>
    <t>Inschatting totale kosten netverlies 2019 in prijspeil en efficiëntieniveau 2021</t>
  </si>
  <si>
    <t>Inschatting totale kosten netverlies 2018 in prijspeil en efficiëntieniveau 2021</t>
  </si>
  <si>
    <t>Berekening totale kosten netverliezen</t>
  </si>
  <si>
    <t>Verhouding kostenveroorzaking (per eenheid capaciteit) tussen telemetrie en profielverbruik</t>
  </si>
  <si>
    <t>Aandeel verbruik telemetrieverbruik in totaal verbruik</t>
  </si>
  <si>
    <t>Aandeel verbruik profielverbruik in totaal verbruik</t>
  </si>
  <si>
    <t>Totale verbruik</t>
  </si>
  <si>
    <t>Totale verbruik telemetriegrootverbruikers</t>
  </si>
  <si>
    <t>Totale verbruik profielverbruikers</t>
  </si>
  <si>
    <t>Totalen over 2018-2020</t>
  </si>
  <si>
    <t>Berekening verhouding kostenveroorzaking (per eenheid capaciteit) tussen telemetrie en profielverbruik</t>
  </si>
  <si>
    <t>Totaal rekenvolume capaciteitsafhankelijk tarief profielverbruik</t>
  </si>
  <si>
    <t>Rekenvolumes capaciteitstarief</t>
  </si>
  <si>
    <t>Op dit tabblad berekent de ACM de kosten van de netverliezen. Hiervoor worden eerst de gegevens opgehaald. Daarna wordt de verhouding kostenveroorzaking tussen telemetrie en grootverbruik berekend. Daarna worden de jaarlijkse kosten voor netverliezen berekend. Tot slot worden de aangepaste rekenvolumes voor netverliezen berekend op basis van de verhouding voor kostenveroorzaking. Dit leidt tot de uiteindelijke efficiënte kosten voor netverliezen.</t>
  </si>
  <si>
    <t>Inschatting totale kosten netverlies 2020 in prijspeil en efficiëntieniveau 2021</t>
  </si>
  <si>
    <t>Formule (1)</t>
  </si>
  <si>
    <t>Formule (2)</t>
  </si>
  <si>
    <t>Formule (3)</t>
  </si>
  <si>
    <t>Formule (4)</t>
  </si>
  <si>
    <t>Formule (5)</t>
  </si>
  <si>
    <t>Formule (8)</t>
  </si>
  <si>
    <t>Formule (9)</t>
  </si>
  <si>
    <t>Formule (10)</t>
  </si>
  <si>
    <t>Formule (12)</t>
  </si>
  <si>
    <t>Formule (14)</t>
  </si>
  <si>
    <t>Formule (15)</t>
  </si>
  <si>
    <t>Formule (16)</t>
  </si>
  <si>
    <t>Formule (36)</t>
  </si>
  <si>
    <t>Formule (35)</t>
  </si>
  <si>
    <t>Formule (34)</t>
  </si>
  <si>
    <t>Formule (25)</t>
  </si>
  <si>
    <t>Formule (23)</t>
  </si>
  <si>
    <t>Formule (38)</t>
  </si>
  <si>
    <t>Formule (39)</t>
  </si>
  <si>
    <t>Formule (40)</t>
  </si>
  <si>
    <t>Formule (41)</t>
  </si>
  <si>
    <t>Formule (42)</t>
  </si>
  <si>
    <t>Formule (37)</t>
  </si>
  <si>
    <t>Formule (44)</t>
  </si>
  <si>
    <t>Formule (43)</t>
  </si>
  <si>
    <t xml:space="preserve">Berekening eindinkomsten TD per netbeheerder </t>
  </si>
  <si>
    <t>Inschatting jaarlijkse CPI voor de periode 2022-2026 (afgerond)</t>
  </si>
  <si>
    <t>Inschatting CPI 2022-2026</t>
  </si>
  <si>
    <t>TD correctie kapitaalkosten 2022</t>
  </si>
  <si>
    <t>TD correctie kapitaalkosten 2023</t>
  </si>
  <si>
    <t>TD correctie kapitaalkosten 2024</t>
  </si>
  <si>
    <t>TD correctie kapitaalkosten 2025</t>
  </si>
  <si>
    <t>Totale kosten inclusief correctie kapitaalkosten 2022</t>
  </si>
  <si>
    <t>Totale kosten inclusief correctie kapitaalkosten 2023</t>
  </si>
  <si>
    <t>Totale kosten inclusief correctie kapitaalkosten 2024</t>
  </si>
  <si>
    <t>Totale kosten inclusief correctie kapitaalkosten 2025</t>
  </si>
  <si>
    <t>Totale kosten inclusief correctie kapitaalkosten 2026</t>
  </si>
  <si>
    <t>Totale kosten inclusief correctie kapitaalkosten</t>
  </si>
  <si>
    <t>Discontovoet</t>
  </si>
  <si>
    <t xml:space="preserve">Nominale WACC </t>
  </si>
  <si>
    <t>Berekening discontovoet</t>
  </si>
  <si>
    <t>1+%</t>
  </si>
  <si>
    <t>1+ discontovoet van 2022 naar 2023</t>
  </si>
  <si>
    <t>1+ discontovoet van 2022 naar jaar</t>
  </si>
  <si>
    <t>1+ discontovoet van 2022 naar 2022</t>
  </si>
  <si>
    <t>1+ discontovoet van 2022 naar 2024</t>
  </si>
  <si>
    <t>1+ discontovoet van 2022 naar 2025</t>
  </si>
  <si>
    <t>1+ discontovoet van 2022 naar 2026</t>
  </si>
  <si>
    <t>AD correctie kapitaalkosten 2022</t>
  </si>
  <si>
    <t>AD correctie kapitaalkosten 2023</t>
  </si>
  <si>
    <t>AD correctie kapitaalkosten 2024</t>
  </si>
  <si>
    <t>AD correctie kapitaalkosten 2025</t>
  </si>
  <si>
    <t>Berekening begininkomsten totaal inclusief correctie kapitaalkosten</t>
  </si>
  <si>
    <t>Berekening gecorrigeerde inkomsten (met behulp van oplosser)</t>
  </si>
  <si>
    <t>Op dit tabblad berekenen we niet alleen de begin- en eindinkomsten, maar corrigeren we ook voor het versneld afschrijven. Dit doen we door eerst de totale inkomsten over de gehele periode te schatten. Dit doen we op basis van de begininkomsten na toepassing van de one-off en de efficiënte eindinkomsten.  Tot slot gebruiken we de "oplosser invoegtoepassing om de begininkomsten zo vast te stellen dat de totale geschatte inkomsten over de gehele periode kloppen. Meer uitleg over deze invoegtoepassing is te vinden op het tabblad "Bronnen en toepassingen". 
Sinds 2018 is de aansluitplicht voor nieuwbouwwoningen vervallen. De ACM stelt de rekenvolumes voor de eenmalige aansluitvergoeding daarom vast op basis van het jaar 2020. De samengestelde output voor het bepalen van de begininkomsten wordt daarom ook berekend op basis van de EAV volumes in 2020 . De gemiddelde kosten worden bepaald op basis van het gemiddelde van de jaren 2018-2020. De samengestelde output voor de maatstaf wordt daarom berekend op basis van de EAV volumes 2018-2020.
De correctie op de kapitaalkosten geeft een vergoeding geeft voor de verschillen die ontstaan doordat in de reguleringsmethode voor 2022-2026 gekozen wordt voor 1) toepassing van het nominale stelsel en 2) versneld afschrijven van de investeringen tussen 2004 en 2026 met een variable declining balance factor van 1,2.</t>
  </si>
  <si>
    <t>Op dit tabblad berekenen we niet alleen de begin- en eindinkomsten, maar corrigeren we ook voor het versneld afschrijven. Dit doen we door eerst de totale inkomsten over de gehele periode te schatten. Dit doen we op basis van de begininkomsten na toepassing van de one-off en de efficiënte eindinkomsten.  Tot slot gebruiken we de "oplosser invoegtoepassing om de begininkomsten zo vast te stellen dat de totale geschatte inkomsten over de gehele periode kloppen. Meer uitleg over deze invoegtoepassing is te vinden op het tabblad "Bronnen en toepassingen".
De correctie op de kapitaalkosten geeft een vergoeding geeft voor de verschillen die ontstaan doordat in de reguleringsmethode voor 2022-2026 gekozen wordt voor 1) toepassing van het nominale stelsel en 2) versneld afschrijven van de investeringen tussen 2004 en 2026 met een variable declining balance factor van 1,2.</t>
  </si>
  <si>
    <t>Kapitaalkosten Enexis personeel BV</t>
  </si>
  <si>
    <t>Kapitaalkosten RENDO personeel BV</t>
  </si>
  <si>
    <t>RENDO incl. BV</t>
  </si>
  <si>
    <t xml:space="preserve">Enexis en RENDO hebben per 2017 respectievelijk 2020 een deel van hun activa overgedragen naar een aparte personeel BV. Om hier rekening mee te kunnen houden in de productiviteitsverandering wordt tot en met 2016 respectievelijk 2019 gerekend met de kapitaalkosten inclusief de activa die is overgeheveld naar het personeel BV, en vanaf 2017 respectievelijk 2020 exclusief deze kapitaalkosten omdat deze vanaf dit jaar in de operationele kosten verwerkt zijn. </t>
  </si>
  <si>
    <t xml:space="preserve">OPEX voor PV berekening </t>
  </si>
  <si>
    <t>Tabblad 4 -  Berekening op parameters</t>
  </si>
  <si>
    <t>Op dit blad voert de ACM berekeningen op de CPI en de discontovoet uit zodat deze toegepast kunnen worden in de berekening van de verwachte efficiënte kosten.</t>
  </si>
  <si>
    <t>Nominale PV 2022-2026</t>
  </si>
  <si>
    <t>Nominale PV TD 2022-2026</t>
  </si>
  <si>
    <t>Nominale PV AD 2022-2026</t>
  </si>
  <si>
    <t>Inschatting reële productiviteitsverandering (t/m 2021)</t>
  </si>
  <si>
    <t>Reële productiviteitsverandering (t/m 2021)</t>
  </si>
  <si>
    <t>Nominale productiviteitsverandering 2022-2026</t>
  </si>
  <si>
    <t>Berekening beginkomsten TD 2021</t>
  </si>
  <si>
    <t>Efficiënte kosten netverliezen 2021</t>
  </si>
  <si>
    <t>Inschatting reële productiviteitsverandering TD (t/m 2021)</t>
  </si>
  <si>
    <t>Inschatting reële productiviteitsverandering AD (t/m 2021)</t>
  </si>
  <si>
    <t>Kapitaalkosten Rendo</t>
  </si>
  <si>
    <t>CPI van jaar naar 2021</t>
  </si>
  <si>
    <t>De ACM gebruikt hier de waardes inclusief BV voor Rendo, omdat deze pas in 2020 zijn overgedragen</t>
  </si>
  <si>
    <t>Tabblad 9 - Berekening  kosten netverliezen</t>
  </si>
  <si>
    <t>Tabblad 10 - Toetsen toepassing one-off</t>
  </si>
  <si>
    <t>Tabblad 11 - Berekening begininkomsten en eindinkomsten transportdienst</t>
  </si>
  <si>
    <t>Tabblad 12 - Berekening Begininkomsten en eindinkomsten aansluitdienst</t>
  </si>
  <si>
    <t>Tabblad 13 - Berekening x-factor, aandeel SO en indicatieve tariefruimte</t>
  </si>
  <si>
    <t>EUR, netto contant 2022</t>
  </si>
  <si>
    <t>Indicatieve tariefruimte transportdienst + aansluitdienst 2022</t>
  </si>
  <si>
    <t>Indicatieve tariefruimte transportdienst + aansluitdienst 2023</t>
  </si>
  <si>
    <t>Indicatieve tariefruimte transportdienst + aansluitdienst 2024</t>
  </si>
  <si>
    <t>Indicatieve tariefruimte transportdienst + aansluitdienst 2025</t>
  </si>
  <si>
    <t>Indicatieve tariefruimte transportdienst + aansluitdienst 2026</t>
  </si>
  <si>
    <t>Inschatting kosten netverliezen per verslagjaar bij netverliespercentage van 0,5915%</t>
  </si>
  <si>
    <t>Gemiddelde totale kosten excl. netverliezen en verwijderingskosten gas</t>
  </si>
  <si>
    <t>Begininkomstenniveau voor berekening x-factor (exclusief kosten netverliezen en verwijderingskosten)</t>
  </si>
  <si>
    <t>Begininkomstenniveau voor berekening x-factor (exclusief  verwijderingskosten)</t>
  </si>
  <si>
    <t>Efficiëntie kosten 2021  t.b.v. berekening Eindinkomsten 2026 (exclusief verwijderingskosten)</t>
  </si>
  <si>
    <t>Verwijderingskosten gas (op aanvraag)</t>
  </si>
  <si>
    <t>Verwijderingskosten gas (op aanvraag) 2019</t>
  </si>
  <si>
    <t>Verwijderingskosten gas (zonder aanvraag)</t>
  </si>
  <si>
    <t>Verwijderingskosten gas (zonder aanvraag) 2019</t>
  </si>
  <si>
    <t>Verwijderingskosten gas (zonder aanvraag) 2020</t>
  </si>
  <si>
    <t xml:space="preserve">Verwijderingskosten gas (zonder aanvraag) </t>
  </si>
  <si>
    <t>Verwijderingskosten gas (op aanvraag) 2020</t>
  </si>
  <si>
    <t xml:space="preserve">Verwijderingskosten gas (op aanvraag) </t>
  </si>
  <si>
    <t xml:space="preserve">Verwijderingskosten gas (zonder aanvraag) 2019 </t>
  </si>
  <si>
    <t xml:space="preserve">Verwijderingskosten gas (zonder aanvraag) 2020 </t>
  </si>
  <si>
    <t>Begininkomstenniveau voor berekening x-factor (inclusief verwijderingskosten)</t>
  </si>
  <si>
    <t>Efficiënte kosten 2026 (exclusief netverliezen, inclusief verwijderingskosten)</t>
  </si>
  <si>
    <t>Efficiënte kosten 2026 per eenheid SO (exclusief netverliezen, inclusief verwijderingskosten)</t>
  </si>
  <si>
    <t>Begininkomstenniveau voor berekening x-factor (exclusief netverliezen, inclusief verwijderingskosten)</t>
  </si>
  <si>
    <t>Ditt tabblad bevat de gegevens van de netbeheerder voor het verbruik vop de regionale netten en de resultaten van het onderzoek van Kyos naar de kosten van de netverliezen.</t>
  </si>
  <si>
    <t>De efficiënte kosten per eenheid SO zoals berekend in rij 85 worden berekend op basis van de SO waarbij de gemiddelde EAV van de peiljaren gebruikt wordt. De efficiënte kosten per netbeheerder zoals berekend in rij 87 worden berekend op basis van de SO waarbij de EAV van 2020 gebruikt wordt.</t>
  </si>
  <si>
    <t>Inschatting van CPI 2022-2026 (afgerond)</t>
  </si>
  <si>
    <t>Op dit tabblad worden de resultaten opgehaald, en een indicatieve tariefruimte berekend.</t>
  </si>
  <si>
    <t>Gemiddelde totale kosten</t>
  </si>
  <si>
    <t>Samengestelde output aansluitdienst 2021 (EAV o.b.v. peiljaren)</t>
  </si>
  <si>
    <t>Inschatting nominale productiviteitsverandering TD (2022 - 2026)</t>
  </si>
  <si>
    <t>Inschatting nominale productiviteitsverandering AD (2022 - 2026)</t>
  </si>
  <si>
    <t xml:space="preserve">Gewijzigd methodebesluit 2022-2026, paragraaf 7.4.1 </t>
  </si>
  <si>
    <t>Gewijzigde methodebesluit regionale netbeheerders gas 2022-2026</t>
  </si>
  <si>
    <t>Gewijzigd methodebesluit 2022-2026</t>
  </si>
  <si>
    <t xml:space="preserve">Gewijzigd methodebesluit 2022-2026, paragraaf 7.4.2 </t>
  </si>
  <si>
    <t>Herstel correctie kapitaalkosten, tabblad 'resultaat', regel 12</t>
  </si>
  <si>
    <t>Herstel correctie kapitaalkosten, tabblad 'resultaat', regel 13</t>
  </si>
  <si>
    <t>Herstel berekeningsbestand PV gas voor kostenontwikkeling 2021-2026, tabblad 1) Berekening nominale PV TD, cel H105</t>
  </si>
  <si>
    <t>Herstel berekeningsbestand PV gas voor kostenontwikkeling 2021-2026, tabblad 1) Berekening nominale PV AD, cel H44</t>
  </si>
  <si>
    <t>RNB Gas 2021-2026  herstel SO bestand</t>
  </si>
  <si>
    <t>Herstel X-factorberekening regionale netbeheerders gas 2022-2026</t>
  </si>
  <si>
    <t>ACM/23/184726</t>
  </si>
  <si>
    <t>Herstel X-factorbesluit regionale netbeheerders gas 2022-2026</t>
  </si>
  <si>
    <t>RNB Gas 2021-2026 Herstel Kostenbestand</t>
  </si>
  <si>
    <t>RNB Gas 2021-2026 Herstel SO bestand</t>
  </si>
  <si>
    <t>RNB Gas 2021-2026 Herstel SO-bestand, tabblad resultaat, regel 14</t>
  </si>
  <si>
    <t>RNB Gas 2021-2026 Herstel SO-bestand, tabblad resultaat, regel 16</t>
  </si>
  <si>
    <t>RNB Gas 2021-2026 Herstel SO-bestand, tabblad resultaat, regel 17</t>
  </si>
  <si>
    <t>RNB Gas 2021-2026 Herstel SO-bestand, tabblad resultaat, regel 18</t>
  </si>
  <si>
    <t>RNB Gas 2021-2026 Herstel SO-bestand, tabblad resultaat, regel 19</t>
  </si>
  <si>
    <t>RNB Gas 2021-2026 Herstel SO-bestand, tabblad resultaat, regel 20</t>
  </si>
  <si>
    <t>RNB Gas 2021-2026 Herstel SO-bestand, tabblad resultaat, regel 21</t>
  </si>
  <si>
    <t>RNB Gas 2021-2026 Herstel SO-bestand, tabblad resultaat, regel 24</t>
  </si>
  <si>
    <t>RNB Gas 2021-2026 Herstel SO-bestand, tabblad resultaat, regel 30</t>
  </si>
  <si>
    <t>RNB Gas 2021-2026 Herstel SO-bestand, tabblad resultaat, regel 29</t>
  </si>
  <si>
    <t>RNB Gas 2021-2026 Herstel SO-bestand, tabblad resultaat, regel 32</t>
  </si>
  <si>
    <t>RNB Gas 2021-2026 Herstel SO-bestand, tabblad resultaat, regel 33</t>
  </si>
  <si>
    <t>RNB Gas 2021-2026 Herstel SO-bestand, tabblad resultaat, regel 34</t>
  </si>
  <si>
    <t>RNB Gas 2021-2026 Herstel SO-bestand, tabblad resultaat, regel 35</t>
  </si>
  <si>
    <t>RNB Gas 2021-2026 Herstel SO-bestand, tabblad resultaat, regel 36</t>
  </si>
  <si>
    <t>RNB Gas 2021-2026 Herstel SO-bestand, tabblad resultaat, regel 37</t>
  </si>
  <si>
    <t>RNB Gas 2021-2026 Herstel SO-bestand, tabblad resultaat, regel 40</t>
  </si>
  <si>
    <t>Herstel SO-bestand regionale netbeheerders gas 2022-2026, tabblad (reken)volumes TD, rij 340</t>
  </si>
  <si>
    <t>Herstel SO-bestand regionale netbeheerders gas 2022-2026, tabblad (reken)volumes TD, rij 344</t>
  </si>
  <si>
    <t>Herstel SO-bestand regionale netbeheerders gas 2022-2026, tabblad (reken)volumes TD, rij 351</t>
  </si>
  <si>
    <t>GAW-bestanden, herstel kostenbestand, herstel SO-bestand, herstel correctiebestand kapitaalkosten</t>
  </si>
  <si>
    <t>j</t>
  </si>
  <si>
    <t xml:space="preserv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</si>
</sst>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 #,##0.000_ ;_ * \-#,##0.000_ ;_ * &quot;-&quot;_ ;_ @_ "/>
    <numFmt numFmtId="166" formatCode="_ * #,##0.00_ ;_ * \-#,##0.00_ ;_ * &quot;-&quot;_ ;_ @_ "/>
    <numFmt numFmtId="167" formatCode="_(* #,##0_);_(* \(#,##0\);_(* &quot;-&quot;_);_(@_)"/>
    <numFmt numFmtId="168" formatCode="_(* #,##0.00_);_(* \(#,##0.00\);_(* &quot;-&quot;??_);_(@_)"/>
    <numFmt numFmtId="169" formatCode="0.0%"/>
    <numFmt numFmtId="170" formatCode="0.000000000000"/>
  </numFmts>
  <fonts count="34"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8"/>
      <name val="Arial"/>
      <family val="2"/>
    </font>
    <font>
      <i/>
      <sz val="11"/>
      <color indexed="23"/>
      <name val="Calibri"/>
      <family val="2"/>
    </font>
    <font>
      <sz val="8"/>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7030A0"/>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theme="0"/>
        <bgColor indexed="64"/>
      </patternFill>
    </fill>
    <fill>
      <gradientFill>
        <stop position="0">
          <color rgb="FFFFFFCC"/>
        </stop>
        <stop position="1">
          <color rgb="FFCCFFCC"/>
        </stop>
      </gradientFill>
    </fill>
    <fill>
      <patternFill patternType="solid">
        <fgColor indexed="22"/>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bottom style="thin">
        <color indexed="64"/>
      </bottom>
      <diagonal/>
    </border>
  </borders>
  <cellStyleXfs count="71">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9" fillId="5" borderId="1">
      <alignment vertical="top"/>
    </xf>
    <xf numFmtId="49" fontId="6" fillId="20" borderId="1">
      <alignment vertical="top"/>
    </xf>
    <xf numFmtId="49" fontId="6" fillId="0" borderId="0">
      <alignment vertical="top"/>
    </xf>
    <xf numFmtId="41" fontId="5" fillId="13" borderId="0">
      <alignment vertical="top"/>
    </xf>
    <xf numFmtId="41" fontId="5" fillId="12" borderId="0">
      <alignment vertical="top"/>
    </xf>
    <xf numFmtId="41" fontId="5" fillId="10" borderId="0">
      <alignment vertical="top"/>
    </xf>
    <xf numFmtId="41" fontId="5" fillId="47" borderId="0">
      <alignment vertical="top"/>
    </xf>
    <xf numFmtId="41" fontId="5" fillId="8" borderId="0">
      <alignment vertical="top"/>
    </xf>
    <xf numFmtId="41" fontId="5" fillId="14" borderId="0">
      <alignment vertical="top"/>
    </xf>
    <xf numFmtId="49" fontId="11" fillId="0" borderId="0">
      <alignment vertical="top"/>
    </xf>
    <xf numFmtId="49" fontId="10" fillId="0" borderId="0">
      <alignment vertical="top"/>
    </xf>
    <xf numFmtId="0" fontId="17" fillId="16" borderId="4" applyNumberFormat="0" applyAlignment="0" applyProtection="0"/>
    <xf numFmtId="0" fontId="18" fillId="17" borderId="5" applyNumberFormat="0" applyAlignment="0" applyProtection="0"/>
    <xf numFmtId="0" fontId="19" fillId="17" borderId="4" applyNumberFormat="0" applyAlignment="0" applyProtection="0"/>
    <xf numFmtId="0" fontId="20" fillId="0" borderId="6" applyNumberFormat="0" applyFill="0" applyAlignment="0" applyProtection="0"/>
    <xf numFmtId="0" fontId="14" fillId="18" borderId="7" applyNumberFormat="0" applyAlignment="0" applyProtection="0"/>
    <xf numFmtId="0" fontId="16" fillId="19" borderId="8"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10" applyNumberFormat="0" applyFill="0" applyAlignment="0" applyProtection="0"/>
    <xf numFmtId="0" fontId="26" fillId="0" borderId="11"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2" applyNumberFormat="0" applyFill="0" applyAlignment="0" applyProtection="0"/>
    <xf numFmtId="0" fontId="29"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29" fillId="44"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5" fillId="45" borderId="0" applyNumberFormat="0">
      <alignment vertical="top"/>
    </xf>
    <xf numFmtId="43" fontId="5" fillId="12" borderId="0" applyFont="0" applyFill="0" applyBorder="0" applyAlignment="0" applyProtection="0">
      <alignment vertical="top"/>
    </xf>
    <xf numFmtId="10" fontId="5" fillId="0" borderId="0" applyFont="0" applyFill="0" applyBorder="0" applyAlignment="0" applyProtection="0">
      <alignment vertical="top"/>
    </xf>
    <xf numFmtId="49" fontId="6" fillId="20" borderId="1">
      <alignment vertical="top"/>
    </xf>
    <xf numFmtId="168" fontId="5" fillId="12" borderId="0" applyFont="0" applyFill="0" applyBorder="0" applyAlignment="0" applyProtection="0">
      <alignment vertical="top"/>
    </xf>
    <xf numFmtId="167" fontId="5" fillId="46" borderId="0">
      <alignment vertical="top"/>
    </xf>
    <xf numFmtId="43" fontId="5" fillId="46" borderId="0">
      <alignment vertical="top"/>
    </xf>
    <xf numFmtId="0" fontId="1" fillId="0" borderId="0">
      <alignment vertical="top"/>
    </xf>
    <xf numFmtId="0" fontId="32" fillId="0" borderId="0" applyNumberFormat="0" applyFill="0" applyBorder="0" applyAlignment="0" applyProtection="0"/>
  </cellStyleXfs>
  <cellXfs count="193">
    <xf numFmtId="0" fontId="0" fillId="0" borderId="0" xfId="0">
      <alignment vertical="top"/>
    </xf>
    <xf numFmtId="41" fontId="5" fillId="8" borderId="0" xfId="12">
      <alignment vertical="top"/>
    </xf>
    <xf numFmtId="168" fontId="13" fillId="0" borderId="0" xfId="66" applyFont="1" applyFill="1">
      <alignment vertical="top"/>
    </xf>
    <xf numFmtId="49" fontId="5" fillId="20" borderId="0" xfId="65" applyFont="1" applyBorder="1">
      <alignment vertical="top"/>
    </xf>
    <xf numFmtId="10" fontId="5" fillId="47" borderId="0" xfId="11" applyNumberFormat="1">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6" borderId="1" xfId="4" applyFont="1" applyFill="1" applyBorder="1">
      <alignment vertical="top"/>
    </xf>
    <xf numFmtId="0" fontId="10" fillId="0" borderId="0" xfId="4" applyFont="1">
      <alignment vertical="top"/>
    </xf>
    <xf numFmtId="0" fontId="11" fillId="0" borderId="0" xfId="4" applyFont="1">
      <alignment vertical="top"/>
    </xf>
    <xf numFmtId="0" fontId="5" fillId="0" borderId="2" xfId="4" applyBorder="1">
      <alignment vertical="top"/>
    </xf>
    <xf numFmtId="49" fontId="9" fillId="5" borderId="1" xfId="5">
      <alignment vertical="top"/>
    </xf>
    <xf numFmtId="49" fontId="6" fillId="20" borderId="1" xfId="6">
      <alignment vertical="top"/>
    </xf>
    <xf numFmtId="0" fontId="5" fillId="0" borderId="0" xfId="4" applyFill="1">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0" fontId="8" fillId="6" borderId="1" xfId="4" applyFont="1" applyFill="1" applyBorder="1">
      <alignment vertical="top"/>
    </xf>
    <xf numFmtId="0" fontId="11" fillId="0" borderId="0" xfId="4" applyFont="1" applyFill="1">
      <alignment vertical="top"/>
    </xf>
    <xf numFmtId="0" fontId="5" fillId="7" borderId="0" xfId="4" applyFill="1">
      <alignment vertical="top"/>
    </xf>
    <xf numFmtId="2" fontId="5" fillId="11" borderId="0" xfId="4" applyNumberFormat="1" applyFill="1">
      <alignment vertical="top"/>
    </xf>
    <xf numFmtId="1" fontId="5" fillId="0" borderId="0" xfId="4" applyNumberFormat="1" applyFill="1">
      <alignment vertical="top"/>
    </xf>
    <xf numFmtId="1" fontId="10" fillId="0" borderId="0" xfId="4" applyNumberFormat="1" applyFont="1" applyFill="1">
      <alignment vertical="top"/>
    </xf>
    <xf numFmtId="0" fontId="13" fillId="0" borderId="0" xfId="4" applyFont="1" applyFill="1">
      <alignment vertical="top"/>
    </xf>
    <xf numFmtId="0" fontId="14" fillId="6" borderId="1" xfId="4" applyFont="1" applyFill="1" applyBorder="1">
      <alignment vertical="top"/>
    </xf>
    <xf numFmtId="49" fontId="7" fillId="20" borderId="2" xfId="6" applyFont="1" applyBorder="1">
      <alignment vertical="top"/>
    </xf>
    <xf numFmtId="0" fontId="9" fillId="5" borderId="1" xfId="5" applyNumberFormat="1">
      <alignment vertical="top"/>
    </xf>
    <xf numFmtId="0" fontId="15" fillId="0" borderId="0" xfId="4" applyFont="1">
      <alignment vertical="top"/>
    </xf>
    <xf numFmtId="0" fontId="5" fillId="15" borderId="0" xfId="4" applyFill="1">
      <alignment vertical="top"/>
    </xf>
    <xf numFmtId="0" fontId="5" fillId="0" borderId="0" xfId="4" applyFont="1">
      <alignment vertical="top"/>
    </xf>
    <xf numFmtId="49" fontId="5" fillId="20" borderId="2" xfId="6" applyFont="1" applyBorder="1">
      <alignment vertical="top"/>
    </xf>
    <xf numFmtId="0" fontId="5" fillId="0" borderId="2" xfId="4" applyFont="1" applyBorder="1">
      <alignment vertical="top"/>
    </xf>
    <xf numFmtId="49" fontId="11" fillId="0" borderId="0" xfId="14">
      <alignment vertical="top"/>
    </xf>
    <xf numFmtId="49" fontId="6" fillId="0" borderId="0" xfId="7">
      <alignment vertical="top"/>
    </xf>
    <xf numFmtId="49" fontId="10" fillId="0" borderId="0" xfId="15">
      <alignment vertical="top"/>
    </xf>
    <xf numFmtId="0" fontId="5" fillId="0" borderId="2" xfId="4" applyFont="1" applyBorder="1" applyAlignment="1">
      <alignment horizontal="left" vertical="top" wrapText="1"/>
    </xf>
    <xf numFmtId="41" fontId="5" fillId="13" borderId="0" xfId="8">
      <alignment vertical="top"/>
    </xf>
    <xf numFmtId="9" fontId="5" fillId="0" borderId="0" xfId="4" applyNumberFormat="1">
      <alignment vertical="top"/>
    </xf>
    <xf numFmtId="41" fontId="5" fillId="10" borderId="0" xfId="10">
      <alignment vertical="top"/>
    </xf>
    <xf numFmtId="41" fontId="5" fillId="47" borderId="0" xfId="11">
      <alignment vertical="top"/>
    </xf>
    <xf numFmtId="0" fontId="5" fillId="0" borderId="2" xfId="4" applyFont="1" applyBorder="1" applyAlignment="1">
      <alignment horizontal="left" vertical="top" wrapText="1"/>
    </xf>
    <xf numFmtId="49" fontId="22" fillId="0" borderId="0" xfId="61" applyAlignment="1">
      <alignment vertical="top"/>
    </xf>
    <xf numFmtId="41" fontId="5" fillId="14" borderId="0" xfId="13">
      <alignment vertical="top"/>
    </xf>
    <xf numFmtId="41" fontId="5" fillId="12" borderId="0" xfId="9">
      <alignment vertical="top"/>
    </xf>
    <xf numFmtId="41" fontId="5" fillId="45" borderId="0" xfId="62" applyNumberFormat="1">
      <alignment vertical="top"/>
    </xf>
    <xf numFmtId="0" fontId="5" fillId="45" borderId="0" xfId="62" applyNumberFormat="1">
      <alignment vertical="top"/>
    </xf>
    <xf numFmtId="49" fontId="5" fillId="0" borderId="0" xfId="7" applyFont="1">
      <alignment vertical="top"/>
    </xf>
    <xf numFmtId="41" fontId="5" fillId="12" borderId="0" xfId="9" applyNumberFormat="1">
      <alignment vertical="top"/>
    </xf>
    <xf numFmtId="0" fontId="6" fillId="0" borderId="0" xfId="7" applyNumberFormat="1" applyAlignment="1">
      <alignment horizontal="left" vertical="top"/>
    </xf>
    <xf numFmtId="0" fontId="5" fillId="0" borderId="0" xfId="4" applyAlignment="1">
      <alignment vertical="top" wrapText="1"/>
    </xf>
    <xf numFmtId="0" fontId="5" fillId="0" borderId="0" xfId="4" applyFont="1" applyAlignment="1">
      <alignment vertical="top" wrapText="1"/>
    </xf>
    <xf numFmtId="49" fontId="6" fillId="0" borderId="0" xfId="7" applyFont="1">
      <alignment vertical="top"/>
    </xf>
    <xf numFmtId="0" fontId="6" fillId="20" borderId="1" xfId="6" applyNumberFormat="1">
      <alignment vertical="top"/>
    </xf>
    <xf numFmtId="0" fontId="1" fillId="0" borderId="0" xfId="0" applyFont="1" applyAlignment="1"/>
    <xf numFmtId="41" fontId="5" fillId="0" borderId="0" xfId="13" applyFill="1">
      <alignment vertical="top"/>
    </xf>
    <xf numFmtId="41" fontId="5" fillId="0" borderId="0" xfId="9" applyFill="1">
      <alignment vertical="top"/>
    </xf>
    <xf numFmtId="41" fontId="5" fillId="0" borderId="0" xfId="8" applyFill="1">
      <alignment vertical="top"/>
    </xf>
    <xf numFmtId="164" fontId="1" fillId="12" borderId="0" xfId="0" applyNumberFormat="1" applyFont="1" applyFill="1" applyAlignment="1"/>
    <xf numFmtId="0" fontId="0" fillId="0" borderId="0" xfId="0" applyFont="1" applyAlignment="1"/>
    <xf numFmtId="0" fontId="1" fillId="0" borderId="0" xfId="0" applyFont="1" applyFill="1" applyAlignment="1"/>
    <xf numFmtId="164" fontId="1" fillId="0" borderId="0" xfId="0" applyNumberFormat="1" applyFont="1" applyFill="1" applyAlignment="1"/>
    <xf numFmtId="0" fontId="28" fillId="0" borderId="0" xfId="0" applyFont="1" applyFill="1" applyAlignment="1"/>
    <xf numFmtId="0" fontId="0" fillId="0" borderId="0" xfId="0" applyFont="1" applyFill="1" applyAlignment="1"/>
    <xf numFmtId="49" fontId="6" fillId="20" borderId="3" xfId="6" applyBorder="1">
      <alignment vertical="top"/>
    </xf>
    <xf numFmtId="49" fontId="6" fillId="0" borderId="3" xfId="6" applyFill="1" applyBorder="1">
      <alignment vertical="top"/>
    </xf>
    <xf numFmtId="0" fontId="6" fillId="20" borderId="3" xfId="6" applyNumberFormat="1" applyBorder="1">
      <alignment vertical="top"/>
    </xf>
    <xf numFmtId="0" fontId="6" fillId="0" borderId="3" xfId="6" applyNumberFormat="1" applyFill="1" applyBorder="1">
      <alignment vertical="top"/>
    </xf>
    <xf numFmtId="165" fontId="5" fillId="12" borderId="0" xfId="9" applyNumberFormat="1">
      <alignment vertical="top"/>
    </xf>
    <xf numFmtId="10" fontId="5" fillId="12" borderId="0" xfId="64" applyFill="1">
      <alignment vertical="top"/>
    </xf>
    <xf numFmtId="10" fontId="5" fillId="14" borderId="0" xfId="64" applyFill="1">
      <alignment vertical="top"/>
    </xf>
    <xf numFmtId="10" fontId="5" fillId="47" borderId="0" xfId="64" applyFill="1">
      <alignment vertical="top"/>
    </xf>
    <xf numFmtId="10" fontId="5" fillId="13" borderId="0" xfId="64" applyFill="1">
      <alignment vertical="top"/>
    </xf>
    <xf numFmtId="166" fontId="5" fillId="12" borderId="0" xfId="9" applyNumberFormat="1">
      <alignment vertical="top"/>
    </xf>
    <xf numFmtId="164" fontId="5" fillId="12" borderId="0" xfId="63" applyNumberFormat="1">
      <alignment vertical="top"/>
    </xf>
    <xf numFmtId="166" fontId="5" fillId="13" borderId="0" xfId="8" applyNumberFormat="1">
      <alignment vertical="top"/>
    </xf>
    <xf numFmtId="164" fontId="1" fillId="12" borderId="0" xfId="63" applyNumberFormat="1" applyFont="1" applyFill="1" applyAlignment="1"/>
    <xf numFmtId="2" fontId="5" fillId="12" borderId="0" xfId="9" applyNumberFormat="1">
      <alignment vertical="top"/>
    </xf>
    <xf numFmtId="49" fontId="6" fillId="0" borderId="0" xfId="6" applyFill="1" applyBorder="1">
      <alignment vertical="top"/>
    </xf>
    <xf numFmtId="0" fontId="6" fillId="0" borderId="0" xfId="6" applyNumberFormat="1" applyFill="1" applyBorder="1">
      <alignment vertical="top"/>
    </xf>
    <xf numFmtId="0" fontId="0" fillId="0" borderId="0" xfId="0">
      <alignment vertical="top"/>
    </xf>
    <xf numFmtId="0" fontId="1" fillId="0" borderId="0" xfId="0" applyFont="1">
      <alignment vertical="top"/>
    </xf>
    <xf numFmtId="0" fontId="28" fillId="0" borderId="0" xfId="0" applyFont="1">
      <alignment vertical="top"/>
    </xf>
    <xf numFmtId="41" fontId="5" fillId="0" borderId="0" xfId="4" applyNumberFormat="1">
      <alignment vertical="top"/>
    </xf>
    <xf numFmtId="0" fontId="5" fillId="48" borderId="0" xfId="4" applyFill="1">
      <alignment vertical="top"/>
    </xf>
    <xf numFmtId="41" fontId="5" fillId="48" borderId="0" xfId="9" applyFill="1">
      <alignment vertical="top"/>
    </xf>
    <xf numFmtId="41" fontId="5" fillId="48" borderId="0" xfId="13" applyFill="1">
      <alignment vertical="top"/>
    </xf>
    <xf numFmtId="10" fontId="5" fillId="47" borderId="0" xfId="0" applyNumberFormat="1" applyFont="1" applyFill="1" applyAlignment="1"/>
    <xf numFmtId="0" fontId="10" fillId="0" borderId="0" xfId="4" applyFont="1" applyAlignment="1">
      <alignment vertical="top" wrapText="1"/>
    </xf>
    <xf numFmtId="2" fontId="5" fillId="12" borderId="0" xfId="8" applyNumberFormat="1" applyFill="1">
      <alignment vertical="top"/>
    </xf>
    <xf numFmtId="2" fontId="5" fillId="13" borderId="0" xfId="4" applyNumberFormat="1" applyFill="1">
      <alignment vertical="top"/>
    </xf>
    <xf numFmtId="166" fontId="5" fillId="10" borderId="0" xfId="10" applyNumberFormat="1">
      <alignment vertical="top"/>
    </xf>
    <xf numFmtId="166" fontId="5" fillId="12" borderId="0" xfId="10" applyNumberFormat="1" applyFill="1">
      <alignment vertical="top"/>
    </xf>
    <xf numFmtId="41" fontId="5" fillId="13" borderId="0" xfId="4" applyNumberFormat="1" applyFill="1">
      <alignment vertical="top"/>
    </xf>
    <xf numFmtId="0" fontId="31" fillId="0" borderId="0" xfId="0" applyFont="1" applyFill="1" applyBorder="1" applyAlignment="1"/>
    <xf numFmtId="0" fontId="5" fillId="0" borderId="13" xfId="4" applyBorder="1">
      <alignment vertical="top"/>
    </xf>
    <xf numFmtId="0" fontId="5" fillId="0" borderId="14" xfId="4" applyBorder="1">
      <alignment vertical="top"/>
    </xf>
    <xf numFmtId="0" fontId="5" fillId="0" borderId="15" xfId="4" applyBorder="1">
      <alignment vertical="top"/>
    </xf>
    <xf numFmtId="0" fontId="5" fillId="0" borderId="16" xfId="4" applyBorder="1">
      <alignment vertical="top"/>
    </xf>
    <xf numFmtId="0" fontId="5" fillId="47" borderId="0" xfId="4" applyFill="1" applyBorder="1" applyAlignment="1">
      <alignment horizontal="center" vertical="top"/>
    </xf>
    <xf numFmtId="0" fontId="5" fillId="0" borderId="17" xfId="4" applyBorder="1">
      <alignment vertical="top"/>
    </xf>
    <xf numFmtId="0" fontId="5" fillId="12" borderId="0" xfId="4" applyFill="1" applyBorder="1" applyAlignment="1">
      <alignment horizontal="center" vertical="top"/>
    </xf>
    <xf numFmtId="0" fontId="5" fillId="49" borderId="0" xfId="4" applyFill="1" applyBorder="1" applyAlignment="1">
      <alignment horizontal="center" vertical="top"/>
    </xf>
    <xf numFmtId="0" fontId="5" fillId="0" borderId="18" xfId="4" applyBorder="1">
      <alignment vertical="top"/>
    </xf>
    <xf numFmtId="0" fontId="5" fillId="0" borderId="19" xfId="4" applyBorder="1">
      <alignment vertical="top"/>
    </xf>
    <xf numFmtId="0" fontId="5" fillId="0" borderId="20" xfId="4" applyBorder="1">
      <alignment vertical="top"/>
    </xf>
    <xf numFmtId="0" fontId="5" fillId="0" borderId="0" xfId="4" applyBorder="1">
      <alignment vertical="top"/>
    </xf>
    <xf numFmtId="0" fontId="31" fillId="0" borderId="0" xfId="0" applyFont="1" applyFill="1" applyBorder="1" applyAlignment="1">
      <alignment horizontal="center" vertical="top"/>
    </xf>
    <xf numFmtId="0" fontId="5" fillId="12" borderId="0" xfId="4" applyFont="1" applyFill="1" applyBorder="1" applyAlignment="1">
      <alignment horizontal="center" vertical="top"/>
    </xf>
    <xf numFmtId="167" fontId="5" fillId="46" borderId="0" xfId="67">
      <alignment vertical="top"/>
    </xf>
    <xf numFmtId="0" fontId="0" fillId="0" borderId="2" xfId="0" applyBorder="1">
      <alignment vertical="top"/>
    </xf>
    <xf numFmtId="0" fontId="5" fillId="9" borderId="0" xfId="4" applyFont="1" applyFill="1">
      <alignment vertical="top"/>
    </xf>
    <xf numFmtId="0" fontId="5" fillId="12" borderId="0" xfId="4" applyFont="1" applyFill="1">
      <alignment vertical="top"/>
    </xf>
    <xf numFmtId="0" fontId="5" fillId="13" borderId="0" xfId="4" applyFill="1" applyBorder="1" applyAlignment="1">
      <alignment horizontal="center" vertical="top"/>
    </xf>
    <xf numFmtId="0" fontId="5" fillId="0" borderId="0" xfId="4" applyAlignment="1">
      <alignment horizontal="left" vertical="top"/>
    </xf>
    <xf numFmtId="164" fontId="5" fillId="0" borderId="0" xfId="4" applyNumberFormat="1">
      <alignment vertical="top"/>
    </xf>
    <xf numFmtId="41" fontId="5" fillId="0" borderId="0" xfId="62" applyNumberFormat="1" applyFill="1">
      <alignment vertical="top"/>
    </xf>
    <xf numFmtId="0" fontId="0" fillId="0" borderId="0" xfId="0" applyAlignment="1">
      <alignment vertical="top"/>
    </xf>
    <xf numFmtId="0" fontId="5" fillId="0" borderId="0" xfId="0" applyFont="1" applyFill="1">
      <alignment vertical="top"/>
    </xf>
    <xf numFmtId="0" fontId="1" fillId="0" borderId="0" xfId="0" applyFont="1">
      <alignment vertical="top"/>
    </xf>
    <xf numFmtId="42" fontId="1" fillId="0" borderId="0" xfId="0" applyNumberFormat="1" applyFont="1">
      <alignment vertical="top"/>
    </xf>
    <xf numFmtId="0" fontId="6" fillId="20" borderId="1" xfId="6" applyNumberFormat="1" applyAlignment="1">
      <alignment horizontal="right" vertical="top"/>
    </xf>
    <xf numFmtId="0" fontId="28" fillId="0" borderId="0" xfId="0" applyFont="1">
      <alignment vertical="top"/>
    </xf>
    <xf numFmtId="10" fontId="0" fillId="50" borderId="0" xfId="0" applyNumberFormat="1" applyFill="1">
      <alignment vertical="top"/>
    </xf>
    <xf numFmtId="10" fontId="5" fillId="14" borderId="0" xfId="0" applyNumberFormat="1" applyFont="1" applyFill="1" applyAlignment="1">
      <alignment vertical="top"/>
    </xf>
    <xf numFmtId="10" fontId="5" fillId="0" borderId="0" xfId="0" applyNumberFormat="1" applyFont="1" applyFill="1">
      <alignment vertical="top"/>
    </xf>
    <xf numFmtId="0" fontId="1" fillId="0" borderId="0" xfId="0" applyFont="1" applyFill="1">
      <alignment vertical="top"/>
    </xf>
    <xf numFmtId="0" fontId="6" fillId="0" borderId="0" xfId="4" applyFont="1" applyAlignment="1">
      <alignment horizontal="right" vertical="top"/>
    </xf>
    <xf numFmtId="10" fontId="5" fillId="12" borderId="0" xfId="0" applyNumberFormat="1" applyFont="1" applyFill="1" applyAlignment="1">
      <alignment vertical="top"/>
    </xf>
    <xf numFmtId="166" fontId="5" fillId="0" borderId="0" xfId="9" applyNumberFormat="1" applyFill="1">
      <alignment vertical="top"/>
    </xf>
    <xf numFmtId="10" fontId="5" fillId="0" borderId="0" xfId="0" applyNumberFormat="1" applyFont="1" applyFill="1" applyAlignment="1">
      <alignment vertical="top"/>
    </xf>
    <xf numFmtId="42" fontId="1" fillId="0" borderId="0" xfId="0" applyNumberFormat="1" applyFont="1" applyAlignment="1"/>
    <xf numFmtId="10" fontId="5" fillId="0" borderId="0" xfId="63" applyNumberFormat="1" applyFont="1" applyFill="1" applyAlignment="1"/>
    <xf numFmtId="0" fontId="5" fillId="0" borderId="0" xfId="4" applyFont="1" applyAlignment="1">
      <alignment vertical="top" wrapText="1"/>
    </xf>
    <xf numFmtId="0" fontId="10" fillId="0" borderId="21" xfId="4" applyFont="1" applyBorder="1" applyAlignment="1">
      <alignment vertical="top" wrapText="1"/>
    </xf>
    <xf numFmtId="49" fontId="6" fillId="20" borderId="1" xfId="65">
      <alignment vertical="top"/>
    </xf>
    <xf numFmtId="0" fontId="6" fillId="0" borderId="0" xfId="4" applyFont="1" applyFill="1">
      <alignment vertical="top"/>
    </xf>
    <xf numFmtId="0" fontId="1" fillId="0" borderId="0" xfId="0" applyFont="1" applyBorder="1" applyAlignment="1"/>
    <xf numFmtId="169" fontId="5" fillId="13" borderId="0" xfId="64" applyNumberFormat="1" applyFont="1" applyFill="1" applyAlignment="1">
      <alignment vertical="top"/>
    </xf>
    <xf numFmtId="10" fontId="1" fillId="0" borderId="0" xfId="0" applyNumberFormat="1" applyFont="1" applyFill="1" applyBorder="1" applyAlignment="1"/>
    <xf numFmtId="0" fontId="1" fillId="0" borderId="0" xfId="0" applyFont="1" applyFill="1" applyBorder="1" applyAlignment="1"/>
    <xf numFmtId="0" fontId="28" fillId="0" borderId="0" xfId="0" applyFont="1" applyBorder="1" applyAlignment="1"/>
    <xf numFmtId="0" fontId="28" fillId="48" borderId="0" xfId="0" applyFont="1" applyFill="1" applyBorder="1" applyAlignment="1"/>
    <xf numFmtId="10" fontId="5" fillId="13" borderId="0" xfId="64" applyNumberFormat="1" applyFont="1" applyFill="1" applyAlignment="1">
      <alignment vertical="top"/>
    </xf>
    <xf numFmtId="0" fontId="0" fillId="0" borderId="0" xfId="0" applyFont="1" applyBorder="1" applyAlignment="1"/>
    <xf numFmtId="49" fontId="22" fillId="0" borderId="2" xfId="61" applyBorder="1" applyAlignment="1">
      <alignment vertical="top"/>
    </xf>
    <xf numFmtId="164" fontId="5" fillId="47" borderId="0" xfId="63" applyNumberFormat="1" applyFill="1">
      <alignment vertical="top"/>
    </xf>
    <xf numFmtId="164" fontId="5" fillId="12" borderId="0" xfId="63" applyNumberFormat="1" applyFill="1">
      <alignment vertical="top"/>
    </xf>
    <xf numFmtId="0" fontId="5" fillId="0" borderId="0" xfId="0" applyFont="1" applyAlignment="1"/>
    <xf numFmtId="0" fontId="28" fillId="0" borderId="0" xfId="0" applyFont="1" applyAlignment="1"/>
    <xf numFmtId="0" fontId="5" fillId="0" borderId="0" xfId="0" applyFont="1" applyBorder="1" applyAlignment="1"/>
    <xf numFmtId="0" fontId="6" fillId="0" borderId="0" xfId="0" applyFont="1" applyBorder="1" applyAlignment="1"/>
    <xf numFmtId="0" fontId="0" fillId="0" borderId="0" xfId="0" applyBorder="1" applyAlignment="1"/>
    <xf numFmtId="164" fontId="5" fillId="0" borderId="0" xfId="63" applyNumberFormat="1" applyFill="1">
      <alignment vertical="top"/>
    </xf>
    <xf numFmtId="0" fontId="0" fillId="0" borderId="0" xfId="0" applyBorder="1" applyAlignment="1">
      <alignment horizontal="left"/>
    </xf>
    <xf numFmtId="164" fontId="5" fillId="13" borderId="0" xfId="63" applyNumberFormat="1" applyFill="1">
      <alignment vertical="top"/>
    </xf>
    <xf numFmtId="164" fontId="5" fillId="12" borderId="0" xfId="4" applyNumberFormat="1" applyFill="1">
      <alignment vertical="top"/>
    </xf>
    <xf numFmtId="164" fontId="6" fillId="20" borderId="1" xfId="63" applyNumberFormat="1" applyFont="1" applyFill="1" applyBorder="1">
      <alignment vertical="top"/>
    </xf>
    <xf numFmtId="49" fontId="6" fillId="20" borderId="1" xfId="6" applyFont="1">
      <alignment vertical="top"/>
    </xf>
    <xf numFmtId="43" fontId="5" fillId="13" borderId="0" xfId="4" applyNumberFormat="1" applyFill="1">
      <alignment vertical="top"/>
    </xf>
    <xf numFmtId="0" fontId="5" fillId="0" borderId="0" xfId="0" applyFont="1" applyFill="1" applyAlignment="1"/>
    <xf numFmtId="0" fontId="5" fillId="48" borderId="0" xfId="0" applyFont="1" applyFill="1" applyAlignment="1"/>
    <xf numFmtId="10" fontId="5" fillId="12" borderId="0" xfId="4" applyNumberFormat="1" applyFill="1">
      <alignment vertical="top"/>
    </xf>
    <xf numFmtId="43" fontId="5" fillId="0" borderId="0" xfId="63" applyNumberFormat="1" applyFill="1">
      <alignment vertical="top"/>
    </xf>
    <xf numFmtId="164" fontId="5" fillId="48" borderId="0" xfId="63" applyNumberFormat="1" applyFill="1">
      <alignment vertical="top"/>
    </xf>
    <xf numFmtId="164" fontId="5" fillId="14" borderId="0" xfId="63" applyNumberFormat="1" applyFill="1">
      <alignment vertical="top"/>
    </xf>
    <xf numFmtId="0" fontId="5" fillId="0" borderId="0" xfId="0" applyFont="1" applyFill="1" applyBorder="1" applyAlignment="1"/>
    <xf numFmtId="0" fontId="6" fillId="0" borderId="0" xfId="0" applyFont="1" applyFill="1" applyBorder="1" applyAlignment="1"/>
    <xf numFmtId="0" fontId="0" fillId="0" borderId="0" xfId="0" applyAlignment="1"/>
    <xf numFmtId="0" fontId="0" fillId="0" borderId="0" xfId="0" applyFill="1" applyAlignment="1"/>
    <xf numFmtId="10" fontId="5" fillId="14" borderId="0" xfId="4" applyNumberFormat="1" applyFill="1">
      <alignment vertical="top"/>
    </xf>
    <xf numFmtId="0" fontId="5" fillId="48" borderId="0" xfId="4" applyFont="1" applyFill="1">
      <alignment vertical="top"/>
    </xf>
    <xf numFmtId="0" fontId="6" fillId="48" borderId="0" xfId="4" applyFont="1" applyFill="1">
      <alignment vertical="top"/>
    </xf>
    <xf numFmtId="164" fontId="9" fillId="5" borderId="1" xfId="63" applyNumberFormat="1" applyFont="1" applyFill="1" applyBorder="1">
      <alignment vertical="top"/>
    </xf>
    <xf numFmtId="0" fontId="10" fillId="0" borderId="0" xfId="4" applyFont="1" applyFill="1">
      <alignment vertical="top"/>
    </xf>
    <xf numFmtId="0" fontId="15" fillId="0" borderId="0" xfId="0" applyFont="1">
      <alignment vertical="top"/>
    </xf>
    <xf numFmtId="166" fontId="10" fillId="0" borderId="0" xfId="9" applyNumberFormat="1" applyFont="1" applyFill="1">
      <alignment vertical="top"/>
    </xf>
    <xf numFmtId="41" fontId="5" fillId="47" borderId="0" xfId="11" applyFont="1">
      <alignment vertical="top"/>
    </xf>
    <xf numFmtId="41" fontId="5" fillId="45" borderId="0" xfId="62" applyNumberFormat="1" applyFont="1">
      <alignment vertical="top"/>
    </xf>
    <xf numFmtId="41" fontId="5" fillId="12" borderId="0" xfId="9" applyFont="1">
      <alignment vertical="top"/>
    </xf>
    <xf numFmtId="0" fontId="0" fillId="0" borderId="0" xfId="0" applyFont="1">
      <alignment vertical="top"/>
    </xf>
    <xf numFmtId="41" fontId="5" fillId="14" borderId="0" xfId="9" applyFill="1">
      <alignment vertical="top"/>
    </xf>
    <xf numFmtId="43" fontId="1" fillId="0" borderId="0" xfId="63" applyFont="1" applyFill="1">
      <alignment vertical="top"/>
    </xf>
    <xf numFmtId="43" fontId="5" fillId="12" borderId="0" xfId="63" applyNumberFormat="1" applyFont="1" applyFill="1" applyAlignment="1">
      <alignment vertical="top"/>
    </xf>
    <xf numFmtId="43" fontId="5" fillId="14" borderId="0" xfId="4" applyNumberFormat="1" applyFill="1">
      <alignment vertical="top"/>
    </xf>
    <xf numFmtId="41" fontId="5" fillId="10" borderId="0" xfId="13" applyFill="1">
      <alignment vertical="top"/>
    </xf>
    <xf numFmtId="41" fontId="5" fillId="13" borderId="0" xfId="9" applyFill="1">
      <alignment vertical="top"/>
    </xf>
    <xf numFmtId="170" fontId="5" fillId="0" borderId="0" xfId="4" applyNumberFormat="1">
      <alignment vertical="top"/>
    </xf>
    <xf numFmtId="0" fontId="5" fillId="0" borderId="0" xfId="4" applyFont="1" applyAlignment="1">
      <alignment horizontal="left" vertical="top" wrapText="1"/>
    </xf>
    <xf numFmtId="0" fontId="5" fillId="0" borderId="0" xfId="4" applyAlignment="1">
      <alignment horizontal="left" vertical="top" wrapText="1"/>
    </xf>
    <xf numFmtId="49" fontId="22" fillId="0" borderId="0" xfId="61" applyAlignment="1">
      <alignment horizontal="left" vertical="top" wrapText="1"/>
    </xf>
    <xf numFmtId="0" fontId="5" fillId="0" borderId="0" xfId="4" applyFont="1" applyFill="1" applyAlignment="1">
      <alignment horizontal="left" vertical="top" wrapText="1"/>
    </xf>
    <xf numFmtId="0" fontId="5" fillId="0" borderId="0" xfId="4" applyAlignment="1">
      <alignment horizontal="center" vertical="top" wrapText="1"/>
    </xf>
    <xf numFmtId="0" fontId="5" fillId="0" borderId="0" xfId="4" applyFont="1" applyAlignment="1">
      <alignment vertical="top" wrapText="1"/>
    </xf>
  </cellXfs>
  <cellStyles count="71">
    <cellStyle name="_kop1 Bladtitel" xfId="5" xr:uid="{00000000-0005-0000-0000-000000000000}"/>
    <cellStyle name="_kop2 Bloktitel" xfId="6" xr:uid="{00000000-0005-0000-0000-000001000000}"/>
    <cellStyle name="_kop2 Bloktitel 2" xfId="65" xr:uid="{00000000-0005-0000-0000-000002000000}"/>
    <cellStyle name="_kop3 Subkop" xfId="7" xr:uid="{00000000-0005-0000-0000-000003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E000000}"/>
    <cellStyle name="Cel Berekening" xfId="9" xr:uid="{00000000-0005-0000-0000-00001F000000}"/>
    <cellStyle name="Cel Bijzonderheid" xfId="10" xr:uid="{00000000-0005-0000-0000-000020000000}"/>
    <cellStyle name="Cel Dataverzoek 2" xfId="67" xr:uid="{00000000-0005-0000-0000-000021000000}"/>
    <cellStyle name="Cel Input" xfId="11" xr:uid="{00000000-0005-0000-0000-000022000000}"/>
    <cellStyle name="Cel Input Data" xfId="68" xr:uid="{00000000-0005-0000-0000-000023000000}"/>
    <cellStyle name="Cel n.v.t. (leeg)" xfId="62" xr:uid="{00000000-0005-0000-0000-000024000000}"/>
    <cellStyle name="Cel PM extern" xfId="12" xr:uid="{00000000-0005-0000-0000-000025000000}"/>
    <cellStyle name="Cel Verwijzing" xfId="13" xr:uid="{00000000-0005-0000-0000-000026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mma 14" xfId="66" xr:uid="{00000000-0005-0000-0000-000037000000}"/>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C000000}"/>
    <cellStyle name="Procent" xfId="27" builtinId="5" hidden="1"/>
    <cellStyle name="Procent" xfId="64" builtinId="5"/>
    <cellStyle name="Standaard" xfId="0" builtinId="0" customBuiltin="1"/>
    <cellStyle name="Standaard 33" xfId="69" xr:uid="{00000000-0005-0000-0000-000040000000}"/>
    <cellStyle name="Standaard ACM-DE" xfId="4" xr:uid="{00000000-0005-0000-0000-000041000000}"/>
    <cellStyle name="Titel" xfId="28" builtinId="15" hidden="1"/>
    <cellStyle name="Toelichting" xfId="15" xr:uid="{00000000-0005-0000-0000-000043000000}"/>
    <cellStyle name="Totaal" xfId="35" builtinId="25" hidden="1"/>
    <cellStyle name="Uitvoer" xfId="17" builtinId="21" hidden="1"/>
    <cellStyle name="Valuta" xfId="25" builtinId="4" hidden="1"/>
    <cellStyle name="Valuta [0]" xfId="26" builtinId="7" hidden="1"/>
    <cellStyle name="Verklarende tekst" xfId="34" builtinId="53" hidden="1"/>
    <cellStyle name="Verklarende tekst 2" xfId="70" xr:uid="{00000000-0005-0000-0000-000045000000}"/>
    <cellStyle name="Waarschuwingstekst" xfId="33" builtinId="11" hidden="1"/>
  </cellStyles>
  <dxfs count="0"/>
  <tableStyles count="0" defaultTableStyle="TableStyleMedium2" defaultPivotStyle="PivotStyleLight16"/>
  <colors>
    <mruColors>
      <color rgb="FFFFFFCC"/>
      <color rgb="FFE1FFE1"/>
      <color rgb="FFCCFFFF"/>
      <color rgb="FFFFCCFF"/>
      <color rgb="FFFFCC99"/>
      <color rgb="FF99FF99"/>
      <color rgb="FFCCC8D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39688</xdr:colOff>
      <xdr:row>12</xdr:row>
      <xdr:rowOff>63500</xdr:rowOff>
    </xdr:from>
    <xdr:to>
      <xdr:col>9</xdr:col>
      <xdr:colOff>1341438</xdr:colOff>
      <xdr:row>12</xdr:row>
      <xdr:rowOff>63501</xdr:rowOff>
    </xdr:to>
    <xdr:cxnSp macro="">
      <xdr:nvCxnSpPr>
        <xdr:cNvPr id="3" name="Straight Arrow Connector 17">
          <a:extLst>
            <a:ext uri="{FF2B5EF4-FFF2-40B4-BE49-F238E27FC236}">
              <a16:creationId xmlns:a16="http://schemas.microsoft.com/office/drawing/2014/main" id="{00000000-0008-0000-0400-000003000000}"/>
            </a:ext>
          </a:extLst>
        </xdr:cNvPr>
        <xdr:cNvCxnSpPr/>
      </xdr:nvCxnSpPr>
      <xdr:spPr>
        <a:xfrm>
          <a:off x="9164638" y="3044825"/>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27214</xdr:colOff>
      <xdr:row>12</xdr:row>
      <xdr:rowOff>54428</xdr:rowOff>
    </xdr:from>
    <xdr:to>
      <xdr:col>5</xdr:col>
      <xdr:colOff>1328964</xdr:colOff>
      <xdr:row>12</xdr:row>
      <xdr:rowOff>54429</xdr:rowOff>
    </xdr:to>
    <xdr:cxnSp macro="">
      <xdr:nvCxnSpPr>
        <xdr:cNvPr id="4" name="Straight Arrow Connector 20">
          <a:extLst>
            <a:ext uri="{FF2B5EF4-FFF2-40B4-BE49-F238E27FC236}">
              <a16:creationId xmlns:a16="http://schemas.microsoft.com/office/drawing/2014/main" id="{00000000-0008-0000-0400-000004000000}"/>
            </a:ext>
          </a:extLst>
        </xdr:cNvPr>
        <xdr:cNvCxnSpPr/>
      </xdr:nvCxnSpPr>
      <xdr:spPr>
        <a:xfrm>
          <a:off x="4694464" y="3035753"/>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1391478</xdr:colOff>
      <xdr:row>14</xdr:row>
      <xdr:rowOff>8282</xdr:rowOff>
    </xdr:from>
    <xdr:to>
      <xdr:col>15</xdr:col>
      <xdr:colOff>1391478</xdr:colOff>
      <xdr:row>15</xdr:row>
      <xdr:rowOff>157369</xdr:rowOff>
    </xdr:to>
    <xdr:cxnSp macro="">
      <xdr:nvCxnSpPr>
        <xdr:cNvPr id="5" name="Rechte verbindingslijn met pijl 4">
          <a:extLst>
            <a:ext uri="{FF2B5EF4-FFF2-40B4-BE49-F238E27FC236}">
              <a16:creationId xmlns:a16="http://schemas.microsoft.com/office/drawing/2014/main" id="{00000000-0008-0000-0400-000005000000}"/>
            </a:ext>
          </a:extLst>
        </xdr:cNvPr>
        <xdr:cNvCxnSpPr/>
      </xdr:nvCxnSpPr>
      <xdr:spPr>
        <a:xfrm flipV="1">
          <a:off x="12211878" y="3313457"/>
          <a:ext cx="0" cy="31101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49697</xdr:colOff>
      <xdr:row>12</xdr:row>
      <xdr:rowOff>57978</xdr:rowOff>
    </xdr:from>
    <xdr:to>
      <xdr:col>13</xdr:col>
      <xdr:colOff>1351447</xdr:colOff>
      <xdr:row>12</xdr:row>
      <xdr:rowOff>57979</xdr:rowOff>
    </xdr:to>
    <xdr:cxnSp macro="">
      <xdr:nvCxnSpPr>
        <xdr:cNvPr id="7" name="Straight Arrow Connector 17">
          <a:extLst>
            <a:ext uri="{FF2B5EF4-FFF2-40B4-BE49-F238E27FC236}">
              <a16:creationId xmlns:a16="http://schemas.microsoft.com/office/drawing/2014/main" id="{00000000-0008-0000-0400-000007000000}"/>
            </a:ext>
          </a:extLst>
        </xdr:cNvPr>
        <xdr:cNvCxnSpPr/>
      </xdr:nvCxnSpPr>
      <xdr:spPr>
        <a:xfrm>
          <a:off x="13899047" y="3039303"/>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6569</xdr:colOff>
      <xdr:row>28</xdr:row>
      <xdr:rowOff>72259</xdr:rowOff>
    </xdr:from>
    <xdr:to>
      <xdr:col>6</xdr:col>
      <xdr:colOff>6569</xdr:colOff>
      <xdr:row>28</xdr:row>
      <xdr:rowOff>72259</xdr:rowOff>
    </xdr:to>
    <xdr:cxnSp macro="">
      <xdr:nvCxnSpPr>
        <xdr:cNvPr id="35" name="Rechte verbindingslijn met pijl 34">
          <a:extLst>
            <a:ext uri="{FF2B5EF4-FFF2-40B4-BE49-F238E27FC236}">
              <a16:creationId xmlns:a16="http://schemas.microsoft.com/office/drawing/2014/main" id="{00000000-0008-0000-0400-000023000000}"/>
            </a:ext>
          </a:extLst>
        </xdr:cNvPr>
        <xdr:cNvCxnSpPr/>
      </xdr:nvCxnSpPr>
      <xdr:spPr>
        <a:xfrm>
          <a:off x="4677103" y="5708431"/>
          <a:ext cx="1379483"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6569</xdr:colOff>
      <xdr:row>28</xdr:row>
      <xdr:rowOff>72259</xdr:rowOff>
    </xdr:from>
    <xdr:to>
      <xdr:col>6</xdr:col>
      <xdr:colOff>6569</xdr:colOff>
      <xdr:row>28</xdr:row>
      <xdr:rowOff>72259</xdr:rowOff>
    </xdr:to>
    <xdr:cxnSp macro="">
      <xdr:nvCxnSpPr>
        <xdr:cNvPr id="38" name="Rechte verbindingslijn met pijl 37">
          <a:extLst>
            <a:ext uri="{FF2B5EF4-FFF2-40B4-BE49-F238E27FC236}">
              <a16:creationId xmlns:a16="http://schemas.microsoft.com/office/drawing/2014/main" id="{00000000-0008-0000-0400-000026000000}"/>
            </a:ext>
          </a:extLst>
        </xdr:cNvPr>
        <xdr:cNvCxnSpPr/>
      </xdr:nvCxnSpPr>
      <xdr:spPr>
        <a:xfrm>
          <a:off x="4681146" y="5626067"/>
          <a:ext cx="138478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12431</xdr:colOff>
      <xdr:row>38</xdr:row>
      <xdr:rowOff>65942</xdr:rowOff>
    </xdr:from>
    <xdr:to>
      <xdr:col>5</xdr:col>
      <xdr:colOff>1370135</xdr:colOff>
      <xdr:row>42</xdr:row>
      <xdr:rowOff>12178</xdr:rowOff>
    </xdr:to>
    <xdr:cxnSp macro="">
      <xdr:nvCxnSpPr>
        <xdr:cNvPr id="39" name="Rechte verbindingslijn met pijl 38">
          <a:extLst>
            <a:ext uri="{FF2B5EF4-FFF2-40B4-BE49-F238E27FC236}">
              <a16:creationId xmlns:a16="http://schemas.microsoft.com/office/drawing/2014/main" id="{00000000-0008-0000-0400-000027000000}"/>
            </a:ext>
          </a:extLst>
        </xdr:cNvPr>
        <xdr:cNvCxnSpPr/>
      </xdr:nvCxnSpPr>
      <xdr:spPr>
        <a:xfrm flipV="1">
          <a:off x="4539607" y="6610177"/>
          <a:ext cx="1357704" cy="57376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179484</xdr:colOff>
      <xdr:row>43</xdr:row>
      <xdr:rowOff>21981</xdr:rowOff>
    </xdr:from>
    <xdr:to>
      <xdr:col>6</xdr:col>
      <xdr:colOff>7327</xdr:colOff>
      <xdr:row>43</xdr:row>
      <xdr:rowOff>62003</xdr:rowOff>
    </xdr:to>
    <xdr:cxnSp macro="">
      <xdr:nvCxnSpPr>
        <xdr:cNvPr id="41" name="Rechte verbindingslijn met pijl 40">
          <a:extLst>
            <a:ext uri="{FF2B5EF4-FFF2-40B4-BE49-F238E27FC236}">
              <a16:creationId xmlns:a16="http://schemas.microsoft.com/office/drawing/2014/main" id="{00000000-0008-0000-0400-000029000000}"/>
            </a:ext>
          </a:extLst>
        </xdr:cNvPr>
        <xdr:cNvCxnSpPr/>
      </xdr:nvCxnSpPr>
      <xdr:spPr>
        <a:xfrm flipV="1">
          <a:off x="4670888" y="7993673"/>
          <a:ext cx="1395804" cy="4002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7327</xdr:colOff>
      <xdr:row>44</xdr:row>
      <xdr:rowOff>29307</xdr:rowOff>
    </xdr:from>
    <xdr:to>
      <xdr:col>5</xdr:col>
      <xdr:colOff>1377461</xdr:colOff>
      <xdr:row>48</xdr:row>
      <xdr:rowOff>73269</xdr:rowOff>
    </xdr:to>
    <xdr:cxnSp macro="">
      <xdr:nvCxnSpPr>
        <xdr:cNvPr id="43" name="Rechte verbindingslijn met pijl 42">
          <a:extLst>
            <a:ext uri="{FF2B5EF4-FFF2-40B4-BE49-F238E27FC236}">
              <a16:creationId xmlns:a16="http://schemas.microsoft.com/office/drawing/2014/main" id="{00000000-0008-0000-0400-00002B000000}"/>
            </a:ext>
          </a:extLst>
        </xdr:cNvPr>
        <xdr:cNvCxnSpPr/>
      </xdr:nvCxnSpPr>
      <xdr:spPr>
        <a:xfrm>
          <a:off x="4681904" y="8162192"/>
          <a:ext cx="1370134" cy="68873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13189</xdr:colOff>
      <xdr:row>44</xdr:row>
      <xdr:rowOff>159726</xdr:rowOff>
    </xdr:from>
    <xdr:to>
      <xdr:col>6</xdr:col>
      <xdr:colOff>7327</xdr:colOff>
      <xdr:row>53</xdr:row>
      <xdr:rowOff>131885</xdr:rowOff>
    </xdr:to>
    <xdr:cxnSp macro="">
      <xdr:nvCxnSpPr>
        <xdr:cNvPr id="46" name="Rechte verbindingslijn met pijl 45">
          <a:extLst>
            <a:ext uri="{FF2B5EF4-FFF2-40B4-BE49-F238E27FC236}">
              <a16:creationId xmlns:a16="http://schemas.microsoft.com/office/drawing/2014/main" id="{00000000-0008-0000-0400-00002E000000}"/>
            </a:ext>
          </a:extLst>
        </xdr:cNvPr>
        <xdr:cNvCxnSpPr/>
      </xdr:nvCxnSpPr>
      <xdr:spPr>
        <a:xfrm>
          <a:off x="4687766" y="8292611"/>
          <a:ext cx="1378926" cy="142288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1383324</xdr:colOff>
      <xdr:row>50</xdr:row>
      <xdr:rowOff>13188</xdr:rowOff>
    </xdr:from>
    <xdr:to>
      <xdr:col>7</xdr:col>
      <xdr:colOff>1383324</xdr:colOff>
      <xdr:row>52</xdr:row>
      <xdr:rowOff>5861</xdr:rowOff>
    </xdr:to>
    <xdr:cxnSp macro="">
      <xdr:nvCxnSpPr>
        <xdr:cNvPr id="58" name="Rechte verbindingslijn met pijl 57">
          <a:extLst>
            <a:ext uri="{FF2B5EF4-FFF2-40B4-BE49-F238E27FC236}">
              <a16:creationId xmlns:a16="http://schemas.microsoft.com/office/drawing/2014/main" id="{00000000-0008-0000-0400-00003A000000}"/>
            </a:ext>
          </a:extLst>
        </xdr:cNvPr>
        <xdr:cNvCxnSpPr/>
      </xdr:nvCxnSpPr>
      <xdr:spPr>
        <a:xfrm>
          <a:off x="7625862" y="9113226"/>
          <a:ext cx="0" cy="31505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298181</xdr:colOff>
      <xdr:row>44</xdr:row>
      <xdr:rowOff>125013</xdr:rowOff>
    </xdr:from>
    <xdr:to>
      <xdr:col>14</xdr:col>
      <xdr:colOff>9525</xdr:colOff>
      <xdr:row>47</xdr:row>
      <xdr:rowOff>133350</xdr:rowOff>
    </xdr:to>
    <xdr:cxnSp macro="">
      <xdr:nvCxnSpPr>
        <xdr:cNvPr id="59" name="Rechte verbindingslijn met pijl 58">
          <a:extLst>
            <a:ext uri="{FF2B5EF4-FFF2-40B4-BE49-F238E27FC236}">
              <a16:creationId xmlns:a16="http://schemas.microsoft.com/office/drawing/2014/main" id="{00000000-0008-0000-0400-00003B000000}"/>
            </a:ext>
          </a:extLst>
        </xdr:cNvPr>
        <xdr:cNvCxnSpPr/>
      </xdr:nvCxnSpPr>
      <xdr:spPr>
        <a:xfrm>
          <a:off x="13833206" y="8287938"/>
          <a:ext cx="1406794" cy="49411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3639</xdr:colOff>
      <xdr:row>44</xdr:row>
      <xdr:rowOff>124557</xdr:rowOff>
    </xdr:from>
    <xdr:to>
      <xdr:col>10</xdr:col>
      <xdr:colOff>14654</xdr:colOff>
      <xdr:row>53</xdr:row>
      <xdr:rowOff>105963</xdr:rowOff>
    </xdr:to>
    <xdr:cxnSp macro="">
      <xdr:nvCxnSpPr>
        <xdr:cNvPr id="60" name="Rechte verbindingslijn met pijl 59">
          <a:extLst>
            <a:ext uri="{FF2B5EF4-FFF2-40B4-BE49-F238E27FC236}">
              <a16:creationId xmlns:a16="http://schemas.microsoft.com/office/drawing/2014/main" id="{00000000-0008-0000-0400-00003C000000}"/>
            </a:ext>
          </a:extLst>
        </xdr:cNvPr>
        <xdr:cNvCxnSpPr/>
      </xdr:nvCxnSpPr>
      <xdr:spPr>
        <a:xfrm flipV="1">
          <a:off x="9147639" y="8257442"/>
          <a:ext cx="1395803" cy="143213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12431</xdr:colOff>
      <xdr:row>43</xdr:row>
      <xdr:rowOff>48813</xdr:rowOff>
    </xdr:from>
    <xdr:to>
      <xdr:col>14</xdr:col>
      <xdr:colOff>12431</xdr:colOff>
      <xdr:row>43</xdr:row>
      <xdr:rowOff>48813</xdr:rowOff>
    </xdr:to>
    <xdr:cxnSp macro="">
      <xdr:nvCxnSpPr>
        <xdr:cNvPr id="62" name="Rechte verbindingslijn met pijl 61">
          <a:extLst>
            <a:ext uri="{FF2B5EF4-FFF2-40B4-BE49-F238E27FC236}">
              <a16:creationId xmlns:a16="http://schemas.microsoft.com/office/drawing/2014/main" id="{00000000-0008-0000-0400-00003E000000}"/>
            </a:ext>
          </a:extLst>
        </xdr:cNvPr>
        <xdr:cNvCxnSpPr/>
      </xdr:nvCxnSpPr>
      <xdr:spPr>
        <a:xfrm>
          <a:off x="9156431" y="8020505"/>
          <a:ext cx="138478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139211</xdr:colOff>
      <xdr:row>41</xdr:row>
      <xdr:rowOff>7327</xdr:rowOff>
    </xdr:from>
    <xdr:to>
      <xdr:col>8</xdr:col>
      <xdr:colOff>139211</xdr:colOff>
      <xdr:row>42</xdr:row>
      <xdr:rowOff>0</xdr:rowOff>
    </xdr:to>
    <xdr:cxnSp macro="">
      <xdr:nvCxnSpPr>
        <xdr:cNvPr id="64" name="Rechte verbindingslijn 63">
          <a:extLst>
            <a:ext uri="{FF2B5EF4-FFF2-40B4-BE49-F238E27FC236}">
              <a16:creationId xmlns:a16="http://schemas.microsoft.com/office/drawing/2014/main" id="{00000000-0008-0000-0400-000040000000}"/>
            </a:ext>
          </a:extLst>
        </xdr:cNvPr>
        <xdr:cNvCxnSpPr/>
      </xdr:nvCxnSpPr>
      <xdr:spPr>
        <a:xfrm flipV="1">
          <a:off x="9100038" y="7656635"/>
          <a:ext cx="0" cy="15386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139211</xdr:colOff>
      <xdr:row>41</xdr:row>
      <xdr:rowOff>14654</xdr:rowOff>
    </xdr:from>
    <xdr:to>
      <xdr:col>15</xdr:col>
      <xdr:colOff>1370135</xdr:colOff>
      <xdr:row>41</xdr:row>
      <xdr:rowOff>14654</xdr:rowOff>
    </xdr:to>
    <xdr:cxnSp macro="">
      <xdr:nvCxnSpPr>
        <xdr:cNvPr id="70" name="Rechte verbindingslijn 69">
          <a:extLst>
            <a:ext uri="{FF2B5EF4-FFF2-40B4-BE49-F238E27FC236}">
              <a16:creationId xmlns:a16="http://schemas.microsoft.com/office/drawing/2014/main" id="{00000000-0008-0000-0400-000046000000}"/>
            </a:ext>
          </a:extLst>
        </xdr:cNvPr>
        <xdr:cNvCxnSpPr/>
      </xdr:nvCxnSpPr>
      <xdr:spPr>
        <a:xfrm>
          <a:off x="9100038" y="7663962"/>
          <a:ext cx="784713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1362808</xdr:colOff>
      <xdr:row>41</xdr:row>
      <xdr:rowOff>11906</xdr:rowOff>
    </xdr:from>
    <xdr:to>
      <xdr:col>15</xdr:col>
      <xdr:colOff>1363265</xdr:colOff>
      <xdr:row>42</xdr:row>
      <xdr:rowOff>0</xdr:rowOff>
    </xdr:to>
    <xdr:cxnSp macro="">
      <xdr:nvCxnSpPr>
        <xdr:cNvPr id="72" name="Rechte verbindingslijn met pijl 71">
          <a:extLst>
            <a:ext uri="{FF2B5EF4-FFF2-40B4-BE49-F238E27FC236}">
              <a16:creationId xmlns:a16="http://schemas.microsoft.com/office/drawing/2014/main" id="{00000000-0008-0000-0400-000048000000}"/>
            </a:ext>
          </a:extLst>
        </xdr:cNvPr>
        <xdr:cNvCxnSpPr/>
      </xdr:nvCxnSpPr>
      <xdr:spPr>
        <a:xfrm flipH="1">
          <a:off x="16489699" y="7185422"/>
          <a:ext cx="457" cy="14882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49</xdr:row>
      <xdr:rowOff>114300</xdr:rowOff>
    </xdr:from>
    <xdr:to>
      <xdr:col>14</xdr:col>
      <xdr:colOff>28575</xdr:colOff>
      <xdr:row>54</xdr:row>
      <xdr:rowOff>95251</xdr:rowOff>
    </xdr:to>
    <xdr:cxnSp macro="">
      <xdr:nvCxnSpPr>
        <xdr:cNvPr id="74" name="Rechte verbindingslijn met pijl 73">
          <a:extLst>
            <a:ext uri="{FF2B5EF4-FFF2-40B4-BE49-F238E27FC236}">
              <a16:creationId xmlns:a16="http://schemas.microsoft.com/office/drawing/2014/main" id="{00000000-0008-0000-0400-00004A000000}"/>
            </a:ext>
          </a:extLst>
        </xdr:cNvPr>
        <xdr:cNvCxnSpPr/>
      </xdr:nvCxnSpPr>
      <xdr:spPr>
        <a:xfrm flipV="1">
          <a:off x="9124950" y="9086850"/>
          <a:ext cx="6134100" cy="79057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31481</xdr:colOff>
      <xdr:row>43</xdr:row>
      <xdr:rowOff>19505</xdr:rowOff>
    </xdr:from>
    <xdr:to>
      <xdr:col>10</xdr:col>
      <xdr:colOff>31481</xdr:colOff>
      <xdr:row>43</xdr:row>
      <xdr:rowOff>19505</xdr:rowOff>
    </xdr:to>
    <xdr:cxnSp macro="">
      <xdr:nvCxnSpPr>
        <xdr:cNvPr id="77" name="Rechte verbindingslijn met pijl 76">
          <a:extLst>
            <a:ext uri="{FF2B5EF4-FFF2-40B4-BE49-F238E27FC236}">
              <a16:creationId xmlns:a16="http://schemas.microsoft.com/office/drawing/2014/main" id="{00000000-0008-0000-0400-00004D000000}"/>
            </a:ext>
          </a:extLst>
        </xdr:cNvPr>
        <xdr:cNvCxnSpPr/>
      </xdr:nvCxnSpPr>
      <xdr:spPr>
        <a:xfrm>
          <a:off x="9156431" y="8020505"/>
          <a:ext cx="138112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12431</xdr:colOff>
      <xdr:row>43</xdr:row>
      <xdr:rowOff>48813</xdr:rowOff>
    </xdr:from>
    <xdr:to>
      <xdr:col>18</xdr:col>
      <xdr:colOff>12431</xdr:colOff>
      <xdr:row>43</xdr:row>
      <xdr:rowOff>48813</xdr:rowOff>
    </xdr:to>
    <xdr:cxnSp macro="">
      <xdr:nvCxnSpPr>
        <xdr:cNvPr id="81" name="Rechte verbindingslijn met pijl 80">
          <a:extLst>
            <a:ext uri="{FF2B5EF4-FFF2-40B4-BE49-F238E27FC236}">
              <a16:creationId xmlns:a16="http://schemas.microsoft.com/office/drawing/2014/main" id="{00000000-0008-0000-0400-000051000000}"/>
            </a:ext>
          </a:extLst>
        </xdr:cNvPr>
        <xdr:cNvCxnSpPr/>
      </xdr:nvCxnSpPr>
      <xdr:spPr>
        <a:xfrm>
          <a:off x="13595081" y="8049813"/>
          <a:ext cx="138112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12431</xdr:colOff>
      <xdr:row>45</xdr:row>
      <xdr:rowOff>9525</xdr:rowOff>
    </xdr:from>
    <xdr:to>
      <xdr:col>17</xdr:col>
      <xdr:colOff>1371600</xdr:colOff>
      <xdr:row>48</xdr:row>
      <xdr:rowOff>86913</xdr:rowOff>
    </xdr:to>
    <xdr:cxnSp macro="">
      <xdr:nvCxnSpPr>
        <xdr:cNvPr id="82" name="Rechte verbindingslijn met pijl 81">
          <a:extLst>
            <a:ext uri="{FF2B5EF4-FFF2-40B4-BE49-F238E27FC236}">
              <a16:creationId xmlns:a16="http://schemas.microsoft.com/office/drawing/2014/main" id="{00000000-0008-0000-0400-000052000000}"/>
            </a:ext>
          </a:extLst>
        </xdr:cNvPr>
        <xdr:cNvCxnSpPr/>
      </xdr:nvCxnSpPr>
      <xdr:spPr>
        <a:xfrm flipV="1">
          <a:off x="18319481" y="8334375"/>
          <a:ext cx="1359169" cy="56316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11206</xdr:colOff>
      <xdr:row>13</xdr:row>
      <xdr:rowOff>67236</xdr:rowOff>
    </xdr:from>
    <xdr:to>
      <xdr:col>13</xdr:col>
      <xdr:colOff>1367118</xdr:colOff>
      <xdr:row>17</xdr:row>
      <xdr:rowOff>100854</xdr:rowOff>
    </xdr:to>
    <xdr:cxnSp macro="">
      <xdr:nvCxnSpPr>
        <xdr:cNvPr id="25" name="Straight Arrow Connector 17">
          <a:extLst>
            <a:ext uri="{FF2B5EF4-FFF2-40B4-BE49-F238E27FC236}">
              <a16:creationId xmlns:a16="http://schemas.microsoft.com/office/drawing/2014/main" id="{00000000-0008-0000-0400-000019000000}"/>
            </a:ext>
          </a:extLst>
        </xdr:cNvPr>
        <xdr:cNvCxnSpPr/>
      </xdr:nvCxnSpPr>
      <xdr:spPr>
        <a:xfrm flipV="1">
          <a:off x="13435853" y="2689412"/>
          <a:ext cx="1355912" cy="66114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6569</xdr:colOff>
      <xdr:row>28</xdr:row>
      <xdr:rowOff>72259</xdr:rowOff>
    </xdr:from>
    <xdr:to>
      <xdr:col>6</xdr:col>
      <xdr:colOff>6569</xdr:colOff>
      <xdr:row>28</xdr:row>
      <xdr:rowOff>72259</xdr:rowOff>
    </xdr:to>
    <xdr:cxnSp macro="">
      <xdr:nvCxnSpPr>
        <xdr:cNvPr id="28" name="Rechte verbindingslijn met pijl 34">
          <a:extLst>
            <a:ext uri="{FF2B5EF4-FFF2-40B4-BE49-F238E27FC236}">
              <a16:creationId xmlns:a16="http://schemas.microsoft.com/office/drawing/2014/main" id="{00000000-0008-0000-0400-00001C000000}"/>
            </a:ext>
          </a:extLst>
        </xdr:cNvPr>
        <xdr:cNvCxnSpPr/>
      </xdr:nvCxnSpPr>
      <xdr:spPr>
        <a:xfrm>
          <a:off x="4540469" y="5187184"/>
          <a:ext cx="138112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6569</xdr:colOff>
      <xdr:row>28</xdr:row>
      <xdr:rowOff>72259</xdr:rowOff>
    </xdr:from>
    <xdr:to>
      <xdr:col>6</xdr:col>
      <xdr:colOff>6569</xdr:colOff>
      <xdr:row>28</xdr:row>
      <xdr:rowOff>72259</xdr:rowOff>
    </xdr:to>
    <xdr:cxnSp macro="">
      <xdr:nvCxnSpPr>
        <xdr:cNvPr id="29" name="Rechte verbindingslijn met pijl 37">
          <a:extLst>
            <a:ext uri="{FF2B5EF4-FFF2-40B4-BE49-F238E27FC236}">
              <a16:creationId xmlns:a16="http://schemas.microsoft.com/office/drawing/2014/main" id="{00000000-0008-0000-0400-00001D000000}"/>
            </a:ext>
          </a:extLst>
        </xdr:cNvPr>
        <xdr:cNvCxnSpPr/>
      </xdr:nvCxnSpPr>
      <xdr:spPr>
        <a:xfrm>
          <a:off x="4540469" y="5187184"/>
          <a:ext cx="138112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6569</xdr:colOff>
      <xdr:row>33</xdr:row>
      <xdr:rowOff>72259</xdr:rowOff>
    </xdr:from>
    <xdr:to>
      <xdr:col>6</xdr:col>
      <xdr:colOff>6569</xdr:colOff>
      <xdr:row>33</xdr:row>
      <xdr:rowOff>72259</xdr:rowOff>
    </xdr:to>
    <xdr:cxnSp macro="">
      <xdr:nvCxnSpPr>
        <xdr:cNvPr id="30" name="Rechte verbindingslijn met pijl 34">
          <a:extLst>
            <a:ext uri="{FF2B5EF4-FFF2-40B4-BE49-F238E27FC236}">
              <a16:creationId xmlns:a16="http://schemas.microsoft.com/office/drawing/2014/main" id="{00000000-0008-0000-0400-00001E000000}"/>
            </a:ext>
          </a:extLst>
        </xdr:cNvPr>
        <xdr:cNvCxnSpPr/>
      </xdr:nvCxnSpPr>
      <xdr:spPr>
        <a:xfrm>
          <a:off x="4540469" y="5996809"/>
          <a:ext cx="138112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6569</xdr:colOff>
      <xdr:row>33</xdr:row>
      <xdr:rowOff>72259</xdr:rowOff>
    </xdr:from>
    <xdr:to>
      <xdr:col>6</xdr:col>
      <xdr:colOff>6569</xdr:colOff>
      <xdr:row>33</xdr:row>
      <xdr:rowOff>72259</xdr:rowOff>
    </xdr:to>
    <xdr:cxnSp macro="">
      <xdr:nvCxnSpPr>
        <xdr:cNvPr id="31" name="Rechte verbindingslijn met pijl 37">
          <a:extLst>
            <a:ext uri="{FF2B5EF4-FFF2-40B4-BE49-F238E27FC236}">
              <a16:creationId xmlns:a16="http://schemas.microsoft.com/office/drawing/2014/main" id="{00000000-0008-0000-0400-00001F000000}"/>
            </a:ext>
          </a:extLst>
        </xdr:cNvPr>
        <xdr:cNvCxnSpPr/>
      </xdr:nvCxnSpPr>
      <xdr:spPr>
        <a:xfrm>
          <a:off x="4540469" y="5996809"/>
          <a:ext cx="138112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1355912</xdr:colOff>
      <xdr:row>29</xdr:row>
      <xdr:rowOff>145676</xdr:rowOff>
    </xdr:from>
    <xdr:to>
      <xdr:col>7</xdr:col>
      <xdr:colOff>1355912</xdr:colOff>
      <xdr:row>31</xdr:row>
      <xdr:rowOff>142658</xdr:rowOff>
    </xdr:to>
    <xdr:cxnSp macro="">
      <xdr:nvCxnSpPr>
        <xdr:cNvPr id="32" name="Rechte verbindingslijn met pijl 56">
          <a:extLst>
            <a:ext uri="{FF2B5EF4-FFF2-40B4-BE49-F238E27FC236}">
              <a16:creationId xmlns:a16="http://schemas.microsoft.com/office/drawing/2014/main" id="{00000000-0008-0000-0400-000020000000}"/>
            </a:ext>
          </a:extLst>
        </xdr:cNvPr>
        <xdr:cNvCxnSpPr/>
      </xdr:nvCxnSpPr>
      <xdr:spPr>
        <a:xfrm>
          <a:off x="7451912" y="5422526"/>
          <a:ext cx="0" cy="32083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1371859</xdr:colOff>
      <xdr:row>40</xdr:row>
      <xdr:rowOff>0</xdr:rowOff>
    </xdr:from>
    <xdr:to>
      <xdr:col>7</xdr:col>
      <xdr:colOff>1371859</xdr:colOff>
      <xdr:row>41</xdr:row>
      <xdr:rowOff>153865</xdr:rowOff>
    </xdr:to>
    <xdr:cxnSp macro="">
      <xdr:nvCxnSpPr>
        <xdr:cNvPr id="37" name="Rechte verbindingslijn met pijl 56">
          <a:extLst>
            <a:ext uri="{FF2B5EF4-FFF2-40B4-BE49-F238E27FC236}">
              <a16:creationId xmlns:a16="http://schemas.microsoft.com/office/drawing/2014/main" id="{00000000-0008-0000-0400-000025000000}"/>
            </a:ext>
          </a:extLst>
        </xdr:cNvPr>
        <xdr:cNvCxnSpPr/>
      </xdr:nvCxnSpPr>
      <xdr:spPr>
        <a:xfrm>
          <a:off x="7456653" y="6858000"/>
          <a:ext cx="0" cy="31074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CR\Afgeschermd\Cluster%20Control\00%20aNieuwe%20structuur\420%20-%20Overige%20verzoeken%20Energiekamer%20(DE)\50%20-%20Werkbestanden\indirecte%20OPEX%20en%20meerkosten%20WON\model%20segmentering%202008%20def%20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 val="Resultaat"/>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gulering.energie@acm.n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cm.nl/nl/publicaties/berekening-x-factor-bij-gewijzigde-x-factorbesluiten-gas-2017-2021" TargetMode="External"/><Relationship Id="rId1" Type="http://schemas.openxmlformats.org/officeDocument/2006/relationships/hyperlink" Target="https://support.office.com/nl-nl/article/de-invoegtoepassing-oplosser-laden-in-excel-612926fc-d53b-46b4-872c-e24772f078c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tabColor rgb="FFCCC8D9"/>
  </sheetPr>
  <dimension ref="B2:C36"/>
  <sheetViews>
    <sheetView showGridLines="0" tabSelected="1"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6" customWidth="1"/>
    <col min="2" max="2" width="39.85546875" style="6" customWidth="1"/>
    <col min="3" max="3" width="91.85546875" style="6" customWidth="1"/>
    <col min="4" max="16384" width="9.140625" style="6"/>
  </cols>
  <sheetData>
    <row r="2" spans="2:3" s="12" customFormat="1" ht="18" x14ac:dyDescent="0.2">
      <c r="B2" s="12" t="s">
        <v>559</v>
      </c>
    </row>
    <row r="6" spans="2:3" x14ac:dyDescent="0.2">
      <c r="B6" s="7"/>
    </row>
    <row r="13" spans="2:3" s="13" customFormat="1" x14ac:dyDescent="0.2">
      <c r="B13" s="13" t="s">
        <v>0</v>
      </c>
    </row>
    <row r="14" spans="2:3" s="14" customFormat="1" x14ac:dyDescent="0.2"/>
    <row r="15" spans="2:3" x14ac:dyDescent="0.2">
      <c r="B15" s="15" t="s">
        <v>1</v>
      </c>
      <c r="C15" s="16" t="s">
        <v>560</v>
      </c>
    </row>
    <row r="16" spans="2:3" x14ac:dyDescent="0.2">
      <c r="B16" s="15" t="s">
        <v>2</v>
      </c>
      <c r="C16" s="16" t="s">
        <v>559</v>
      </c>
    </row>
    <row r="17" spans="2:3" x14ac:dyDescent="0.2">
      <c r="B17" s="15" t="s">
        <v>3</v>
      </c>
      <c r="C17" s="16" t="s">
        <v>340</v>
      </c>
    </row>
    <row r="18" spans="2:3" x14ac:dyDescent="0.2">
      <c r="B18" s="15" t="s">
        <v>4</v>
      </c>
      <c r="C18" s="16" t="s">
        <v>561</v>
      </c>
    </row>
    <row r="19" spans="2:3" x14ac:dyDescent="0.2">
      <c r="B19" s="15" t="s">
        <v>5</v>
      </c>
      <c r="C19" s="16" t="s">
        <v>340</v>
      </c>
    </row>
    <row r="20" spans="2:3" x14ac:dyDescent="0.2">
      <c r="B20" s="15" t="s">
        <v>6</v>
      </c>
      <c r="C20" s="16" t="s">
        <v>340</v>
      </c>
    </row>
    <row r="21" spans="2:3" x14ac:dyDescent="0.2">
      <c r="B21" s="15" t="s">
        <v>7</v>
      </c>
      <c r="C21" s="16" t="s">
        <v>584</v>
      </c>
    </row>
    <row r="22" spans="2:3" x14ac:dyDescent="0.2">
      <c r="B22" s="15" t="s">
        <v>8</v>
      </c>
      <c r="C22" s="16" t="s">
        <v>340</v>
      </c>
    </row>
    <row r="25" spans="2:3" s="13" customFormat="1" x14ac:dyDescent="0.2">
      <c r="B25" s="13" t="s">
        <v>9</v>
      </c>
    </row>
    <row r="27" spans="2:3" x14ac:dyDescent="0.2">
      <c r="B27" s="15" t="s">
        <v>10</v>
      </c>
      <c r="C27" s="16" t="s">
        <v>585</v>
      </c>
    </row>
    <row r="28" spans="2:3" x14ac:dyDescent="0.2">
      <c r="B28" s="40" t="s">
        <v>64</v>
      </c>
      <c r="C28" s="16" t="s">
        <v>585</v>
      </c>
    </row>
    <row r="29" spans="2:3" ht="25.5" x14ac:dyDescent="0.2">
      <c r="B29" s="15" t="s">
        <v>11</v>
      </c>
      <c r="C29" s="16" t="s">
        <v>585</v>
      </c>
    </row>
    <row r="30" spans="2:3" x14ac:dyDescent="0.2">
      <c r="B30" s="35" t="s">
        <v>63</v>
      </c>
      <c r="C30" s="16" t="s">
        <v>586</v>
      </c>
    </row>
    <row r="31" spans="2:3" x14ac:dyDescent="0.2">
      <c r="B31" s="15" t="s">
        <v>12</v>
      </c>
      <c r="C31" s="16" t="s">
        <v>340</v>
      </c>
    </row>
    <row r="32" spans="2:3" x14ac:dyDescent="0.2">
      <c r="B32" s="15" t="s">
        <v>8</v>
      </c>
      <c r="C32" s="16" t="s">
        <v>340</v>
      </c>
    </row>
    <row r="34" spans="2:2" s="13" customFormat="1" x14ac:dyDescent="0.2">
      <c r="B34" s="13" t="s">
        <v>296</v>
      </c>
    </row>
    <row r="35" spans="2:2" x14ac:dyDescent="0.2">
      <c r="B35" s="10"/>
    </row>
    <row r="36" spans="2:2" x14ac:dyDescent="0.2">
      <c r="B36" s="41" t="s">
        <v>341</v>
      </c>
    </row>
  </sheetData>
  <hyperlinks>
    <hyperlink ref="B36" r:id="rId1" xr:uid="{00000000-0004-0000-0300-000000000000}"/>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4">
    <tabColor theme="0" tint="-4.9989318521683403E-2"/>
  </sheetPr>
  <dimension ref="A1"/>
  <sheetViews>
    <sheetView showGridLines="0" zoomScale="85" zoomScaleNormal="85" workbookViewId="0"/>
  </sheetViews>
  <sheetFormatPr defaultRowHeight="12.75" x14ac:dyDescent="0.2"/>
  <cols>
    <col min="1" max="16384" width="9.140625" style="28"/>
  </cols>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21">
    <tabColor rgb="FFFFFFCC"/>
  </sheetPr>
  <dimension ref="B1:Z34"/>
  <sheetViews>
    <sheetView showGridLines="0" zoomScale="85" zoomScaleNormal="85" workbookViewId="0">
      <pane xSplit="6" ySplit="7" topLeftCell="G8" activePane="bottomRight" state="frozen"/>
      <selection pane="topRight"/>
      <selection pane="bottomLeft"/>
      <selection pane="bottomRight" activeCell="G8" sqref="G8"/>
    </sheetView>
  </sheetViews>
  <sheetFormatPr defaultRowHeight="12.75" customHeight="1" x14ac:dyDescent="0.2"/>
  <cols>
    <col min="1" max="1" width="2.7109375" style="118" customWidth="1"/>
    <col min="2" max="2" width="26.5703125" style="118" customWidth="1"/>
    <col min="3" max="3" width="2.7109375" style="118" customWidth="1"/>
    <col min="4" max="4" width="17" style="118" customWidth="1"/>
    <col min="5" max="5" width="2.7109375" style="118" customWidth="1"/>
    <col min="6" max="6" width="14" style="118" customWidth="1"/>
    <col min="7" max="7" width="2.7109375" style="118" customWidth="1"/>
    <col min="8" max="8" width="15.7109375" style="119" customWidth="1"/>
    <col min="9" max="9" width="2.7109375" style="118" customWidth="1"/>
    <col min="10" max="10" width="15.7109375" style="119" customWidth="1"/>
    <col min="11" max="11" width="2.42578125" style="119" customWidth="1"/>
    <col min="12" max="18" width="14.7109375" style="119" customWidth="1"/>
    <col min="19" max="23" width="14.7109375" style="118" customWidth="1"/>
    <col min="24" max="24" width="2.42578125" style="119" customWidth="1"/>
    <col min="25" max="16384" width="9.140625" style="118"/>
  </cols>
  <sheetData>
    <row r="1" spans="2:26" s="6" customFormat="1" x14ac:dyDescent="0.2"/>
    <row r="2" spans="2:26" s="26" customFormat="1" ht="18" x14ac:dyDescent="0.2">
      <c r="B2" s="26" t="s">
        <v>497</v>
      </c>
    </row>
    <row r="3" spans="2:26" s="6" customFormat="1" x14ac:dyDescent="0.2"/>
    <row r="4" spans="2:26" s="6" customFormat="1" x14ac:dyDescent="0.2">
      <c r="B4" s="33" t="s">
        <v>26</v>
      </c>
      <c r="K4" s="116"/>
      <c r="L4" s="116"/>
      <c r="M4" s="116"/>
      <c r="X4" s="116"/>
    </row>
    <row r="5" spans="2:26" s="6" customFormat="1" ht="38.25" customHeight="1" x14ac:dyDescent="0.2">
      <c r="B5" s="187" t="s">
        <v>498</v>
      </c>
      <c r="C5" s="187"/>
      <c r="D5" s="187"/>
      <c r="E5" s="187"/>
    </row>
    <row r="6" spans="2:26" ht="12.75" customHeight="1" x14ac:dyDescent="0.2">
      <c r="B6" s="117"/>
    </row>
    <row r="7" spans="2:26" s="13" customFormat="1" x14ac:dyDescent="0.2">
      <c r="B7" s="13" t="s">
        <v>42</v>
      </c>
      <c r="D7" s="13" t="s">
        <v>71</v>
      </c>
      <c r="F7" s="13" t="s">
        <v>25</v>
      </c>
      <c r="H7" s="13" t="s">
        <v>302</v>
      </c>
      <c r="J7" s="13" t="s">
        <v>325</v>
      </c>
      <c r="L7" s="120">
        <v>2015</v>
      </c>
      <c r="M7" s="52">
        <v>2016</v>
      </c>
      <c r="N7" s="120">
        <v>2017</v>
      </c>
      <c r="O7" s="52">
        <v>2018</v>
      </c>
      <c r="P7" s="120">
        <v>2019</v>
      </c>
      <c r="Q7" s="52">
        <v>2020</v>
      </c>
      <c r="R7" s="52">
        <v>2021</v>
      </c>
      <c r="S7" s="52">
        <v>2022</v>
      </c>
      <c r="T7" s="52">
        <v>2023</v>
      </c>
      <c r="U7" s="52">
        <v>2024</v>
      </c>
      <c r="V7" s="52">
        <v>2025</v>
      </c>
      <c r="W7" s="52">
        <v>2026</v>
      </c>
      <c r="Y7" s="13" t="s">
        <v>43</v>
      </c>
    </row>
    <row r="9" spans="2:26" s="13" customFormat="1" x14ac:dyDescent="0.2">
      <c r="B9" s="13" t="s">
        <v>146</v>
      </c>
    </row>
    <row r="10" spans="2:26" x14ac:dyDescent="0.2">
      <c r="H10" s="118"/>
      <c r="J10" s="118"/>
      <c r="K10" s="118"/>
      <c r="L10" s="118"/>
      <c r="M10" s="118"/>
      <c r="N10" s="118"/>
      <c r="O10" s="118"/>
      <c r="P10" s="118"/>
      <c r="Q10" s="118"/>
      <c r="R10" s="118"/>
      <c r="X10" s="118"/>
    </row>
    <row r="11" spans="2:26" x14ac:dyDescent="0.2">
      <c r="B11" s="121" t="s">
        <v>475</v>
      </c>
      <c r="H11" s="118"/>
      <c r="J11" s="118"/>
      <c r="K11" s="118"/>
      <c r="L11" s="118"/>
      <c r="M11" s="118"/>
      <c r="N11" s="118"/>
      <c r="O11" s="118"/>
      <c r="P11" s="118"/>
      <c r="Q11" s="118"/>
      <c r="R11" s="118"/>
      <c r="X11" s="118"/>
    </row>
    <row r="12" spans="2:26" x14ac:dyDescent="0.2">
      <c r="B12" s="118" t="s">
        <v>475</v>
      </c>
      <c r="F12" s="118" t="s">
        <v>110</v>
      </c>
      <c r="H12" s="118"/>
      <c r="J12" s="118"/>
      <c r="K12" s="118"/>
      <c r="L12" s="118"/>
      <c r="M12" s="118"/>
      <c r="N12" s="118"/>
      <c r="O12" s="118"/>
      <c r="P12" s="118"/>
      <c r="Q12" s="118"/>
      <c r="R12" s="123">
        <f>'1) Reguleringsparameters'!H13</f>
        <v>3.4000000000000002E-2</v>
      </c>
      <c r="S12" s="122"/>
      <c r="T12" s="122"/>
      <c r="U12" s="122"/>
      <c r="V12" s="122"/>
      <c r="W12" s="123">
        <f>'1) Reguleringsparameters'!H14</f>
        <v>3.6999999999999998E-2</v>
      </c>
      <c r="X12" s="118"/>
    </row>
    <row r="13" spans="2:26" x14ac:dyDescent="0.2">
      <c r="H13" s="118"/>
      <c r="J13" s="118"/>
      <c r="K13" s="118"/>
      <c r="L13" s="118"/>
      <c r="M13" s="118"/>
      <c r="N13" s="118"/>
      <c r="O13" s="118"/>
      <c r="P13" s="118"/>
      <c r="Q13" s="118"/>
      <c r="R13" s="118"/>
      <c r="X13" s="118"/>
    </row>
    <row r="14" spans="2:26" x14ac:dyDescent="0.2">
      <c r="B14" s="121" t="s">
        <v>326</v>
      </c>
      <c r="H14" s="118"/>
      <c r="J14" s="118"/>
      <c r="K14" s="118"/>
      <c r="L14" s="118"/>
      <c r="M14" s="118"/>
      <c r="N14" s="118"/>
      <c r="O14" s="118"/>
      <c r="P14" s="118"/>
      <c r="Q14" s="118"/>
      <c r="R14" s="118"/>
      <c r="X14" s="118"/>
    </row>
    <row r="15" spans="2:26" x14ac:dyDescent="0.2">
      <c r="B15" s="118" t="s">
        <v>327</v>
      </c>
      <c r="F15" s="118" t="s">
        <v>110</v>
      </c>
      <c r="H15" s="118"/>
      <c r="J15" s="118"/>
      <c r="K15" s="118"/>
      <c r="L15" s="122"/>
      <c r="M15" s="123">
        <f>'1) Reguleringsparameters'!M23</f>
        <v>8.0000000000000002E-3</v>
      </c>
      <c r="N15" s="123">
        <f>'1) Reguleringsparameters'!N23</f>
        <v>2E-3</v>
      </c>
      <c r="O15" s="123">
        <f>'1) Reguleringsparameters'!O23</f>
        <v>1.4E-2</v>
      </c>
      <c r="P15" s="123">
        <f>'1) Reguleringsparameters'!P23</f>
        <v>2.1000000000000001E-2</v>
      </c>
      <c r="Q15" s="123">
        <f>'1) Reguleringsparameters'!Q23</f>
        <v>2.8000000000000001E-2</v>
      </c>
      <c r="R15" s="123">
        <f>'1) Reguleringsparameters'!R23</f>
        <v>7.0000000000000001E-3</v>
      </c>
      <c r="X15" s="124"/>
    </row>
    <row r="16" spans="2:26" x14ac:dyDescent="0.2">
      <c r="H16" s="118"/>
      <c r="J16" s="118"/>
      <c r="K16" s="118"/>
      <c r="L16" s="118"/>
      <c r="M16" s="124"/>
      <c r="N16" s="124"/>
      <c r="O16" s="124"/>
      <c r="P16" s="124"/>
      <c r="Q16" s="124"/>
      <c r="R16" s="124"/>
      <c r="X16" s="124"/>
      <c r="Y16" s="125"/>
      <c r="Z16" s="125"/>
    </row>
    <row r="17" spans="2:26" s="13" customFormat="1" x14ac:dyDescent="0.2">
      <c r="B17" s="13" t="s">
        <v>476</v>
      </c>
    </row>
    <row r="18" spans="2:26" x14ac:dyDescent="0.2">
      <c r="H18" s="118"/>
      <c r="J18" s="118"/>
      <c r="K18" s="118"/>
      <c r="L18" s="118"/>
      <c r="M18" s="124"/>
      <c r="N18" s="124"/>
      <c r="O18" s="124"/>
      <c r="P18" s="124"/>
      <c r="Q18" s="124"/>
      <c r="R18" s="124"/>
      <c r="X18" s="124"/>
      <c r="Y18" s="125"/>
      <c r="Z18" s="125"/>
    </row>
    <row r="19" spans="2:26" x14ac:dyDescent="0.2">
      <c r="B19" s="179" t="s">
        <v>474</v>
      </c>
      <c r="F19" s="118" t="s">
        <v>110</v>
      </c>
      <c r="H19" s="118"/>
      <c r="J19" s="118"/>
      <c r="K19" s="118"/>
      <c r="L19" s="118"/>
      <c r="M19" s="124"/>
      <c r="N19" s="124"/>
      <c r="O19" s="124"/>
      <c r="P19" s="124"/>
      <c r="Q19" s="124"/>
      <c r="R19" s="123">
        <f>R12</f>
        <v>3.4000000000000002E-2</v>
      </c>
      <c r="S19" s="127">
        <f>R19*($W$12/$R$12)^(1/5)</f>
        <v>3.4579879729815202E-2</v>
      </c>
      <c r="T19" s="127">
        <f t="shared" ref="T19:W19" si="0">S19*($W$12/$R$12)^(1/5)</f>
        <v>3.5169649474367189E-2</v>
      </c>
      <c r="U19" s="127">
        <f t="shared" si="0"/>
        <v>3.5769477910687526E-2</v>
      </c>
      <c r="V19" s="127">
        <f t="shared" si="0"/>
        <v>3.6379536592642828E-2</v>
      </c>
      <c r="W19" s="127">
        <f t="shared" si="0"/>
        <v>3.7000000000000005E-2</v>
      </c>
      <c r="X19" s="124"/>
      <c r="Y19" s="125"/>
      <c r="Z19" s="125"/>
    </row>
    <row r="20" spans="2:26" x14ac:dyDescent="0.2">
      <c r="H20" s="118"/>
      <c r="J20" s="118"/>
      <c r="K20" s="118"/>
      <c r="L20" s="118"/>
      <c r="M20" s="124"/>
      <c r="N20" s="124"/>
      <c r="O20" s="124"/>
      <c r="P20" s="124"/>
      <c r="Q20" s="124"/>
      <c r="R20" s="124"/>
      <c r="X20" s="124"/>
      <c r="Y20" s="125"/>
      <c r="Z20" s="125"/>
    </row>
    <row r="21" spans="2:26" x14ac:dyDescent="0.2">
      <c r="B21" s="118" t="s">
        <v>479</v>
      </c>
      <c r="F21" s="118" t="s">
        <v>477</v>
      </c>
      <c r="H21" s="118"/>
      <c r="J21" s="118"/>
      <c r="K21" s="118"/>
      <c r="L21" s="118"/>
      <c r="M21" s="124"/>
      <c r="N21" s="124"/>
      <c r="O21" s="124"/>
      <c r="P21" s="124"/>
      <c r="Q21" s="124"/>
      <c r="R21" s="124"/>
      <c r="S21" s="181">
        <v>1</v>
      </c>
      <c r="T21" s="182">
        <f>S21*(1+S19)</f>
        <v>1.0345798797298151</v>
      </c>
      <c r="U21" s="182">
        <f>T21*(1+T19)</f>
        <v>1.0709656914531458</v>
      </c>
      <c r="V21" s="182">
        <f t="shared" ref="V21:W21" si="1">U21*(1+U19)</f>
        <v>1.1092735750966833</v>
      </c>
      <c r="W21" s="182">
        <f t="shared" si="1"/>
        <v>1.149628433713165</v>
      </c>
      <c r="X21" s="124"/>
      <c r="Y21" s="125"/>
      <c r="Z21" s="125"/>
    </row>
    <row r="22" spans="2:26" x14ac:dyDescent="0.2">
      <c r="H22" s="118"/>
      <c r="J22" s="118"/>
      <c r="K22" s="118"/>
      <c r="L22" s="118"/>
      <c r="M22" s="124"/>
      <c r="N22" s="124"/>
      <c r="O22" s="124"/>
      <c r="P22" s="124"/>
      <c r="Q22" s="124"/>
      <c r="R22" s="124"/>
      <c r="X22" s="124"/>
      <c r="Y22" s="125"/>
      <c r="Z22" s="125"/>
    </row>
    <row r="23" spans="2:26" s="13" customFormat="1" x14ac:dyDescent="0.2">
      <c r="B23" s="13" t="s">
        <v>328</v>
      </c>
    </row>
    <row r="24" spans="2:26" s="6" customFormat="1" x14ac:dyDescent="0.2"/>
    <row r="25" spans="2:26" s="6" customFormat="1" x14ac:dyDescent="0.2">
      <c r="B25" s="5" t="s">
        <v>329</v>
      </c>
    </row>
    <row r="26" spans="2:26" s="6" customFormat="1" x14ac:dyDescent="0.2">
      <c r="B26" s="126"/>
      <c r="J26" s="14"/>
      <c r="L26" s="6">
        <v>2015</v>
      </c>
      <c r="M26" s="6">
        <v>2016</v>
      </c>
      <c r="N26" s="6">
        <v>2017</v>
      </c>
      <c r="O26" s="6">
        <v>2018</v>
      </c>
      <c r="P26" s="6">
        <v>2019</v>
      </c>
      <c r="Q26" s="6">
        <v>2020</v>
      </c>
      <c r="R26" s="6">
        <v>2021</v>
      </c>
      <c r="X26" s="14"/>
      <c r="Y26" s="14"/>
    </row>
    <row r="27" spans="2:26" s="6" customFormat="1" x14ac:dyDescent="0.2">
      <c r="B27" s="6">
        <v>2015</v>
      </c>
      <c r="J27" s="14"/>
      <c r="L27" s="122"/>
      <c r="M27" s="123">
        <f>M15</f>
        <v>8.0000000000000002E-3</v>
      </c>
      <c r="N27" s="127">
        <f>(1+N$15)*(1+M27)-1</f>
        <v>1.0016000000000025E-2</v>
      </c>
      <c r="O27" s="127">
        <f t="shared" ref="O27:R31" si="2">(1+O$15)*(1+N27)-1</f>
        <v>2.4156223999999948E-2</v>
      </c>
      <c r="P27" s="127">
        <f>(1+P$15)*(1+O27)-1</f>
        <v>4.5663504703999935E-2</v>
      </c>
      <c r="Q27" s="127">
        <f t="shared" si="2"/>
        <v>7.494208283571191E-2</v>
      </c>
      <c r="R27" s="127">
        <f t="shared" si="2"/>
        <v>8.2466677415561795E-2</v>
      </c>
      <c r="X27" s="128"/>
      <c r="Y27" s="175" t="s">
        <v>452</v>
      </c>
    </row>
    <row r="28" spans="2:26" s="6" customFormat="1" x14ac:dyDescent="0.2">
      <c r="B28" s="6">
        <v>2016</v>
      </c>
      <c r="J28" s="129"/>
      <c r="L28" s="122"/>
      <c r="M28" s="122"/>
      <c r="N28" s="123">
        <f>N15</f>
        <v>2E-3</v>
      </c>
      <c r="O28" s="127">
        <f t="shared" si="2"/>
        <v>1.6027999999999931E-2</v>
      </c>
      <c r="P28" s="127">
        <f t="shared" si="2"/>
        <v>3.7364587999999754E-2</v>
      </c>
      <c r="Q28" s="127">
        <f t="shared" si="2"/>
        <v>6.6410796463999722E-2</v>
      </c>
      <c r="R28" s="127">
        <f t="shared" si="2"/>
        <v>7.3875672039247497E-2</v>
      </c>
      <c r="X28" s="128"/>
      <c r="Y28" s="128"/>
    </row>
    <row r="29" spans="2:26" s="6" customFormat="1" x14ac:dyDescent="0.2">
      <c r="B29" s="6">
        <v>2017</v>
      </c>
      <c r="J29" s="129"/>
      <c r="L29" s="122"/>
      <c r="M29" s="122"/>
      <c r="N29" s="122"/>
      <c r="O29" s="123">
        <f>O15</f>
        <v>1.4E-2</v>
      </c>
      <c r="P29" s="127">
        <f t="shared" si="2"/>
        <v>3.5293999999999937E-2</v>
      </c>
      <c r="Q29" s="127">
        <f t="shared" si="2"/>
        <v>6.428223200000005E-2</v>
      </c>
      <c r="R29" s="127">
        <f t="shared" si="2"/>
        <v>7.17322076239999E-2</v>
      </c>
      <c r="X29" s="129"/>
      <c r="Y29" s="128"/>
    </row>
    <row r="30" spans="2:26" s="6" customFormat="1" x14ac:dyDescent="0.2">
      <c r="B30" s="6">
        <v>2018</v>
      </c>
      <c r="J30" s="129"/>
      <c r="L30" s="122"/>
      <c r="M30" s="122"/>
      <c r="N30" s="122"/>
      <c r="O30" s="122"/>
      <c r="P30" s="123">
        <f>P15</f>
        <v>2.1000000000000001E-2</v>
      </c>
      <c r="Q30" s="127">
        <f t="shared" si="2"/>
        <v>4.9587999999999965E-2</v>
      </c>
      <c r="R30" s="127">
        <f t="shared" si="2"/>
        <v>5.6935115999999786E-2</v>
      </c>
      <c r="X30" s="128"/>
      <c r="Y30" s="128"/>
    </row>
    <row r="31" spans="2:26" s="6" customFormat="1" x14ac:dyDescent="0.2">
      <c r="B31" s="6">
        <v>2019</v>
      </c>
      <c r="J31" s="129"/>
      <c r="L31" s="122"/>
      <c r="M31" s="122"/>
      <c r="N31" s="122"/>
      <c r="O31" s="122"/>
      <c r="P31" s="122"/>
      <c r="Q31" s="123">
        <f>Q15</f>
        <v>2.8000000000000001E-2</v>
      </c>
      <c r="R31" s="127">
        <f t="shared" si="2"/>
        <v>3.5196000000000005E-2</v>
      </c>
      <c r="X31" s="128"/>
      <c r="Y31" s="128"/>
    </row>
    <row r="32" spans="2:26" s="6" customFormat="1" x14ac:dyDescent="0.2">
      <c r="B32" s="6">
        <v>2020</v>
      </c>
      <c r="J32" s="129"/>
      <c r="L32" s="122"/>
      <c r="M32" s="122"/>
      <c r="N32" s="122"/>
      <c r="O32" s="122"/>
      <c r="P32" s="122"/>
      <c r="Q32" s="122"/>
      <c r="R32" s="123">
        <f>R15</f>
        <v>7.0000000000000001E-3</v>
      </c>
      <c r="X32" s="128"/>
      <c r="Y32" s="128"/>
    </row>
    <row r="33" spans="24:25" s="6" customFormat="1" x14ac:dyDescent="0.2">
      <c r="X33" s="14"/>
      <c r="Y33" s="14"/>
    </row>
    <row r="34" spans="24:25" s="6" customFormat="1" x14ac:dyDescent="0.2">
      <c r="X34" s="14"/>
      <c r="Y34" s="14"/>
    </row>
  </sheetData>
  <mergeCells count="1">
    <mergeCell ref="B5:E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tabColor rgb="FFFFFFCC"/>
  </sheetPr>
  <dimension ref="B2:T75"/>
  <sheetViews>
    <sheetView showGridLines="0" zoomScale="85" zoomScaleNormal="85" workbookViewId="0">
      <pane xSplit="6" ySplit="10" topLeftCell="G11" activePane="bottomRight" state="frozen"/>
      <selection pane="topRight" activeCell="G1" sqref="G1"/>
      <selection pane="bottomLeft" activeCell="A11" sqref="A11"/>
      <selection pane="bottomRight" activeCell="G11" sqref="G11"/>
    </sheetView>
  </sheetViews>
  <sheetFormatPr defaultRowHeight="12.75" x14ac:dyDescent="0.2"/>
  <cols>
    <col min="1" max="1" width="2.7109375" style="6" customWidth="1"/>
    <col min="2" max="2" width="62.85546875" style="6" customWidth="1"/>
    <col min="3" max="3" width="4.85546875" style="6" customWidth="1"/>
    <col min="4" max="4" width="15.28515625" style="6" bestFit="1" customWidth="1"/>
    <col min="5" max="5" width="2.7109375" style="6" customWidth="1"/>
    <col min="6" max="6" width="17.85546875" style="6" customWidth="1"/>
    <col min="7" max="7" width="2.7109375" style="6" customWidth="1"/>
    <col min="8" max="8" width="19.5703125" style="6" bestFit="1" customWidth="1"/>
    <col min="9" max="9" width="15.5703125" style="6" customWidth="1"/>
    <col min="10" max="10" width="9" style="6" customWidth="1"/>
    <col min="11" max="11" width="9.140625" style="6" customWidth="1"/>
    <col min="12" max="12" width="5.5703125" style="6" customWidth="1"/>
    <col min="13" max="13" width="14.28515625" style="6" customWidth="1"/>
    <col min="14" max="14" width="16.28515625" style="6" customWidth="1"/>
    <col min="15" max="17" width="12.5703125" style="6" customWidth="1"/>
    <col min="18" max="18" width="14" style="6" bestFit="1" customWidth="1"/>
    <col min="19" max="19" width="2.7109375" style="6" customWidth="1"/>
    <col min="20" max="34" width="13.7109375" style="6" customWidth="1"/>
    <col min="35" max="16384" width="9.140625" style="6"/>
  </cols>
  <sheetData>
    <row r="2" spans="2:20" s="26" customFormat="1" ht="18" x14ac:dyDescent="0.2">
      <c r="B2" s="26" t="s">
        <v>379</v>
      </c>
    </row>
    <row r="4" spans="2:20" x14ac:dyDescent="0.2">
      <c r="B4" s="33" t="s">
        <v>52</v>
      </c>
      <c r="C4" s="33"/>
    </row>
    <row r="5" spans="2:20" ht="65.25" customHeight="1" x14ac:dyDescent="0.2">
      <c r="B5" s="187" t="s">
        <v>305</v>
      </c>
      <c r="C5" s="187"/>
      <c r="D5" s="187"/>
      <c r="E5" s="187"/>
    </row>
    <row r="6" spans="2:20" x14ac:dyDescent="0.2">
      <c r="B6" s="50"/>
      <c r="C6" s="50"/>
      <c r="D6" s="27"/>
    </row>
    <row r="7" spans="2:20" x14ac:dyDescent="0.2">
      <c r="B7" s="87" t="s">
        <v>27</v>
      </c>
      <c r="C7" s="50"/>
      <c r="D7" s="27"/>
    </row>
    <row r="8" spans="2:20" ht="63" customHeight="1" x14ac:dyDescent="0.2">
      <c r="B8" s="190" t="s">
        <v>495</v>
      </c>
      <c r="C8" s="190"/>
      <c r="D8" s="190"/>
      <c r="E8" s="190"/>
    </row>
    <row r="9" spans="2:20" x14ac:dyDescent="0.2">
      <c r="B9" s="50"/>
      <c r="C9" s="50"/>
      <c r="D9" s="27"/>
    </row>
    <row r="10" spans="2:20" s="13" customFormat="1" x14ac:dyDescent="0.2">
      <c r="B10" s="13" t="s">
        <v>42</v>
      </c>
      <c r="D10" s="13" t="s">
        <v>71</v>
      </c>
      <c r="F10" s="13" t="s">
        <v>25</v>
      </c>
      <c r="H10" s="13" t="s">
        <v>302</v>
      </c>
      <c r="K10" s="13" t="s">
        <v>303</v>
      </c>
      <c r="M10" s="52">
        <v>2015</v>
      </c>
      <c r="N10" s="52">
        <v>2016</v>
      </c>
      <c r="O10" s="52">
        <v>2017</v>
      </c>
      <c r="P10" s="52">
        <v>2018</v>
      </c>
      <c r="Q10" s="52">
        <v>2019</v>
      </c>
      <c r="R10" s="52">
        <v>2020</v>
      </c>
      <c r="T10" s="13" t="s">
        <v>43</v>
      </c>
    </row>
    <row r="12" spans="2:20" s="13" customFormat="1" x14ac:dyDescent="0.2">
      <c r="B12" s="13" t="s">
        <v>111</v>
      </c>
    </row>
    <row r="14" spans="2:20" x14ac:dyDescent="0.2">
      <c r="B14" s="51" t="s">
        <v>111</v>
      </c>
      <c r="C14" s="51"/>
    </row>
    <row r="15" spans="2:20" s="53" customFormat="1" ht="12.75" customHeight="1" x14ac:dyDescent="0.2">
      <c r="B15" s="53" t="s">
        <v>510</v>
      </c>
      <c r="F15" s="53" t="s">
        <v>110</v>
      </c>
      <c r="J15" s="130"/>
      <c r="K15" s="130"/>
      <c r="L15" s="131"/>
      <c r="M15" s="123">
        <f>'4) Berekeningen op parameters'!R27</f>
        <v>8.2466677415561795E-2</v>
      </c>
      <c r="N15" s="123">
        <f>'4) Berekeningen op parameters'!R28</f>
        <v>7.3875672039247497E-2</v>
      </c>
      <c r="O15" s="123">
        <f>'4) Berekeningen op parameters'!R29</f>
        <v>7.17322076239999E-2</v>
      </c>
      <c r="P15" s="123">
        <f>'4) Berekeningen op parameters'!R30</f>
        <v>5.6935115999999786E-2</v>
      </c>
      <c r="Q15" s="123">
        <f>'4) Berekeningen op parameters'!R31</f>
        <v>3.5196000000000005E-2</v>
      </c>
      <c r="R15" s="123">
        <f>'4) Berekeningen op parameters'!R32</f>
        <v>7.0000000000000001E-3</v>
      </c>
    </row>
    <row r="17" spans="2:18" x14ac:dyDescent="0.2">
      <c r="B17" s="5" t="s">
        <v>198</v>
      </c>
      <c r="C17" s="5"/>
    </row>
    <row r="18" spans="2:18" x14ac:dyDescent="0.2">
      <c r="B18" s="6" t="s">
        <v>114</v>
      </c>
      <c r="F18" s="6" t="s">
        <v>110</v>
      </c>
      <c r="H18" s="69">
        <f>'3)  SO, BI &amp; PV'!H45</f>
        <v>3.4336984622197176E-3</v>
      </c>
    </row>
    <row r="19" spans="2:18" x14ac:dyDescent="0.2">
      <c r="B19" s="6" t="s">
        <v>115</v>
      </c>
      <c r="F19" s="6" t="s">
        <v>110</v>
      </c>
      <c r="H19" s="69">
        <f>'3)  SO, BI &amp; PV'!H46</f>
        <v>-9.6159535007804657E-3</v>
      </c>
    </row>
    <row r="20" spans="2:18" x14ac:dyDescent="0.2">
      <c r="B20" s="6" t="s">
        <v>116</v>
      </c>
      <c r="F20" s="6" t="s">
        <v>110</v>
      </c>
      <c r="H20" s="69">
        <f>'3)  SO, BI &amp; PV'!H47</f>
        <v>5.669638437281856E-3</v>
      </c>
    </row>
    <row r="21" spans="2:18" x14ac:dyDescent="0.2">
      <c r="B21" s="6" t="s">
        <v>117</v>
      </c>
      <c r="F21" s="6" t="s">
        <v>110</v>
      </c>
      <c r="H21" s="69">
        <f>'3)  SO, BI &amp; PV'!H48</f>
        <v>2.2718773518675534E-2</v>
      </c>
    </row>
    <row r="22" spans="2:18" x14ac:dyDescent="0.2">
      <c r="B22" s="6" t="s">
        <v>118</v>
      </c>
      <c r="F22" s="6" t="s">
        <v>110</v>
      </c>
      <c r="H22" s="69">
        <f>'3)  SO, BI &amp; PV'!H49</f>
        <v>4.0933998445390918E-2</v>
      </c>
    </row>
    <row r="23" spans="2:18" x14ac:dyDescent="0.2">
      <c r="B23" s="6" t="s">
        <v>119</v>
      </c>
      <c r="F23" s="6" t="s">
        <v>110</v>
      </c>
      <c r="H23" s="69">
        <f>'3)  SO, BI &amp; PV'!H50</f>
        <v>-5.0751527634833593E-3</v>
      </c>
    </row>
    <row r="24" spans="2:18" x14ac:dyDescent="0.2">
      <c r="B24" s="6" t="s">
        <v>120</v>
      </c>
      <c r="F24" s="6" t="s">
        <v>110</v>
      </c>
      <c r="H24" s="69">
        <f>'3)  SO, BI &amp; PV'!H51</f>
        <v>-3.1143448211270464E-3</v>
      </c>
    </row>
    <row r="25" spans="2:18" x14ac:dyDescent="0.2">
      <c r="B25" s="6" t="s">
        <v>121</v>
      </c>
      <c r="F25" s="6" t="s">
        <v>110</v>
      </c>
      <c r="H25" s="69">
        <f>'3)  SO, BI &amp; PV'!H52</f>
        <v>-2.6459138527593851E-2</v>
      </c>
    </row>
    <row r="26" spans="2:18" x14ac:dyDescent="0.2">
      <c r="B26" s="6" t="s">
        <v>122</v>
      </c>
      <c r="F26" s="6" t="s">
        <v>110</v>
      </c>
      <c r="H26" s="69">
        <f>'3)  SO, BI &amp; PV'!H53</f>
        <v>-5.8304049177015926E-4</v>
      </c>
    </row>
    <row r="27" spans="2:18" x14ac:dyDescent="0.2">
      <c r="B27" s="6" t="s">
        <v>123</v>
      </c>
      <c r="F27" s="6" t="s">
        <v>110</v>
      </c>
      <c r="H27" s="69">
        <f>'3)  SO, BI &amp; PV'!H54</f>
        <v>-2.8324624737395165E-2</v>
      </c>
    </row>
    <row r="28" spans="2:18" s="14" customFormat="1" x14ac:dyDescent="0.2">
      <c r="M28" s="54"/>
      <c r="N28" s="54"/>
      <c r="O28" s="54"/>
      <c r="P28" s="54"/>
      <c r="Q28" s="54"/>
      <c r="R28" s="115"/>
    </row>
    <row r="29" spans="2:18" x14ac:dyDescent="0.2">
      <c r="B29" s="5" t="s">
        <v>199</v>
      </c>
      <c r="C29" s="5"/>
    </row>
    <row r="30" spans="2:18" x14ac:dyDescent="0.2">
      <c r="B30" s="6" t="s">
        <v>190</v>
      </c>
      <c r="F30" s="6" t="s">
        <v>266</v>
      </c>
      <c r="M30" s="42">
        <f>'2) Kosten 2015-2020'!K17</f>
        <v>282537610.01299536</v>
      </c>
      <c r="N30" s="42">
        <f>'2) Kosten 2015-2020'!K23</f>
        <v>257097360.87735882</v>
      </c>
      <c r="O30" s="42">
        <f>'2) Kosten 2015-2020'!K30</f>
        <v>260029208.98624751</v>
      </c>
      <c r="P30" s="42">
        <f>'2) Kosten 2015-2020'!K37</f>
        <v>257688653.65353355</v>
      </c>
      <c r="Q30" s="42">
        <f>'2) Kosten 2015-2020'!K48</f>
        <v>267983186.59538919</v>
      </c>
      <c r="R30" s="42">
        <f>'2) Kosten 2015-2020'!K60</f>
        <v>292078192.98913848</v>
      </c>
    </row>
    <row r="31" spans="2:18" x14ac:dyDescent="0.2">
      <c r="B31" s="6" t="s">
        <v>113</v>
      </c>
      <c r="D31" s="6" t="s">
        <v>211</v>
      </c>
      <c r="F31" s="6" t="s">
        <v>266</v>
      </c>
      <c r="M31" s="44"/>
      <c r="N31" s="42">
        <f>'2) Kosten 2015-2020'!K24</f>
        <v>507952692.94629735</v>
      </c>
      <c r="O31" s="42">
        <f>'2) Kosten 2015-2020'!K31</f>
        <v>531250906.71488857</v>
      </c>
      <c r="P31" s="42">
        <f>'2) Kosten 2015-2020'!K42</f>
        <v>525507960.35336465</v>
      </c>
      <c r="Q31" s="42">
        <f>'2) Kosten 2015-2020'!K54</f>
        <v>524398365.81450504</v>
      </c>
      <c r="R31" s="42">
        <f>'2) Kosten 2015-2020'!K66</f>
        <v>524302183.78008103</v>
      </c>
    </row>
    <row r="32" spans="2:18" x14ac:dyDescent="0.2">
      <c r="B32" s="6" t="s">
        <v>113</v>
      </c>
      <c r="D32" s="6" t="s">
        <v>212</v>
      </c>
      <c r="F32" s="6" t="s">
        <v>266</v>
      </c>
      <c r="M32" s="42">
        <f>'2) Kosten 2015-2020'!K18</f>
        <v>500278133.25170583</v>
      </c>
      <c r="N32" s="42">
        <f>'2) Kosten 2015-2020'!K25</f>
        <v>526478146.54528672</v>
      </c>
      <c r="O32" s="42">
        <f>'2) Kosten 2015-2020'!K32</f>
        <v>512722610.26824558</v>
      </c>
      <c r="P32" s="42">
        <f>'2) Kosten 2015-2020'!K43</f>
        <v>506621560.07574916</v>
      </c>
      <c r="Q32" s="42">
        <f>'2) Kosten 2015-2020'!K55</f>
        <v>505053021.86503738</v>
      </c>
      <c r="R32" s="44"/>
    </row>
    <row r="34" spans="2:18" x14ac:dyDescent="0.2">
      <c r="B34" s="5" t="s">
        <v>492</v>
      </c>
      <c r="C34" s="5"/>
    </row>
    <row r="35" spans="2:18" x14ac:dyDescent="0.2">
      <c r="B35" s="6" t="s">
        <v>323</v>
      </c>
      <c r="D35" s="6" t="s">
        <v>211</v>
      </c>
      <c r="F35" s="6" t="s">
        <v>266</v>
      </c>
      <c r="M35" s="44"/>
      <c r="N35" s="42">
        <f>'2) Kosten 2015-2020'!T24</f>
        <v>163957287.11700988</v>
      </c>
      <c r="O35" s="44"/>
      <c r="P35" s="44"/>
      <c r="Q35" s="44"/>
      <c r="R35" s="44"/>
    </row>
    <row r="36" spans="2:18" x14ac:dyDescent="0.2">
      <c r="B36" s="6" t="s">
        <v>324</v>
      </c>
      <c r="D36" s="6" t="s">
        <v>211</v>
      </c>
      <c r="F36" s="6" t="s">
        <v>266</v>
      </c>
      <c r="M36" s="44"/>
      <c r="N36" s="42">
        <f>'2) Kosten 2015-2020'!N24</f>
        <v>152371746.12126285</v>
      </c>
      <c r="O36" s="44"/>
      <c r="P36" s="44"/>
      <c r="Q36" s="44"/>
      <c r="R36" s="44"/>
    </row>
    <row r="37" spans="2:18" x14ac:dyDescent="0.2">
      <c r="B37" s="6" t="s">
        <v>323</v>
      </c>
      <c r="D37" s="6" t="s">
        <v>212</v>
      </c>
      <c r="F37" s="6" t="s">
        <v>266</v>
      </c>
      <c r="M37" s="42">
        <f>'2) Kosten 2015-2020'!T18</f>
        <v>158476563.14015028</v>
      </c>
      <c r="N37" s="42">
        <f>'2) Kosten 2015-2020'!T25</f>
        <v>169754856.13584235</v>
      </c>
      <c r="O37" s="44"/>
      <c r="P37" s="44"/>
      <c r="Q37" s="44"/>
      <c r="R37" s="44"/>
    </row>
    <row r="38" spans="2:18" x14ac:dyDescent="0.2">
      <c r="B38" s="6" t="s">
        <v>324</v>
      </c>
      <c r="D38" s="6" t="s">
        <v>212</v>
      </c>
      <c r="F38" s="6" t="s">
        <v>266</v>
      </c>
      <c r="M38" s="42">
        <f>'2) Kosten 2015-2020'!N18</f>
        <v>148444791.37076974</v>
      </c>
      <c r="N38" s="42">
        <f>'2) Kosten 2015-2020'!N25</f>
        <v>158076649.49278802</v>
      </c>
      <c r="O38" s="44"/>
      <c r="P38" s="44"/>
      <c r="Q38" s="44"/>
      <c r="R38" s="44"/>
    </row>
    <row r="39" spans="2:18" s="14" customFormat="1" x14ac:dyDescent="0.2">
      <c r="M39" s="54"/>
      <c r="N39" s="54"/>
      <c r="O39" s="115"/>
      <c r="P39" s="115"/>
      <c r="Q39" s="115"/>
      <c r="R39" s="115"/>
    </row>
    <row r="40" spans="2:18" s="14" customFormat="1" x14ac:dyDescent="0.2">
      <c r="B40" s="135" t="s">
        <v>493</v>
      </c>
      <c r="C40" s="135"/>
      <c r="M40" s="54"/>
      <c r="N40" s="54"/>
      <c r="O40" s="115"/>
      <c r="P40" s="115"/>
      <c r="Q40" s="115"/>
      <c r="R40" s="115"/>
    </row>
    <row r="41" spans="2:18" x14ac:dyDescent="0.2">
      <c r="B41" s="6" t="s">
        <v>323</v>
      </c>
      <c r="D41" s="6" t="s">
        <v>211</v>
      </c>
      <c r="F41" s="6" t="s">
        <v>266</v>
      </c>
      <c r="M41" s="44"/>
      <c r="N41" s="42">
        <f>'2) Kosten 2015-2020'!U24</f>
        <v>13117533.360657634</v>
      </c>
      <c r="O41" s="42">
        <f>'2) Kosten 2015-2020'!U31</f>
        <v>13396868.530015409</v>
      </c>
      <c r="P41" s="42">
        <f>'2) Kosten 2015-2020'!U42</f>
        <v>12406839.658461116</v>
      </c>
      <c r="Q41" s="42">
        <f>'2) Kosten 2015-2020'!U54</f>
        <v>12730711.132717932</v>
      </c>
      <c r="R41" s="44"/>
    </row>
    <row r="42" spans="2:18" x14ac:dyDescent="0.2">
      <c r="B42" s="6" t="s">
        <v>324</v>
      </c>
      <c r="D42" s="6" t="s">
        <v>211</v>
      </c>
      <c r="F42" s="6" t="s">
        <v>266</v>
      </c>
      <c r="M42" s="44"/>
      <c r="N42" s="42">
        <f>'2) Kosten 2015-2020'!P24</f>
        <v>12794169.254421353</v>
      </c>
      <c r="O42" s="42">
        <f>'2) Kosten 2015-2020'!P31</f>
        <v>12974182.491632698</v>
      </c>
      <c r="P42" s="42">
        <f>'2) Kosten 2015-2020'!P42</f>
        <v>11869560.613364521</v>
      </c>
      <c r="Q42" s="42">
        <f>'2) Kosten 2015-2020'!P54</f>
        <v>12137819.677694397</v>
      </c>
      <c r="R42" s="44"/>
    </row>
    <row r="43" spans="2:18" x14ac:dyDescent="0.2">
      <c r="B43" s="6" t="s">
        <v>323</v>
      </c>
      <c r="D43" s="6" t="s">
        <v>212</v>
      </c>
      <c r="F43" s="6" t="s">
        <v>266</v>
      </c>
      <c r="M43" s="42">
        <f>'2) Kosten 2015-2020'!U18</f>
        <v>13126864.672760796</v>
      </c>
      <c r="N43" s="42">
        <f>'2) Kosten 2015-2020'!U25</f>
        <v>13549278.508905917</v>
      </c>
      <c r="O43" s="42">
        <f>'2) Kosten 2015-2020'!U32</f>
        <v>12979862.649811821</v>
      </c>
      <c r="P43" s="42">
        <f>'2) Kosten 2015-2020'!U43</f>
        <v>11998592.532703374</v>
      </c>
      <c r="Q43" s="42">
        <f>'2) Kosten 2015-2020'!U55</f>
        <v>12329686.553060267</v>
      </c>
      <c r="R43" s="44"/>
    </row>
    <row r="44" spans="2:18" x14ac:dyDescent="0.2">
      <c r="B44" s="6" t="s">
        <v>324</v>
      </c>
      <c r="D44" s="6" t="s">
        <v>212</v>
      </c>
      <c r="F44" s="6" t="s">
        <v>266</v>
      </c>
      <c r="M44" s="42">
        <f>'2) Kosten 2015-2020'!P18</f>
        <v>12861153.023255788</v>
      </c>
      <c r="N44" s="42">
        <f>'2) Kosten 2015-2020'!P25</f>
        <v>13221774.902596837</v>
      </c>
      <c r="O44" s="42">
        <f>'2) Kosten 2015-2020'!P32</f>
        <v>12562039.177145572</v>
      </c>
      <c r="P44" s="42">
        <f>'2) Kosten 2015-2020'!P43</f>
        <v>11466855.382469939</v>
      </c>
      <c r="Q44" s="42">
        <f>'2) Kosten 2015-2020'!P55</f>
        <v>11742849.081912283</v>
      </c>
      <c r="R44" s="44"/>
    </row>
    <row r="46" spans="2:18" x14ac:dyDescent="0.2">
      <c r="B46" s="5" t="s">
        <v>106</v>
      </c>
      <c r="C46" s="5"/>
    </row>
    <row r="47" spans="2:18" x14ac:dyDescent="0.2">
      <c r="B47" s="6" t="s">
        <v>263</v>
      </c>
      <c r="F47" s="6" t="s">
        <v>109</v>
      </c>
      <c r="M47" s="42">
        <f>'3)  SO, BI &amp; PV'!H15</f>
        <v>828126228.52419913</v>
      </c>
      <c r="N47" s="42">
        <f>'3)  SO, BI &amp; PV'!H16</f>
        <v>828046337.09112048</v>
      </c>
      <c r="O47" s="42">
        <f>'3)  SO, BI &amp; PV'!H17</f>
        <v>829170310.1796813</v>
      </c>
      <c r="P47" s="42">
        <f>'3)  SO, BI &amp; PV'!H18</f>
        <v>831657948.4402467</v>
      </c>
      <c r="Q47" s="42">
        <f>'3)  SO, BI &amp; PV'!H19</f>
        <v>830603751.79622507</v>
      </c>
      <c r="R47" s="42">
        <f>'3)  SO, BI &amp; PV'!H20</f>
        <v>827132846.78858292</v>
      </c>
    </row>
    <row r="49" spans="2:20" s="13" customFormat="1" x14ac:dyDescent="0.2">
      <c r="B49" s="13" t="s">
        <v>206</v>
      </c>
    </row>
    <row r="51" spans="2:20" x14ac:dyDescent="0.2">
      <c r="B51" s="6" t="s">
        <v>213</v>
      </c>
      <c r="D51" s="6" t="s">
        <v>211</v>
      </c>
      <c r="F51" s="6" t="s">
        <v>147</v>
      </c>
      <c r="M51" s="44"/>
      <c r="N51" s="43">
        <f>(N$30+N31+(N35-N36)+(N41-N42))*(1+N$15)</f>
        <v>834357324.16318524</v>
      </c>
      <c r="O51" s="43">
        <f>(O$30+O31+(O35-O36)+(O41-O42))*(1+O$15)</f>
        <v>848493391.49040043</v>
      </c>
      <c r="P51" s="43">
        <f>(P$30+P31+(P35-P36)+(P41-P42))*(1+P$15)</f>
        <v>828355873.16604149</v>
      </c>
      <c r="Q51" s="43">
        <f>(Q$30+Q31+(Q35-Q36)+(Q41-Q42))*(1+Q$15)</f>
        <v>820883972.39118743</v>
      </c>
      <c r="R51" s="43">
        <f>(R$30+R31+(R35-R36)+(R41-R42))*(1+R$15)</f>
        <v>822095039.40660393</v>
      </c>
      <c r="T51" s="9" t="s">
        <v>459</v>
      </c>
    </row>
    <row r="52" spans="2:20" x14ac:dyDescent="0.2">
      <c r="B52" s="6" t="s">
        <v>213</v>
      </c>
      <c r="D52" s="6" t="s">
        <v>212</v>
      </c>
      <c r="F52" s="6" t="s">
        <v>147</v>
      </c>
      <c r="M52" s="43">
        <f>(M$30+M32+(M37-M38)+(M43-M44))*(1+M$15)</f>
        <v>858518639.30251741</v>
      </c>
      <c r="N52" s="43">
        <f>(N$30+N32+(N37-N38)+(N43-N44))*(1+N$15)</f>
        <v>854355314.78933156</v>
      </c>
      <c r="O52" s="43">
        <f>(O$30+O32+(O37-O38)+(O43-O44))*(1+O$15)</f>
        <v>828630808.06783783</v>
      </c>
      <c r="P52" s="43">
        <f>(P$30+P32+(P37-P38)+(P43-P44))*(1+P$15)</f>
        <v>808388316.07450747</v>
      </c>
      <c r="Q52" s="43">
        <f>(Q$30+Q32+(Q37-Q38)+(Q43-Q44))*(1+Q$15)</f>
        <v>800851482.65618229</v>
      </c>
      <c r="R52" s="44"/>
    </row>
    <row r="54" spans="2:20" x14ac:dyDescent="0.2">
      <c r="B54" s="6" t="s">
        <v>210</v>
      </c>
      <c r="F54" s="6" t="s">
        <v>110</v>
      </c>
      <c r="M54" s="45"/>
      <c r="N54" s="68">
        <f>1-(N51/N47)/(M52/M47)</f>
        <v>2.8049262658037311E-2</v>
      </c>
      <c r="O54" s="68">
        <f>1-(O51/O47)/(N52/N47)</f>
        <v>8.2074629438617652E-3</v>
      </c>
      <c r="P54" s="68">
        <f>1-(P51/P47)/(O52/O47)</f>
        <v>3.3219813160187961E-3</v>
      </c>
      <c r="Q54" s="68">
        <f>1-(Q51/Q47)/(P52/P47)</f>
        <v>-1.6746304237042375E-2</v>
      </c>
      <c r="R54" s="68">
        <f>1-(R51/R47)/(Q52/Q47)</f>
        <v>-3.0833833858577187E-2</v>
      </c>
      <c r="T54" s="9" t="s">
        <v>460</v>
      </c>
    </row>
    <row r="56" spans="2:20" s="13" customFormat="1" x14ac:dyDescent="0.2">
      <c r="B56" s="13" t="s">
        <v>158</v>
      </c>
    </row>
    <row r="58" spans="2:20" x14ac:dyDescent="0.2">
      <c r="H58" s="29" t="s">
        <v>124</v>
      </c>
    </row>
    <row r="59" spans="2:20" x14ac:dyDescent="0.2">
      <c r="B59" s="46" t="s">
        <v>114</v>
      </c>
      <c r="C59" s="46"/>
      <c r="F59" s="6" t="s">
        <v>110</v>
      </c>
      <c r="H59" s="67">
        <f t="shared" ref="H59:H68" si="0">H18+1</f>
        <v>1.0034336984622196</v>
      </c>
      <c r="T59" s="9" t="s">
        <v>460</v>
      </c>
    </row>
    <row r="60" spans="2:20" x14ac:dyDescent="0.2">
      <c r="B60" s="6" t="s">
        <v>115</v>
      </c>
      <c r="F60" s="6" t="s">
        <v>110</v>
      </c>
      <c r="H60" s="67">
        <f t="shared" si="0"/>
        <v>0.99038404649921952</v>
      </c>
    </row>
    <row r="61" spans="2:20" x14ac:dyDescent="0.2">
      <c r="B61" s="6" t="s">
        <v>116</v>
      </c>
      <c r="F61" s="6" t="s">
        <v>110</v>
      </c>
      <c r="H61" s="67">
        <f t="shared" si="0"/>
        <v>1.0056696384372819</v>
      </c>
    </row>
    <row r="62" spans="2:20" x14ac:dyDescent="0.2">
      <c r="B62" s="6" t="s">
        <v>117</v>
      </c>
      <c r="F62" s="6" t="s">
        <v>110</v>
      </c>
      <c r="H62" s="67">
        <f t="shared" si="0"/>
        <v>1.0227187735186756</v>
      </c>
    </row>
    <row r="63" spans="2:20" x14ac:dyDescent="0.2">
      <c r="B63" s="6" t="s">
        <v>118</v>
      </c>
      <c r="F63" s="6" t="s">
        <v>110</v>
      </c>
      <c r="H63" s="67">
        <f t="shared" si="0"/>
        <v>1.0409339984453909</v>
      </c>
    </row>
    <row r="64" spans="2:20" x14ac:dyDescent="0.2">
      <c r="B64" s="6" t="s">
        <v>119</v>
      </c>
      <c r="F64" s="6" t="s">
        <v>110</v>
      </c>
      <c r="H64" s="67">
        <f t="shared" si="0"/>
        <v>0.99492484723651664</v>
      </c>
    </row>
    <row r="65" spans="2:20" x14ac:dyDescent="0.2">
      <c r="B65" s="6" t="s">
        <v>120</v>
      </c>
      <c r="F65" s="6" t="s">
        <v>110</v>
      </c>
      <c r="H65" s="67">
        <f t="shared" si="0"/>
        <v>0.99688565517887295</v>
      </c>
    </row>
    <row r="66" spans="2:20" x14ac:dyDescent="0.2">
      <c r="B66" s="6" t="s">
        <v>121</v>
      </c>
      <c r="F66" s="6" t="s">
        <v>110</v>
      </c>
      <c r="H66" s="67">
        <f t="shared" si="0"/>
        <v>0.97354086147240615</v>
      </c>
    </row>
    <row r="67" spans="2:20" x14ac:dyDescent="0.2">
      <c r="B67" s="6" t="s">
        <v>122</v>
      </c>
      <c r="F67" s="6" t="s">
        <v>110</v>
      </c>
      <c r="H67" s="67">
        <f t="shared" si="0"/>
        <v>0.99941695950822984</v>
      </c>
    </row>
    <row r="68" spans="2:20" x14ac:dyDescent="0.2">
      <c r="B68" s="6" t="s">
        <v>123</v>
      </c>
      <c r="F68" s="6" t="s">
        <v>110</v>
      </c>
      <c r="H68" s="67">
        <f t="shared" si="0"/>
        <v>0.97167537526260483</v>
      </c>
    </row>
    <row r="69" spans="2:20" x14ac:dyDescent="0.2">
      <c r="B69" s="6" t="s">
        <v>153</v>
      </c>
      <c r="F69" s="6" t="s">
        <v>110</v>
      </c>
      <c r="H69" s="67">
        <f>N54+1</f>
        <v>1.0280492626580373</v>
      </c>
    </row>
    <row r="70" spans="2:20" x14ac:dyDescent="0.2">
      <c r="B70" s="6" t="s">
        <v>154</v>
      </c>
      <c r="F70" s="6" t="s">
        <v>110</v>
      </c>
      <c r="H70" s="67">
        <f>O54+1</f>
        <v>1.0082074629438618</v>
      </c>
    </row>
    <row r="71" spans="2:20" x14ac:dyDescent="0.2">
      <c r="B71" s="6" t="s">
        <v>155</v>
      </c>
      <c r="F71" s="6" t="s">
        <v>110</v>
      </c>
      <c r="H71" s="67">
        <f>P54+1</f>
        <v>1.0033219813160188</v>
      </c>
    </row>
    <row r="72" spans="2:20" x14ac:dyDescent="0.2">
      <c r="B72" s="6" t="s">
        <v>156</v>
      </c>
      <c r="F72" s="6" t="s">
        <v>110</v>
      </c>
      <c r="H72" s="67">
        <f>Q54+1</f>
        <v>0.98325369576295762</v>
      </c>
    </row>
    <row r="73" spans="2:20" x14ac:dyDescent="0.2">
      <c r="B73" s="6" t="s">
        <v>157</v>
      </c>
      <c r="F73" s="6" t="s">
        <v>110</v>
      </c>
      <c r="H73" s="67">
        <f>R54+1</f>
        <v>0.96916616614142281</v>
      </c>
    </row>
    <row r="75" spans="2:20" x14ac:dyDescent="0.2">
      <c r="B75" s="6" t="s">
        <v>502</v>
      </c>
      <c r="F75" s="6" t="s">
        <v>110</v>
      </c>
      <c r="H75" s="71">
        <f>GEOMEAN(H59:H73)-1</f>
        <v>-7.5913637800173461E-4</v>
      </c>
      <c r="T75" s="9" t="s">
        <v>457</v>
      </c>
    </row>
  </sheetData>
  <mergeCells count="2">
    <mergeCell ref="B8:E8"/>
    <mergeCell ref="B5:E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tabColor rgb="FFFFFFCC"/>
  </sheetPr>
  <dimension ref="B2:T53"/>
  <sheetViews>
    <sheetView showGridLines="0" zoomScale="85" zoomScaleNormal="85" workbookViewId="0">
      <pane xSplit="6" ySplit="10" topLeftCell="G11" activePane="bottomRight" state="frozen"/>
      <selection pane="topRight" activeCell="G1" sqref="G1"/>
      <selection pane="bottomLeft" activeCell="A11" sqref="A11"/>
      <selection pane="bottomRight" activeCell="G11" sqref="G11"/>
    </sheetView>
  </sheetViews>
  <sheetFormatPr defaultRowHeight="12.75" x14ac:dyDescent="0.2"/>
  <cols>
    <col min="1" max="1" width="2.7109375" style="6" customWidth="1"/>
    <col min="2" max="2" width="62.85546875" style="6" customWidth="1"/>
    <col min="3" max="3" width="2.7109375" style="6" customWidth="1"/>
    <col min="4" max="4" width="15.28515625" style="6" bestFit="1" customWidth="1"/>
    <col min="5" max="5" width="3.42578125" style="6" customWidth="1"/>
    <col min="6" max="6" width="17.85546875" style="6" customWidth="1"/>
    <col min="7" max="7" width="2.7109375" style="6" customWidth="1"/>
    <col min="8" max="9" width="18.28515625" style="6" customWidth="1"/>
    <col min="10" max="10" width="2.7109375" style="6" customWidth="1"/>
    <col min="11" max="11" width="16.5703125" style="6" bestFit="1" customWidth="1"/>
    <col min="12" max="12" width="4.42578125" style="6" customWidth="1"/>
    <col min="13" max="13" width="14.28515625" style="6" customWidth="1"/>
    <col min="14" max="14" width="16.28515625" style="6" customWidth="1"/>
    <col min="15" max="17" width="12.5703125" style="6" customWidth="1"/>
    <col min="18" max="18" width="14" style="6" bestFit="1" customWidth="1"/>
    <col min="19" max="19" width="2.7109375" style="6" customWidth="1"/>
    <col min="20" max="34" width="13.7109375" style="6" customWidth="1"/>
    <col min="35" max="16384" width="9.140625" style="6"/>
  </cols>
  <sheetData>
    <row r="2" spans="2:20" s="26" customFormat="1" ht="18" x14ac:dyDescent="0.2">
      <c r="B2" s="26" t="s">
        <v>378</v>
      </c>
    </row>
    <row r="4" spans="2:20" x14ac:dyDescent="0.2">
      <c r="B4" s="33" t="s">
        <v>52</v>
      </c>
    </row>
    <row r="5" spans="2:20" ht="42.75" customHeight="1" x14ac:dyDescent="0.2">
      <c r="B5" s="187" t="s">
        <v>304</v>
      </c>
      <c r="C5" s="187"/>
      <c r="D5" s="187"/>
      <c r="E5" s="187"/>
      <c r="H5" s="191"/>
      <c r="I5" s="191"/>
      <c r="J5" s="191"/>
      <c r="K5" s="191"/>
      <c r="L5" s="191"/>
      <c r="M5" s="191"/>
    </row>
    <row r="6" spans="2:20" x14ac:dyDescent="0.2">
      <c r="B6" s="32"/>
      <c r="D6" s="27"/>
    </row>
    <row r="7" spans="2:20" x14ac:dyDescent="0.2">
      <c r="B7" s="34" t="s">
        <v>27</v>
      </c>
      <c r="D7" s="27"/>
    </row>
    <row r="8" spans="2:20" ht="63" customHeight="1" x14ac:dyDescent="0.2">
      <c r="B8" s="187" t="s">
        <v>495</v>
      </c>
      <c r="C8" s="187"/>
      <c r="D8" s="187"/>
      <c r="E8" s="187"/>
    </row>
    <row r="9" spans="2:20" x14ac:dyDescent="0.2">
      <c r="B9" s="133"/>
      <c r="C9" s="133"/>
      <c r="D9" s="133"/>
      <c r="E9" s="133"/>
    </row>
    <row r="10" spans="2:20" s="13" customFormat="1" x14ac:dyDescent="0.2">
      <c r="B10" s="13" t="s">
        <v>42</v>
      </c>
      <c r="D10" s="13" t="s">
        <v>71</v>
      </c>
      <c r="F10" s="13" t="s">
        <v>25</v>
      </c>
      <c r="H10" s="13" t="s">
        <v>302</v>
      </c>
      <c r="K10" s="13" t="s">
        <v>303</v>
      </c>
      <c r="M10" s="52">
        <v>2015</v>
      </c>
      <c r="N10" s="52">
        <v>2016</v>
      </c>
      <c r="O10" s="52">
        <v>2017</v>
      </c>
      <c r="P10" s="52">
        <v>2018</v>
      </c>
      <c r="Q10" s="52">
        <v>2019</v>
      </c>
      <c r="R10" s="52">
        <v>2020</v>
      </c>
      <c r="T10" s="13" t="s">
        <v>43</v>
      </c>
    </row>
    <row r="12" spans="2:20" s="13" customFormat="1" x14ac:dyDescent="0.2">
      <c r="B12" s="13" t="s">
        <v>111</v>
      </c>
    </row>
    <row r="14" spans="2:20" x14ac:dyDescent="0.2">
      <c r="B14" s="51" t="s">
        <v>111</v>
      </c>
    </row>
    <row r="15" spans="2:20" s="53" customFormat="1" ht="12.75" customHeight="1" x14ac:dyDescent="0.2">
      <c r="B15" s="53" t="s">
        <v>510</v>
      </c>
      <c r="F15" s="53" t="s">
        <v>110</v>
      </c>
      <c r="J15" s="130"/>
      <c r="K15" s="130"/>
      <c r="L15" s="131"/>
      <c r="M15" s="123">
        <f>'4) Berekeningen op parameters'!R27</f>
        <v>8.2466677415561795E-2</v>
      </c>
      <c r="N15" s="123">
        <f>'4) Berekeningen op parameters'!R28</f>
        <v>7.3875672039247497E-2</v>
      </c>
      <c r="O15" s="123">
        <f>'4) Berekeningen op parameters'!R29</f>
        <v>7.17322076239999E-2</v>
      </c>
      <c r="P15" s="123">
        <f>'4) Berekeningen op parameters'!R30</f>
        <v>5.6935115999999786E-2</v>
      </c>
      <c r="Q15" s="123">
        <f>'4) Berekeningen op parameters'!R31</f>
        <v>3.5196000000000005E-2</v>
      </c>
      <c r="R15" s="123">
        <f>'4) Berekeningen op parameters'!R32</f>
        <v>7.0000000000000001E-3</v>
      </c>
    </row>
    <row r="17" spans="2:18" x14ac:dyDescent="0.2">
      <c r="B17" s="5" t="s">
        <v>199</v>
      </c>
    </row>
    <row r="18" spans="2:18" x14ac:dyDescent="0.2">
      <c r="B18" s="6" t="s">
        <v>496</v>
      </c>
      <c r="F18" s="6" t="s">
        <v>200</v>
      </c>
      <c r="M18" s="42">
        <f>'2) Kosten 2015-2020'!K73</f>
        <v>87159955.278369233</v>
      </c>
      <c r="N18" s="42">
        <f>'2) Kosten 2015-2020'!K79</f>
        <v>92511800.358009115</v>
      </c>
      <c r="O18" s="42">
        <f>'2) Kosten 2015-2020'!K86</f>
        <v>84685511.157834291</v>
      </c>
      <c r="P18" s="42">
        <f>'2) Kosten 2015-2020'!K93</f>
        <v>88444609.187141314</v>
      </c>
      <c r="Q18" s="42">
        <f>'2) Kosten 2015-2020'!K104</f>
        <v>97048998.011170924</v>
      </c>
      <c r="R18" s="42">
        <f>'2) Kosten 2015-2020'!K116</f>
        <v>109967145.95587528</v>
      </c>
    </row>
    <row r="19" spans="2:18" x14ac:dyDescent="0.2">
      <c r="B19" s="6" t="s">
        <v>113</v>
      </c>
      <c r="D19" s="6" t="s">
        <v>211</v>
      </c>
      <c r="F19" s="6" t="s">
        <v>200</v>
      </c>
      <c r="M19" s="44"/>
      <c r="N19" s="42">
        <f>'2) Kosten 2015-2020'!K80</f>
        <v>104942186.99352141</v>
      </c>
      <c r="O19" s="42">
        <f>'2) Kosten 2015-2020'!K87</f>
        <v>113008459.04853667</v>
      </c>
      <c r="P19" s="42">
        <f>'2) Kosten 2015-2020'!K98</f>
        <v>115099721.31988993</v>
      </c>
      <c r="Q19" s="42">
        <f>'2) Kosten 2015-2020'!K110</f>
        <v>118500888.70964874</v>
      </c>
      <c r="R19" s="42">
        <f>'2) Kosten 2015-2020'!K122</f>
        <v>121771578.21822238</v>
      </c>
    </row>
    <row r="20" spans="2:18" x14ac:dyDescent="0.2">
      <c r="B20" s="6" t="s">
        <v>113</v>
      </c>
      <c r="D20" s="6" t="s">
        <v>212</v>
      </c>
      <c r="F20" s="6" t="s">
        <v>200</v>
      </c>
      <c r="M20" s="42">
        <f>'2) Kosten 2015-2020'!K74</f>
        <v>99660699.417225838</v>
      </c>
      <c r="N20" s="42">
        <f>'2) Kosten 2015-2020'!K81</f>
        <v>109008341.01833449</v>
      </c>
      <c r="O20" s="42">
        <f>'2) Kosten 2015-2020'!K88</f>
        <v>108835292.77963816</v>
      </c>
      <c r="P20" s="42">
        <f>'2) Kosten 2015-2020'!K99</f>
        <v>110704126.76113704</v>
      </c>
      <c r="Q20" s="42">
        <f>'2) Kosten 2015-2020'!K111</f>
        <v>113818775.11051457</v>
      </c>
      <c r="R20" s="44"/>
    </row>
    <row r="21" spans="2:18" s="14" customFormat="1" x14ac:dyDescent="0.2">
      <c r="M21" s="54"/>
      <c r="N21" s="54"/>
      <c r="O21" s="54"/>
      <c r="P21" s="54"/>
      <c r="Q21" s="54"/>
      <c r="R21" s="115"/>
    </row>
    <row r="22" spans="2:18" x14ac:dyDescent="0.2">
      <c r="B22" s="5" t="s">
        <v>322</v>
      </c>
      <c r="C22" s="5"/>
    </row>
    <row r="23" spans="2:18" x14ac:dyDescent="0.2">
      <c r="B23" s="6" t="s">
        <v>323</v>
      </c>
      <c r="D23" s="6" t="s">
        <v>211</v>
      </c>
      <c r="F23" s="6" t="s">
        <v>266</v>
      </c>
      <c r="M23" s="44"/>
      <c r="N23" s="42">
        <f>'2) Kosten 2015-2020'!T80</f>
        <v>27103120.018821366</v>
      </c>
      <c r="O23" s="44"/>
      <c r="P23" s="44"/>
      <c r="Q23" s="44"/>
      <c r="R23" s="44"/>
    </row>
    <row r="24" spans="2:18" x14ac:dyDescent="0.2">
      <c r="B24" s="6" t="s">
        <v>324</v>
      </c>
      <c r="D24" s="6" t="s">
        <v>211</v>
      </c>
      <c r="F24" s="6" t="s">
        <v>266</v>
      </c>
      <c r="M24" s="44"/>
      <c r="N24" s="42">
        <f>'2) Kosten 2015-2020'!N80</f>
        <v>27103120.018821366</v>
      </c>
      <c r="O24" s="44"/>
      <c r="P24" s="44"/>
      <c r="Q24" s="44"/>
      <c r="R24" s="44"/>
    </row>
    <row r="25" spans="2:18" x14ac:dyDescent="0.2">
      <c r="B25" s="6" t="s">
        <v>323</v>
      </c>
      <c r="D25" s="6" t="s">
        <v>212</v>
      </c>
      <c r="F25" s="6" t="s">
        <v>266</v>
      </c>
      <c r="M25" s="42">
        <f>'2) Kosten 2015-2020'!T74</f>
        <v>25310348.52487212</v>
      </c>
      <c r="N25" s="42">
        <f>'2) Kosten 2015-2020'!T81</f>
        <v>28159252.588511415</v>
      </c>
      <c r="O25" s="44"/>
      <c r="P25" s="44"/>
      <c r="Q25" s="44"/>
      <c r="R25" s="44"/>
    </row>
    <row r="26" spans="2:18" x14ac:dyDescent="0.2">
      <c r="B26" s="6" t="s">
        <v>324</v>
      </c>
      <c r="D26" s="6" t="s">
        <v>212</v>
      </c>
      <c r="F26" s="6" t="s">
        <v>266</v>
      </c>
      <c r="M26" s="42">
        <f>'2) Kosten 2015-2020'!N74</f>
        <v>25310348.52487212</v>
      </c>
      <c r="N26" s="42">
        <f>'2) Kosten 2015-2020'!N81</f>
        <v>28159252.588511415</v>
      </c>
      <c r="O26" s="44"/>
      <c r="P26" s="44"/>
      <c r="Q26" s="44"/>
      <c r="R26" s="44"/>
    </row>
    <row r="28" spans="2:18" x14ac:dyDescent="0.2">
      <c r="B28" s="5" t="s">
        <v>509</v>
      </c>
      <c r="C28" s="5"/>
    </row>
    <row r="29" spans="2:18" x14ac:dyDescent="0.2">
      <c r="B29" s="6" t="s">
        <v>323</v>
      </c>
      <c r="D29" s="6" t="s">
        <v>211</v>
      </c>
      <c r="F29" s="6" t="s">
        <v>266</v>
      </c>
      <c r="M29" s="44"/>
      <c r="N29" s="42">
        <f>'2) Kosten 2015-2020'!U80</f>
        <v>1172078.7629885573</v>
      </c>
      <c r="O29" s="42">
        <f>'2) Kosten 2015-2020'!U87</f>
        <v>1220495.3698303227</v>
      </c>
      <c r="P29" s="42">
        <f>'2) Kosten 2015-2020'!U98</f>
        <v>1211091.9463032098</v>
      </c>
      <c r="Q29" s="42">
        <f>'2) Kosten 2015-2020'!U110</f>
        <v>1214669.6863990414</v>
      </c>
      <c r="R29" s="44"/>
    </row>
    <row r="30" spans="2:18" x14ac:dyDescent="0.2">
      <c r="B30" s="6" t="s">
        <v>324</v>
      </c>
      <c r="D30" s="6" t="s">
        <v>211</v>
      </c>
      <c r="F30" s="6" t="s">
        <v>266</v>
      </c>
      <c r="M30" s="44"/>
      <c r="N30" s="42">
        <f>'2) Kosten 2015-2020'!P80</f>
        <v>1172078.7629885573</v>
      </c>
      <c r="O30" s="42">
        <f>'2) Kosten 2015-2020'!P87</f>
        <v>1220495.3698303227</v>
      </c>
      <c r="P30" s="42">
        <f>'2) Kosten 2015-2020'!P98</f>
        <v>1211091.9463032098</v>
      </c>
      <c r="Q30" s="42">
        <f>'2) Kosten 2015-2020'!P110</f>
        <v>1214669.6863990414</v>
      </c>
      <c r="R30" s="44"/>
    </row>
    <row r="31" spans="2:18" x14ac:dyDescent="0.2">
      <c r="B31" s="6" t="s">
        <v>323</v>
      </c>
      <c r="D31" s="6" t="s">
        <v>212</v>
      </c>
      <c r="F31" s="6" t="s">
        <v>266</v>
      </c>
      <c r="M31" s="42">
        <f>'2) Kosten 2015-2020'!U74</f>
        <v>1146386.2175000249</v>
      </c>
      <c r="N31" s="42">
        <f>'2) Kosten 2015-2020'!U81</f>
        <v>1212676.9737715374</v>
      </c>
      <c r="O31" s="42">
        <f>'2) Kosten 2015-2020'!U88</f>
        <v>1180398.1680477245</v>
      </c>
      <c r="P31" s="42">
        <f>'2) Kosten 2015-2020'!U99</f>
        <v>1170439.4508278111</v>
      </c>
      <c r="Q31" s="42">
        <f>'2) Kosten 2015-2020'!U111</f>
        <v>1173037.8473744341</v>
      </c>
      <c r="R31" s="44"/>
    </row>
    <row r="32" spans="2:18" x14ac:dyDescent="0.2">
      <c r="B32" s="6" t="s">
        <v>324</v>
      </c>
      <c r="D32" s="6" t="s">
        <v>212</v>
      </c>
      <c r="F32" s="6" t="s">
        <v>266</v>
      </c>
      <c r="M32" s="42">
        <f>'2) Kosten 2015-2020'!P74</f>
        <v>1146386.2175000249</v>
      </c>
      <c r="N32" s="42">
        <f>'2) Kosten 2015-2020'!P81</f>
        <v>1212676.9737715374</v>
      </c>
      <c r="O32" s="42">
        <f>'2) Kosten 2015-2020'!P88</f>
        <v>1180398.1680477245</v>
      </c>
      <c r="P32" s="42">
        <f>'2) Kosten 2015-2020'!P99</f>
        <v>1170439.4508278111</v>
      </c>
      <c r="Q32" s="42">
        <f>'2) Kosten 2015-2020'!P111</f>
        <v>1173037.8473744341</v>
      </c>
      <c r="R32" s="44"/>
    </row>
    <row r="34" spans="2:18" x14ac:dyDescent="0.2">
      <c r="B34" s="5" t="s">
        <v>106</v>
      </c>
    </row>
    <row r="35" spans="2:18" x14ac:dyDescent="0.2">
      <c r="B35" s="6" t="s">
        <v>207</v>
      </c>
      <c r="F35" s="6" t="s">
        <v>109</v>
      </c>
      <c r="M35" s="42">
        <f>'3)  SO, BI &amp; PV'!H32</f>
        <v>237239739.27047077</v>
      </c>
      <c r="N35" s="42">
        <f>'3)  SO, BI &amp; PV'!H33</f>
        <v>238180027.2957063</v>
      </c>
      <c r="O35" s="42">
        <f>'3)  SO, BI &amp; PV'!H34</f>
        <v>239003631.14149135</v>
      </c>
      <c r="P35" s="42">
        <f>'3)  SO, BI &amp; PV'!H35</f>
        <v>239589665.09752646</v>
      </c>
      <c r="Q35" s="42">
        <f>'3)  SO, BI &amp; PV'!H36</f>
        <v>240062275.10425314</v>
      </c>
      <c r="R35" s="42">
        <f>'3)  SO, BI &amp; PV'!H37</f>
        <v>240105087.3025412</v>
      </c>
    </row>
    <row r="37" spans="2:18" s="13" customFormat="1" x14ac:dyDescent="0.2">
      <c r="B37" s="13" t="s">
        <v>206</v>
      </c>
    </row>
    <row r="39" spans="2:18" x14ac:dyDescent="0.2">
      <c r="B39" s="6" t="s">
        <v>213</v>
      </c>
      <c r="D39" s="6" t="s">
        <v>211</v>
      </c>
      <c r="F39" s="6" t="s">
        <v>147</v>
      </c>
      <c r="M39" s="44"/>
      <c r="N39" s="43">
        <f>(N$18+N19+(N23-N24)+(N29-N30))*(1+N$15)</f>
        <v>212041033.36395392</v>
      </c>
      <c r="O39" s="43">
        <f>(O$18+O19+(O23-O24)+(O29-O30))*(1+O$15)</f>
        <v>211874995.12322721</v>
      </c>
      <c r="P39" s="43">
        <f>(P$18+P19+(P23-P24)+(P29-P30))*(1+P$15)</f>
        <v>215133150.57559139</v>
      </c>
      <c r="Q39" s="43">
        <f>(Q$18+Q19+(Q23-Q24)+(Q29-Q30))*(1+Q$15)</f>
        <v>223136380.53384563</v>
      </c>
      <c r="R39" s="43">
        <f>(R$18+R19+(R23-R24)+(R29-R30))*(1+R$15)</f>
        <v>233360895.24331632</v>
      </c>
    </row>
    <row r="40" spans="2:18" x14ac:dyDescent="0.2">
      <c r="B40" s="6" t="s">
        <v>213</v>
      </c>
      <c r="D40" s="6" t="s">
        <v>212</v>
      </c>
      <c r="F40" s="6" t="s">
        <v>147</v>
      </c>
      <c r="M40" s="43">
        <f>(M$18+M20+(M25-M26)+(M31-M32))*(1+M$15)</f>
        <v>202227133.36094078</v>
      </c>
      <c r="N40" s="43">
        <f>(N$18+N20+(N25-N26)+(N31-N32))*(1+N$15)</f>
        <v>216407577.24996516</v>
      </c>
      <c r="O40" s="43">
        <f>(O$18+O20+(O25-O26)+(O31-O32))*(1+O$15)</f>
        <v>207402478.4250786</v>
      </c>
      <c r="P40" s="43">
        <f>(P$18+P20+(P25-P26)+(P31-P32))*(1+P$15)</f>
        <v>210487292.33074692</v>
      </c>
      <c r="Q40" s="43">
        <f>(Q$18+Q20+(Q25-Q26)+(Q31-Q32))*(1+Q$15)</f>
        <v>218289475.26447636</v>
      </c>
      <c r="R40" s="44"/>
    </row>
    <row r="42" spans="2:18" x14ac:dyDescent="0.2">
      <c r="B42" s="6" t="s">
        <v>210</v>
      </c>
      <c r="F42" s="6" t="s">
        <v>110</v>
      </c>
      <c r="M42" s="45"/>
      <c r="N42" s="68">
        <f>1-(N39/N35)/(M40/M35)</f>
        <v>-4.4389708982565779E-2</v>
      </c>
      <c r="O42" s="68">
        <f>1-(O39/O35)/(N40/N35)</f>
        <v>2.4318469170160451E-2</v>
      </c>
      <c r="P42" s="68">
        <f>1-(P39/P35)/(O40/O35)</f>
        <v>-3.4736607982293943E-2</v>
      </c>
      <c r="Q42" s="68">
        <f>1-(Q39/Q35)/(P40/P35)</f>
        <v>-5.8007303091377249E-2</v>
      </c>
      <c r="R42" s="68">
        <f>1-(R39/R35)/(Q40/Q35)</f>
        <v>-6.8852656743206397E-2</v>
      </c>
    </row>
    <row r="44" spans="2:18" s="13" customFormat="1" x14ac:dyDescent="0.2">
      <c r="B44" s="13" t="s">
        <v>158</v>
      </c>
    </row>
    <row r="46" spans="2:18" x14ac:dyDescent="0.2">
      <c r="H46" s="29" t="s">
        <v>124</v>
      </c>
    </row>
    <row r="47" spans="2:18" x14ac:dyDescent="0.2">
      <c r="B47" s="6" t="s">
        <v>153</v>
      </c>
      <c r="F47" s="6" t="s">
        <v>110</v>
      </c>
      <c r="H47" s="72">
        <f>N42+1</f>
        <v>0.95561029101743422</v>
      </c>
    </row>
    <row r="48" spans="2:18" x14ac:dyDescent="0.2">
      <c r="B48" s="6" t="s">
        <v>154</v>
      </c>
      <c r="F48" s="6" t="s">
        <v>110</v>
      </c>
      <c r="H48" s="72">
        <f>O42+1</f>
        <v>1.0243184691701606</v>
      </c>
    </row>
    <row r="49" spans="2:20" x14ac:dyDescent="0.2">
      <c r="B49" s="6" t="s">
        <v>155</v>
      </c>
      <c r="F49" s="6" t="s">
        <v>110</v>
      </c>
      <c r="H49" s="72">
        <f>P42+1</f>
        <v>0.96526339201770606</v>
      </c>
    </row>
    <row r="50" spans="2:20" x14ac:dyDescent="0.2">
      <c r="B50" s="6" t="s">
        <v>156</v>
      </c>
      <c r="F50" s="6" t="s">
        <v>110</v>
      </c>
      <c r="H50" s="72">
        <f>Q42+1</f>
        <v>0.94199269690862275</v>
      </c>
    </row>
    <row r="51" spans="2:20" x14ac:dyDescent="0.2">
      <c r="B51" s="6" t="s">
        <v>157</v>
      </c>
      <c r="F51" s="6" t="s">
        <v>110</v>
      </c>
      <c r="H51" s="72">
        <f>R42+1</f>
        <v>0.9311473432567936</v>
      </c>
    </row>
    <row r="53" spans="2:20" x14ac:dyDescent="0.2">
      <c r="B53" s="6" t="s">
        <v>502</v>
      </c>
      <c r="F53" s="6" t="s">
        <v>110</v>
      </c>
      <c r="H53" s="71">
        <f>GEOMEAN(H47:H51)-1</f>
        <v>-3.6868648042002516E-2</v>
      </c>
      <c r="T53" s="9" t="s">
        <v>457</v>
      </c>
    </row>
  </sheetData>
  <mergeCells count="3">
    <mergeCell ref="H5:M5"/>
    <mergeCell ref="B8:E8"/>
    <mergeCell ref="B5:E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tabColor rgb="FFFFFFCC"/>
  </sheetPr>
  <dimension ref="B2:T75"/>
  <sheetViews>
    <sheetView showGridLines="0" zoomScale="85" zoomScaleNormal="85" workbookViewId="0">
      <pane xSplit="6" ySplit="7" topLeftCell="G8" activePane="bottomRight" state="frozen"/>
      <selection pane="topRight" activeCell="G1" sqref="G1"/>
      <selection pane="bottomLeft" activeCell="A11" sqref="A11"/>
      <selection pane="bottomRight" activeCell="G8" sqref="G8"/>
    </sheetView>
  </sheetViews>
  <sheetFormatPr defaultRowHeight="12.75" x14ac:dyDescent="0.2"/>
  <cols>
    <col min="1" max="1" width="4.7109375" style="6" customWidth="1"/>
    <col min="2" max="2" width="81.140625" style="6" customWidth="1"/>
    <col min="3" max="3" width="2.7109375" customWidth="1"/>
    <col min="4" max="4" width="20.5703125" style="6" bestFit="1" customWidth="1"/>
    <col min="5" max="5" width="2.7109375" style="6" customWidth="1"/>
    <col min="6" max="6" width="12.85546875" style="6" bestFit="1" customWidth="1"/>
    <col min="7" max="7" width="2.7109375" style="6" customWidth="1"/>
    <col min="8" max="8" width="17.7109375" style="6" bestFit="1" customWidth="1"/>
    <col min="9" max="10" width="2.7109375" style="6" customWidth="1"/>
    <col min="11" max="11" width="13.85546875" style="6" customWidth="1"/>
    <col min="12" max="12" width="3.140625" style="6" customWidth="1"/>
    <col min="13" max="13" width="12.5703125" style="6" customWidth="1"/>
    <col min="14" max="15" width="13" style="6" bestFit="1" customWidth="1"/>
    <col min="16" max="16" width="12.5703125" style="6" customWidth="1"/>
    <col min="17" max="17" width="13" style="6" bestFit="1" customWidth="1"/>
    <col min="18" max="18" width="12.5703125" style="6" customWidth="1"/>
    <col min="19" max="19" width="4.5703125" style="6" customWidth="1"/>
    <col min="20" max="34" width="13.7109375" style="6" customWidth="1"/>
    <col min="35" max="16384" width="9.140625" style="6"/>
  </cols>
  <sheetData>
    <row r="2" spans="2:20" s="26" customFormat="1" ht="18" x14ac:dyDescent="0.2">
      <c r="B2" s="26" t="s">
        <v>377</v>
      </c>
    </row>
    <row r="4" spans="2:20" x14ac:dyDescent="0.2">
      <c r="B4" s="33" t="s">
        <v>52</v>
      </c>
    </row>
    <row r="5" spans="2:20" ht="25.5" x14ac:dyDescent="0.2">
      <c r="B5" s="50" t="s">
        <v>164</v>
      </c>
      <c r="D5" s="27"/>
    </row>
    <row r="6" spans="2:20" x14ac:dyDescent="0.2">
      <c r="B6" s="29"/>
      <c r="D6" s="27"/>
    </row>
    <row r="7" spans="2:20" s="13" customFormat="1" x14ac:dyDescent="0.2">
      <c r="B7" s="13" t="s">
        <v>42</v>
      </c>
      <c r="D7" s="13" t="s">
        <v>71</v>
      </c>
      <c r="F7" s="13" t="s">
        <v>25</v>
      </c>
      <c r="H7" s="13" t="s">
        <v>302</v>
      </c>
      <c r="K7" s="13" t="s">
        <v>303</v>
      </c>
      <c r="M7" s="13" t="s">
        <v>72</v>
      </c>
      <c r="N7" s="13" t="s">
        <v>73</v>
      </c>
      <c r="O7" s="13" t="s">
        <v>74</v>
      </c>
      <c r="P7" s="13" t="s">
        <v>75</v>
      </c>
      <c r="Q7" s="13" t="s">
        <v>76</v>
      </c>
      <c r="R7" s="13" t="s">
        <v>77</v>
      </c>
      <c r="T7" s="13" t="s">
        <v>43</v>
      </c>
    </row>
    <row r="9" spans="2:20" s="13" customFormat="1" x14ac:dyDescent="0.2">
      <c r="B9" s="13" t="s">
        <v>146</v>
      </c>
    </row>
    <row r="11" spans="2:20" x14ac:dyDescent="0.2">
      <c r="B11" s="48" t="s">
        <v>214</v>
      </c>
    </row>
    <row r="12" spans="2:20" x14ac:dyDescent="0.2">
      <c r="B12" s="6" t="s">
        <v>94</v>
      </c>
      <c r="F12" s="6" t="s">
        <v>95</v>
      </c>
      <c r="K12" s="43">
        <f>SUM(M12:R12)</f>
        <v>257688653.65353355</v>
      </c>
      <c r="M12" s="42">
        <f>'2) Kosten 2015-2020'!M37</f>
        <v>6758153</v>
      </c>
      <c r="N12" s="42">
        <f>'2) Kosten 2015-2020'!N37</f>
        <v>95505435.700098172</v>
      </c>
      <c r="O12" s="42">
        <f>'2) Kosten 2015-2020'!O37</f>
        <v>76958427.396647066</v>
      </c>
      <c r="P12" s="42">
        <f>'2) Kosten 2015-2020'!P37</f>
        <v>2521152.6185145602</v>
      </c>
      <c r="Q12" s="42">
        <f>'2) Kosten 2015-2020'!Q37</f>
        <v>70298588.815699309</v>
      </c>
      <c r="R12" s="42">
        <f>'2) Kosten 2015-2020'!R37</f>
        <v>5646896.12257443</v>
      </c>
    </row>
    <row r="13" spans="2:20" x14ac:dyDescent="0.2">
      <c r="B13" s="6" t="s">
        <v>96</v>
      </c>
      <c r="D13" s="6" t="s">
        <v>159</v>
      </c>
      <c r="F13" s="6" t="s">
        <v>95</v>
      </c>
      <c r="K13" s="43">
        <f>SUM(M13:R13)</f>
        <v>378058359.04737854</v>
      </c>
      <c r="M13" s="42">
        <f>'2) Kosten 2015-2020'!M38</f>
        <v>5980782.721283108</v>
      </c>
      <c r="N13" s="42">
        <f>'2) Kosten 2015-2020'!N38</f>
        <v>114298308.38214783</v>
      </c>
      <c r="O13" s="42">
        <f>'2) Kosten 2015-2020'!O38</f>
        <v>128974995.70487215</v>
      </c>
      <c r="P13" s="184">
        <f>'2) Kosten 2015-2020'!U38</f>
        <v>9208903.8400254585</v>
      </c>
      <c r="Q13" s="42">
        <f>'2) Kosten 2015-2020'!Q38</f>
        <v>110181556.62985589</v>
      </c>
      <c r="R13" s="42">
        <f>'2) Kosten 2015-2020'!R38</f>
        <v>9413811.7691941038</v>
      </c>
      <c r="T13" s="6" t="s">
        <v>511</v>
      </c>
    </row>
    <row r="14" spans="2:20" x14ac:dyDescent="0.2">
      <c r="B14" s="6" t="s">
        <v>96</v>
      </c>
      <c r="D14" s="6" t="s">
        <v>160</v>
      </c>
      <c r="F14" s="6" t="s">
        <v>95</v>
      </c>
      <c r="K14" s="43">
        <f>SUM(M14:R14)</f>
        <v>390652987.1623643</v>
      </c>
      <c r="M14" s="42">
        <f>'2) Kosten 2015-2020'!M39</f>
        <v>6157995.6381635889</v>
      </c>
      <c r="N14" s="42">
        <f>'2) Kosten 2015-2020'!N39</f>
        <v>118362169.24406151</v>
      </c>
      <c r="O14" s="42">
        <f>'2) Kosten 2015-2020'!O39</f>
        <v>133360140.0526607</v>
      </c>
      <c r="P14" s="184">
        <f>'2) Kosten 2015-2020'!U39</f>
        <v>9481068.5905306209</v>
      </c>
      <c r="Q14" s="42">
        <f>'2) Kosten 2015-2020'!Q39</f>
        <v>113647900.28841291</v>
      </c>
      <c r="R14" s="42">
        <f>'2) Kosten 2015-2020'!R39</f>
        <v>9643713.3485349603</v>
      </c>
    </row>
    <row r="16" spans="2:20" x14ac:dyDescent="0.2">
      <c r="B16" s="48" t="s">
        <v>215</v>
      </c>
    </row>
    <row r="17" spans="2:20" x14ac:dyDescent="0.2">
      <c r="B17" s="6" t="s">
        <v>98</v>
      </c>
      <c r="F17" s="6" t="s">
        <v>99</v>
      </c>
      <c r="K17" s="43">
        <f>SUM(M17:R17)</f>
        <v>267983186.59538919</v>
      </c>
      <c r="M17" s="42">
        <f>'2) Kosten 2015-2020'!M48</f>
        <v>6985264</v>
      </c>
      <c r="N17" s="42">
        <f>'2) Kosten 2015-2020'!N48</f>
        <v>101694716.57557337</v>
      </c>
      <c r="O17" s="42">
        <f>'2) Kosten 2015-2020'!O48</f>
        <v>76229768.175603509</v>
      </c>
      <c r="P17" s="42">
        <f>'2) Kosten 2015-2020'!P48</f>
        <v>2544685.8400000003</v>
      </c>
      <c r="Q17" s="42">
        <f>'2) Kosten 2015-2020'!Q48</f>
        <v>75323852.599226594</v>
      </c>
      <c r="R17" s="42">
        <f>'2) Kosten 2015-2020'!R48</f>
        <v>5204899.4049857026</v>
      </c>
    </row>
    <row r="18" spans="2:20" x14ac:dyDescent="0.2">
      <c r="B18" s="6" t="s">
        <v>531</v>
      </c>
      <c r="C18" s="6"/>
      <c r="F18" s="6" t="s">
        <v>99</v>
      </c>
      <c r="K18" s="43">
        <f>SUM(M18:R18)</f>
        <v>324659.82</v>
      </c>
      <c r="M18" s="42">
        <f>'2) Kosten 2015-2020'!M49</f>
        <v>67838.039999999994</v>
      </c>
      <c r="N18" s="42">
        <f>'2) Kosten 2015-2020'!N49</f>
        <v>0</v>
      </c>
      <c r="O18" s="42">
        <f>'2) Kosten 2015-2020'!O49</f>
        <v>256821.78</v>
      </c>
      <c r="P18" s="42">
        <f>'2) Kosten 2015-2020'!P49</f>
        <v>0</v>
      </c>
      <c r="Q18" s="42">
        <f>'2) Kosten 2015-2020'!Q49</f>
        <v>0</v>
      </c>
      <c r="R18" s="42">
        <f>'2) Kosten 2015-2020'!R49</f>
        <v>0</v>
      </c>
    </row>
    <row r="19" spans="2:20" x14ac:dyDescent="0.2">
      <c r="B19" s="6" t="s">
        <v>100</v>
      </c>
      <c r="D19" s="6" t="s">
        <v>159</v>
      </c>
      <c r="F19" s="6" t="s">
        <v>99</v>
      </c>
      <c r="K19" s="43">
        <f>SUM(M19:R19)</f>
        <v>392756704.72501612</v>
      </c>
      <c r="M19" s="42">
        <f>'2) Kosten 2015-2020'!M50</f>
        <v>6091460.8548003556</v>
      </c>
      <c r="N19" s="42">
        <f>'2) Kosten 2015-2020'!N50</f>
        <v>119648905.03027107</v>
      </c>
      <c r="O19" s="42">
        <f>'2) Kosten 2015-2020'!O50</f>
        <v>132900880.04204233</v>
      </c>
      <c r="P19" s="184">
        <f>'2) Kosten 2015-2020'!U50</f>
        <v>9990376.5050572231</v>
      </c>
      <c r="Q19" s="42">
        <f>'2) Kosten 2015-2020'!Q50</f>
        <v>114559043.45184913</v>
      </c>
      <c r="R19" s="42">
        <f>'2) Kosten 2015-2020'!R50</f>
        <v>9566038.8409960121</v>
      </c>
      <c r="T19" s="6" t="s">
        <v>511</v>
      </c>
    </row>
    <row r="20" spans="2:20" x14ac:dyDescent="0.2">
      <c r="B20" s="6" t="s">
        <v>100</v>
      </c>
      <c r="D20" s="6" t="s">
        <v>160</v>
      </c>
      <c r="F20" s="6" t="s">
        <v>99</v>
      </c>
      <c r="K20" s="43">
        <f>SUM(M20:R20)</f>
        <v>405657636.68057835</v>
      </c>
      <c r="M20" s="42">
        <f>'2) Kosten 2015-2020'!M51</f>
        <v>6265779.691448749</v>
      </c>
      <c r="N20" s="42">
        <f>'2) Kosten 2015-2020'!N51</f>
        <v>123900072.4871698</v>
      </c>
      <c r="O20" s="42">
        <f>'2) Kosten 2015-2020'!O51</f>
        <v>137318608.12038994</v>
      </c>
      <c r="P20" s="184">
        <f>'2) Kosten 2015-2020'!U51</f>
        <v>10257726.224828999</v>
      </c>
      <c r="Q20" s="42">
        <f>'2) Kosten 2015-2020'!Q51</f>
        <v>118120281.83544946</v>
      </c>
      <c r="R20" s="42">
        <f>'2) Kosten 2015-2020'!R51</f>
        <v>9795168.3212913647</v>
      </c>
    </row>
    <row r="22" spans="2:20" x14ac:dyDescent="0.2">
      <c r="B22" s="48" t="s">
        <v>216</v>
      </c>
    </row>
    <row r="23" spans="2:20" x14ac:dyDescent="0.2">
      <c r="B23" s="6" t="s">
        <v>102</v>
      </c>
      <c r="F23" s="6" t="s">
        <v>103</v>
      </c>
      <c r="K23" s="43">
        <f>SUM(M23:R23)</f>
        <v>292078192.98913848</v>
      </c>
      <c r="M23" s="42">
        <f>'2) Kosten 2015-2020'!M60</f>
        <v>7525527.46</v>
      </c>
      <c r="N23" s="42">
        <f>'2) Kosten 2015-2020'!N60</f>
        <v>121097628.68580702</v>
      </c>
      <c r="O23" s="42">
        <f>'2) Kosten 2015-2020'!O60</f>
        <v>76942076.716958866</v>
      </c>
      <c r="P23" s="42">
        <f>'2) Kosten 2015-2020'!P60</f>
        <v>2833672.8800000004</v>
      </c>
      <c r="Q23" s="42">
        <f>'2) Kosten 2015-2020'!Q60</f>
        <v>77954482.163886607</v>
      </c>
      <c r="R23" s="42">
        <f>'2) Kosten 2015-2020'!R60</f>
        <v>5724805.08248604</v>
      </c>
    </row>
    <row r="24" spans="2:20" x14ac:dyDescent="0.2">
      <c r="B24" s="6" t="s">
        <v>532</v>
      </c>
      <c r="C24" s="6"/>
      <c r="F24" s="6" t="s">
        <v>103</v>
      </c>
      <c r="K24" s="43">
        <f>SUM(M24:R24)</f>
        <v>620603.32999999996</v>
      </c>
      <c r="M24" s="42">
        <f>'2) Kosten 2015-2020'!M61</f>
        <v>31952.7</v>
      </c>
      <c r="N24" s="42">
        <f>'2) Kosten 2015-2020'!N61</f>
        <v>0</v>
      </c>
      <c r="O24" s="42">
        <f>'2) Kosten 2015-2020'!O61</f>
        <v>588650.63</v>
      </c>
      <c r="P24" s="42">
        <f>'2) Kosten 2015-2020'!P61</f>
        <v>0</v>
      </c>
      <c r="Q24" s="42">
        <f>'2) Kosten 2015-2020'!Q61</f>
        <v>0</v>
      </c>
      <c r="R24" s="42">
        <f>'2) Kosten 2015-2020'!R61</f>
        <v>0</v>
      </c>
    </row>
    <row r="25" spans="2:20" x14ac:dyDescent="0.2">
      <c r="B25" s="6" t="s">
        <v>104</v>
      </c>
      <c r="D25" s="6" t="s">
        <v>159</v>
      </c>
      <c r="F25" s="6" t="s">
        <v>103</v>
      </c>
      <c r="K25" s="43">
        <f>SUM(M25:R25)</f>
        <v>408654413.31279683</v>
      </c>
      <c r="M25" s="42">
        <f>'2) Kosten 2015-2020'!M62</f>
        <v>6233245.9329605512</v>
      </c>
      <c r="N25" s="42">
        <f>'2) Kosten 2015-2020'!N62</f>
        <v>126131076.89215556</v>
      </c>
      <c r="O25" s="42">
        <f>'2) Kosten 2015-2020'!O62</f>
        <v>137725982.73308158</v>
      </c>
      <c r="P25" s="42">
        <f>'2) Kosten 2015-2020'!P62</f>
        <v>9670764.5167159047</v>
      </c>
      <c r="Q25" s="42">
        <f>'2) Kosten 2015-2020'!Q62</f>
        <v>119184054.00413287</v>
      </c>
      <c r="R25" s="42">
        <f>'2) Kosten 2015-2020'!R62</f>
        <v>9709289.2337503992</v>
      </c>
    </row>
    <row r="26" spans="2:20" x14ac:dyDescent="0.2">
      <c r="B26" s="6" t="s">
        <v>104</v>
      </c>
      <c r="D26" s="6" t="s">
        <v>160</v>
      </c>
      <c r="F26" s="6" t="s">
        <v>103</v>
      </c>
      <c r="K26" s="43">
        <f>SUM(M26:R26)</f>
        <v>421871301.3662008</v>
      </c>
      <c r="M26" s="42">
        <f>'2) Kosten 2015-2020'!M63</f>
        <v>6405105.5079438956</v>
      </c>
      <c r="N26" s="42">
        <f>'2) Kosten 2015-2020'!N63</f>
        <v>130585612.29125953</v>
      </c>
      <c r="O26" s="42">
        <f>'2) Kosten 2015-2020'!O63</f>
        <v>142211151.86130756</v>
      </c>
      <c r="P26" s="42">
        <f>'2) Kosten 2015-2020'!P63</f>
        <v>9931951.5587124228</v>
      </c>
      <c r="Q26" s="42">
        <f>'2) Kosten 2015-2020'!Q63</f>
        <v>122803796.9366657</v>
      </c>
      <c r="R26" s="42">
        <f>'2) Kosten 2015-2020'!R63</f>
        <v>9933683.2103116624</v>
      </c>
    </row>
    <row r="28" spans="2:20" x14ac:dyDescent="0.2">
      <c r="B28" s="33" t="s">
        <v>125</v>
      </c>
    </row>
    <row r="29" spans="2:20" x14ac:dyDescent="0.2">
      <c r="B29" s="6" t="s">
        <v>503</v>
      </c>
      <c r="F29" s="6" t="s">
        <v>110</v>
      </c>
      <c r="H29" s="69">
        <f>'5) PV TD'!H75</f>
        <v>-7.5913637800173461E-4</v>
      </c>
    </row>
    <row r="31" spans="2:20" x14ac:dyDescent="0.2">
      <c r="B31" s="6" t="s">
        <v>161</v>
      </c>
      <c r="F31" s="6" t="s">
        <v>110</v>
      </c>
      <c r="H31" s="69">
        <f>'4) Berekeningen op parameters'!R30</f>
        <v>5.6935115999999786E-2</v>
      </c>
    </row>
    <row r="32" spans="2:20" x14ac:dyDescent="0.2">
      <c r="B32" s="6" t="s">
        <v>162</v>
      </c>
      <c r="F32" s="6" t="s">
        <v>110</v>
      </c>
      <c r="H32" s="69">
        <f>'4) Berekeningen op parameters'!R31</f>
        <v>3.5196000000000005E-2</v>
      </c>
    </row>
    <row r="33" spans="2:20" x14ac:dyDescent="0.2">
      <c r="B33" s="6" t="s">
        <v>163</v>
      </c>
      <c r="F33" s="6" t="s">
        <v>110</v>
      </c>
      <c r="H33" s="69">
        <f>'4) Berekeningen op parameters'!R32</f>
        <v>7.0000000000000001E-3</v>
      </c>
    </row>
    <row r="35" spans="2:20" x14ac:dyDescent="0.2">
      <c r="B35" s="6" t="s">
        <v>172</v>
      </c>
      <c r="F35" s="6" t="s">
        <v>109</v>
      </c>
      <c r="K35" s="43">
        <f>SUM(M35:R35)</f>
        <v>829798182.34168494</v>
      </c>
      <c r="M35" s="42">
        <f>'3)  SO, BI &amp; PV'!M12</f>
        <v>16401680.494385676</v>
      </c>
      <c r="N35" s="42">
        <f>'3)  SO, BI &amp; PV'!N12</f>
        <v>266533758.56356135</v>
      </c>
      <c r="O35" s="42">
        <f>'3)  SO, BI &amp; PV'!O12</f>
        <v>285455588.10709691</v>
      </c>
      <c r="P35" s="42">
        <f>'3)  SO, BI &amp; PV'!P12</f>
        <v>12040239.024494292</v>
      </c>
      <c r="Q35" s="42">
        <f>'3)  SO, BI &amp; PV'!Q12</f>
        <v>235138144.63941851</v>
      </c>
      <c r="R35" s="42">
        <f>'3)  SO, BI &amp; PV'!R12</f>
        <v>14228771.512728186</v>
      </c>
    </row>
    <row r="37" spans="2:20" s="13" customFormat="1" x14ac:dyDescent="0.2">
      <c r="B37" s="13" t="s">
        <v>166</v>
      </c>
    </row>
    <row r="39" spans="2:20" x14ac:dyDescent="0.2">
      <c r="B39" s="5" t="s">
        <v>165</v>
      </c>
    </row>
    <row r="40" spans="2:20" x14ac:dyDescent="0.2">
      <c r="B40" s="6" t="s">
        <v>191</v>
      </c>
      <c r="D40" s="6" t="s">
        <v>129</v>
      </c>
      <c r="F40" s="6" t="s">
        <v>147</v>
      </c>
      <c r="H40" s="43">
        <f>(K12)*(1-$H$29)^3*(1+$H$31)</f>
        <v>272980933.61179608</v>
      </c>
      <c r="T40" s="9" t="s">
        <v>453</v>
      </c>
    </row>
    <row r="41" spans="2:20" x14ac:dyDescent="0.2">
      <c r="B41" s="6" t="s">
        <v>96</v>
      </c>
      <c r="D41" s="6" t="s">
        <v>159</v>
      </c>
      <c r="F41" s="6" t="s">
        <v>147</v>
      </c>
      <c r="H41" s="43">
        <f>K13*(1-$H$29)^3*(1+$H$31)</f>
        <v>400493860.90260178</v>
      </c>
    </row>
    <row r="42" spans="2:20" x14ac:dyDescent="0.2">
      <c r="B42" s="6" t="s">
        <v>96</v>
      </c>
      <c r="D42" s="6" t="s">
        <v>160</v>
      </c>
      <c r="F42" s="6" t="s">
        <v>147</v>
      </c>
      <c r="H42" s="43">
        <f>K14*(1-$H$29)^3*(1+$H$31)</f>
        <v>413835904.84817952</v>
      </c>
    </row>
    <row r="44" spans="2:20" x14ac:dyDescent="0.2">
      <c r="B44" s="5" t="s">
        <v>167</v>
      </c>
    </row>
    <row r="45" spans="2:20" x14ac:dyDescent="0.2">
      <c r="B45" s="6" t="s">
        <v>192</v>
      </c>
      <c r="D45" s="6" t="s">
        <v>129</v>
      </c>
      <c r="F45" s="6" t="s">
        <v>147</v>
      </c>
      <c r="H45" s="43">
        <f>(K17)*(1-$H$29)^2*(1+$H$32)</f>
        <v>277836474.5249154</v>
      </c>
      <c r="T45" s="9" t="s">
        <v>453</v>
      </c>
    </row>
    <row r="46" spans="2:20" x14ac:dyDescent="0.2">
      <c r="B46" s="6" t="s">
        <v>100</v>
      </c>
      <c r="D46" s="6" t="s">
        <v>159</v>
      </c>
      <c r="F46" s="6" t="s">
        <v>147</v>
      </c>
      <c r="H46" s="43">
        <f>K19*(1-$H$29)^2*(1+$H$32)</f>
        <v>407197703.6066007</v>
      </c>
    </row>
    <row r="47" spans="2:20" x14ac:dyDescent="0.2">
      <c r="B47" s="6" t="s">
        <v>100</v>
      </c>
      <c r="D47" s="6" t="s">
        <v>160</v>
      </c>
      <c r="F47" s="6" t="s">
        <v>147</v>
      </c>
      <c r="H47" s="43">
        <f>K20*(1-$H$29)^2*(1+$H$32)</f>
        <v>420572980.9818601</v>
      </c>
    </row>
    <row r="49" spans="2:20" x14ac:dyDescent="0.2">
      <c r="B49" s="5" t="s">
        <v>168</v>
      </c>
    </row>
    <row r="50" spans="2:20" x14ac:dyDescent="0.2">
      <c r="B50" s="6" t="s">
        <v>193</v>
      </c>
      <c r="D50" s="6" t="s">
        <v>129</v>
      </c>
      <c r="F50" s="6" t="s">
        <v>147</v>
      </c>
      <c r="H50" s="43">
        <f>(K23)*(1-$H$29)*(1+$H$33)</f>
        <v>294346019.61185217</v>
      </c>
      <c r="T50" s="9" t="s">
        <v>453</v>
      </c>
    </row>
    <row r="51" spans="2:20" x14ac:dyDescent="0.2">
      <c r="B51" s="6" t="s">
        <v>104</v>
      </c>
      <c r="D51" s="6" t="s">
        <v>159</v>
      </c>
      <c r="F51" s="6" t="s">
        <v>147</v>
      </c>
      <c r="H51" s="43">
        <f>K25*(1-$H$29)*(1+$H$33)</f>
        <v>411827390.20818132</v>
      </c>
    </row>
    <row r="52" spans="2:20" x14ac:dyDescent="0.2">
      <c r="B52" s="6" t="s">
        <v>104</v>
      </c>
      <c r="D52" s="6" t="s">
        <v>160</v>
      </c>
      <c r="F52" s="6" t="s">
        <v>147</v>
      </c>
      <c r="H52" s="43">
        <f>K26*(1-$H$29)*(1+$H$33)</f>
        <v>425146900.13242811</v>
      </c>
    </row>
    <row r="54" spans="2:20" s="13" customFormat="1" x14ac:dyDescent="0.2">
      <c r="B54" s="13" t="s">
        <v>365</v>
      </c>
    </row>
    <row r="56" spans="2:20" x14ac:dyDescent="0.2">
      <c r="B56" s="5" t="s">
        <v>169</v>
      </c>
    </row>
    <row r="57" spans="2:20" x14ac:dyDescent="0.2">
      <c r="B57" s="6" t="s">
        <v>126</v>
      </c>
      <c r="D57" s="6" t="s">
        <v>129</v>
      </c>
      <c r="F57" s="6" t="s">
        <v>147</v>
      </c>
      <c r="H57" s="47">
        <f>AVERAGE(H40,H45,H50)</f>
        <v>281721142.58285457</v>
      </c>
      <c r="T57" s="9" t="s">
        <v>454</v>
      </c>
    </row>
    <row r="58" spans="2:20" x14ac:dyDescent="0.2">
      <c r="B58" s="6" t="s">
        <v>170</v>
      </c>
      <c r="D58" s="6" t="s">
        <v>160</v>
      </c>
      <c r="F58" s="6" t="s">
        <v>147</v>
      </c>
      <c r="H58" s="47">
        <f>AVERAGE(H42,H47,H52)</f>
        <v>419851928.65415591</v>
      </c>
    </row>
    <row r="59" spans="2:20" x14ac:dyDescent="0.2">
      <c r="B59" s="6" t="s">
        <v>171</v>
      </c>
      <c r="D59" s="6" t="s">
        <v>159</v>
      </c>
      <c r="F59" s="6" t="s">
        <v>147</v>
      </c>
      <c r="H59" s="47">
        <f>AVERAGE(H41,H46,H51)</f>
        <v>406506318.23912793</v>
      </c>
    </row>
    <row r="60" spans="2:20" x14ac:dyDescent="0.2">
      <c r="C60" s="79"/>
    </row>
    <row r="61" spans="2:20" x14ac:dyDescent="0.2">
      <c r="B61" s="5" t="s">
        <v>127</v>
      </c>
    </row>
    <row r="62" spans="2:20" x14ac:dyDescent="0.2">
      <c r="B62" s="6" t="s">
        <v>524</v>
      </c>
      <c r="D62" s="6" t="s">
        <v>160</v>
      </c>
      <c r="F62" s="6" t="s">
        <v>147</v>
      </c>
      <c r="H62" s="47">
        <f>SUM(H57+H58)</f>
        <v>701573071.23701048</v>
      </c>
    </row>
    <row r="64" spans="2:20" x14ac:dyDescent="0.2">
      <c r="B64" s="5" t="s">
        <v>128</v>
      </c>
    </row>
    <row r="65" spans="2:20" x14ac:dyDescent="0.2">
      <c r="B65" s="6" t="s">
        <v>264</v>
      </c>
      <c r="D65" s="6" t="s">
        <v>159</v>
      </c>
      <c r="F65" s="6" t="s">
        <v>147</v>
      </c>
      <c r="H65" s="47">
        <f>SUM(H57+H59)</f>
        <v>688227460.8219825</v>
      </c>
      <c r="T65" s="9" t="s">
        <v>458</v>
      </c>
    </row>
    <row r="67" spans="2:20" x14ac:dyDescent="0.2">
      <c r="B67" s="6" t="s">
        <v>289</v>
      </c>
      <c r="D67" s="6" t="s">
        <v>159</v>
      </c>
      <c r="F67" s="6" t="s">
        <v>147</v>
      </c>
      <c r="H67" s="74">
        <f>H65/K35</f>
        <v>0.82939138150412572</v>
      </c>
      <c r="T67" s="9" t="s">
        <v>455</v>
      </c>
    </row>
    <row r="69" spans="2:20" x14ac:dyDescent="0.2">
      <c r="B69" s="6" t="s">
        <v>173</v>
      </c>
      <c r="D69" s="6" t="s">
        <v>159</v>
      </c>
      <c r="F69" s="6" t="s">
        <v>147</v>
      </c>
      <c r="K69" s="43">
        <f>SUM(M69:R69)</f>
        <v>688227460.8219825</v>
      </c>
      <c r="M69" s="36">
        <f>M35*$H$67</f>
        <v>13603412.444227807</v>
      </c>
      <c r="N69" s="36">
        <f t="shared" ref="N69:R69" si="0">N35*$H$67</f>
        <v>221060802.23251924</v>
      </c>
      <c r="O69" s="36">
        <f t="shared" si="0"/>
        <v>236754404.57821777</v>
      </c>
      <c r="P69" s="36">
        <f t="shared" si="0"/>
        <v>9986070.4781652074</v>
      </c>
      <c r="Q69" s="36">
        <f t="shared" si="0"/>
        <v>195021550.62680426</v>
      </c>
      <c r="R69" s="36">
        <f t="shared" si="0"/>
        <v>11801220.462048179</v>
      </c>
      <c r="T69" s="9" t="s">
        <v>456</v>
      </c>
    </row>
    <row r="71" spans="2:20" s="13" customFormat="1" x14ac:dyDescent="0.2">
      <c r="B71" s="13" t="s">
        <v>530</v>
      </c>
    </row>
    <row r="72" spans="2:20" x14ac:dyDescent="0.2">
      <c r="C72" s="6"/>
    </row>
    <row r="73" spans="2:20" x14ac:dyDescent="0.2">
      <c r="B73" s="6" t="s">
        <v>531</v>
      </c>
      <c r="C73" s="6"/>
      <c r="F73" s="6" t="s">
        <v>147</v>
      </c>
      <c r="K73" s="43">
        <f>SUM(M73:R73)</f>
        <v>336086.54702472</v>
      </c>
      <c r="M73" s="43">
        <f>M18*(1+$H$32)</f>
        <v>70225.667655839992</v>
      </c>
      <c r="N73" s="43">
        <f t="shared" ref="N73:R73" si="1">N18*(1+$H$32)</f>
        <v>0</v>
      </c>
      <c r="O73" s="43">
        <f t="shared" si="1"/>
        <v>265860.87936888001</v>
      </c>
      <c r="P73" s="43">
        <f t="shared" si="1"/>
        <v>0</v>
      </c>
      <c r="Q73" s="43">
        <f t="shared" si="1"/>
        <v>0</v>
      </c>
      <c r="R73" s="43">
        <f t="shared" si="1"/>
        <v>0</v>
      </c>
      <c r="T73" s="9"/>
    </row>
    <row r="74" spans="2:20" x14ac:dyDescent="0.2">
      <c r="B74" s="6" t="s">
        <v>532</v>
      </c>
      <c r="C74" s="6"/>
      <c r="F74" s="6" t="s">
        <v>147</v>
      </c>
      <c r="K74" s="43">
        <f>SUM(M74:R74)</f>
        <v>624947.55330999999</v>
      </c>
      <c r="M74" s="43">
        <f>M24*(1+$H$33)</f>
        <v>32176.368899999998</v>
      </c>
      <c r="N74" s="43">
        <f t="shared" ref="N74:R74" si="2">N24*(1+$H$33)</f>
        <v>0</v>
      </c>
      <c r="O74" s="43">
        <f t="shared" si="2"/>
        <v>592771.18440999999</v>
      </c>
      <c r="P74" s="43">
        <f t="shared" si="2"/>
        <v>0</v>
      </c>
      <c r="Q74" s="43">
        <f t="shared" si="2"/>
        <v>0</v>
      </c>
      <c r="R74" s="43">
        <f t="shared" si="2"/>
        <v>0</v>
      </c>
      <c r="T74" s="9"/>
    </row>
    <row r="75" spans="2:20" x14ac:dyDescent="0.2">
      <c r="B75" s="6" t="s">
        <v>533</v>
      </c>
      <c r="C75" s="6"/>
      <c r="F75" s="6" t="s">
        <v>147</v>
      </c>
      <c r="K75" s="43">
        <f>AVERAGE(K73,K74)</f>
        <v>480517.05016735999</v>
      </c>
      <c r="M75" s="185">
        <f t="shared" ref="M75:R75" si="3">AVERAGE(M73,M74)</f>
        <v>51201.018277919997</v>
      </c>
      <c r="N75" s="185">
        <f t="shared" si="3"/>
        <v>0</v>
      </c>
      <c r="O75" s="185">
        <f t="shared" si="3"/>
        <v>429316.03188944003</v>
      </c>
      <c r="P75" s="185">
        <f t="shared" si="3"/>
        <v>0</v>
      </c>
      <c r="Q75" s="185">
        <f t="shared" si="3"/>
        <v>0</v>
      </c>
      <c r="R75" s="185">
        <f t="shared" si="3"/>
        <v>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tabColor rgb="FFFFFFCC"/>
  </sheetPr>
  <dimension ref="B2:T93"/>
  <sheetViews>
    <sheetView showGridLines="0" zoomScale="80" zoomScaleNormal="80" workbookViewId="0">
      <pane xSplit="6" ySplit="10" topLeftCell="G11" activePane="bottomRight" state="frozen"/>
      <selection pane="topRight" activeCell="F1" sqref="F1"/>
      <selection pane="bottomLeft" activeCell="A11" sqref="A11"/>
      <selection pane="bottomRight" activeCell="G11" sqref="G11"/>
    </sheetView>
  </sheetViews>
  <sheetFormatPr defaultRowHeight="12.75" x14ac:dyDescent="0.2"/>
  <cols>
    <col min="1" max="1" width="2.7109375" style="6" customWidth="1"/>
    <col min="2" max="2" width="91.42578125" style="6" customWidth="1"/>
    <col min="3" max="3" width="2.7109375" style="6" customWidth="1"/>
    <col min="4" max="4" width="21.42578125" style="6" customWidth="1"/>
    <col min="5" max="5" width="2.7109375" style="6" customWidth="1"/>
    <col min="6" max="6" width="14.85546875" style="6" customWidth="1"/>
    <col min="7" max="7" width="2.7109375" style="6" customWidth="1"/>
    <col min="8" max="8" width="19.5703125" style="6" bestFit="1" customWidth="1"/>
    <col min="9" max="10" width="6.5703125" style="6" customWidth="1"/>
    <col min="11" max="11" width="19.5703125" style="6" customWidth="1"/>
    <col min="12" max="12" width="2.7109375" style="6" customWidth="1"/>
    <col min="13" max="14" width="12.5703125" style="6" customWidth="1"/>
    <col min="15" max="15" width="13" style="6" bestFit="1" customWidth="1"/>
    <col min="16" max="18" width="12.5703125" style="6" customWidth="1"/>
    <col min="19" max="19" width="3.85546875" style="6" customWidth="1"/>
    <col min="20" max="34" width="13.7109375" style="6" customWidth="1"/>
    <col min="35" max="16384" width="9.140625" style="6"/>
  </cols>
  <sheetData>
    <row r="2" spans="2:20" s="26" customFormat="1" ht="18" x14ac:dyDescent="0.2">
      <c r="B2" s="26" t="s">
        <v>376</v>
      </c>
    </row>
    <row r="4" spans="2:20" x14ac:dyDescent="0.2">
      <c r="B4" s="33" t="s">
        <v>52</v>
      </c>
    </row>
    <row r="5" spans="2:20" ht="25.5" x14ac:dyDescent="0.2">
      <c r="B5" s="50" t="s">
        <v>174</v>
      </c>
      <c r="D5" s="27"/>
    </row>
    <row r="6" spans="2:20" x14ac:dyDescent="0.2">
      <c r="B6" s="29"/>
      <c r="D6" s="27"/>
    </row>
    <row r="7" spans="2:20" x14ac:dyDescent="0.2">
      <c r="B7" s="34" t="s">
        <v>27</v>
      </c>
      <c r="D7" s="27"/>
    </row>
    <row r="8" spans="2:20" ht="38.25" x14ac:dyDescent="0.2">
      <c r="B8" s="50" t="s">
        <v>543</v>
      </c>
    </row>
    <row r="10" spans="2:20" s="13" customFormat="1" x14ac:dyDescent="0.2">
      <c r="B10" s="13" t="s">
        <v>42</v>
      </c>
      <c r="D10" s="13" t="s">
        <v>71</v>
      </c>
      <c r="F10" s="13" t="s">
        <v>25</v>
      </c>
      <c r="H10" s="13" t="s">
        <v>302</v>
      </c>
      <c r="K10" s="13" t="s">
        <v>303</v>
      </c>
      <c r="M10" s="13" t="s">
        <v>72</v>
      </c>
      <c r="N10" s="13" t="s">
        <v>73</v>
      </c>
      <c r="O10" s="13" t="s">
        <v>74</v>
      </c>
      <c r="P10" s="13" t="s">
        <v>75</v>
      </c>
      <c r="Q10" s="13" t="s">
        <v>76</v>
      </c>
      <c r="R10" s="13" t="s">
        <v>77</v>
      </c>
      <c r="T10" s="13" t="s">
        <v>43</v>
      </c>
    </row>
    <row r="12" spans="2:20" s="13" customFormat="1" x14ac:dyDescent="0.2">
      <c r="B12" s="13" t="s">
        <v>146</v>
      </c>
    </row>
    <row r="14" spans="2:20" x14ac:dyDescent="0.2">
      <c r="B14" s="48" t="s">
        <v>133</v>
      </c>
    </row>
    <row r="15" spans="2:20" x14ac:dyDescent="0.2">
      <c r="B15" s="6" t="s">
        <v>94</v>
      </c>
      <c r="D15" s="6" t="s">
        <v>129</v>
      </c>
      <c r="F15" s="6" t="s">
        <v>95</v>
      </c>
      <c r="K15" s="43">
        <f>SUM(M15:R15)</f>
        <v>88444609.187141314</v>
      </c>
      <c r="M15" s="42">
        <f>'2) Kosten 2015-2020'!M93</f>
        <v>1986265</v>
      </c>
      <c r="N15" s="42">
        <f>'2) Kosten 2015-2020'!N93</f>
        <v>13869765.794395093</v>
      </c>
      <c r="O15" s="42">
        <f>'2) Kosten 2015-2020'!O93</f>
        <v>43927482.767497882</v>
      </c>
      <c r="P15" s="42">
        <f>'2) Kosten 2015-2020'!P93</f>
        <v>1394469.6214854394</v>
      </c>
      <c r="Q15" s="42">
        <f>'2) Kosten 2015-2020'!Q93</f>
        <v>26459706.662269812</v>
      </c>
      <c r="R15" s="42">
        <f>'2) Kosten 2015-2020'!R93</f>
        <v>806919.3414930834</v>
      </c>
    </row>
    <row r="16" spans="2:20" x14ac:dyDescent="0.2">
      <c r="B16" s="6" t="s">
        <v>175</v>
      </c>
      <c r="D16" s="6" t="s">
        <v>159</v>
      </c>
      <c r="F16" s="6" t="s">
        <v>95</v>
      </c>
      <c r="K16" s="43">
        <f>SUM(M16:R16)</f>
        <v>80667563.94299233</v>
      </c>
      <c r="M16" s="42">
        <f>'2) Kosten 2015-2020'!M94</f>
        <v>1625629.5755087456</v>
      </c>
      <c r="N16" s="42">
        <f>'2) Kosten 2015-2020'!N94</f>
        <v>21442518.123755328</v>
      </c>
      <c r="O16" s="42">
        <f>'2) Kosten 2015-2020'!O94</f>
        <v>25082939.528972723</v>
      </c>
      <c r="P16" s="184">
        <f>'2) Kosten 2015-2020'!U94</f>
        <v>892647.39841258852</v>
      </c>
      <c r="Q16" s="42">
        <f>'2) Kosten 2015-2020'!Q94</f>
        <v>31348511.526315644</v>
      </c>
      <c r="R16" s="42">
        <f>'2) Kosten 2015-2020'!R94</f>
        <v>275317.7900273003</v>
      </c>
      <c r="T16" s="6" t="s">
        <v>511</v>
      </c>
    </row>
    <row r="17" spans="2:18" x14ac:dyDescent="0.2">
      <c r="B17" s="6" t="s">
        <v>176</v>
      </c>
      <c r="D17" s="6" t="s">
        <v>160</v>
      </c>
      <c r="F17" s="6" t="s">
        <v>95</v>
      </c>
      <c r="K17" s="43">
        <f>SUM(M17:R17)</f>
        <v>83597960.315494254</v>
      </c>
      <c r="M17" s="42">
        <f>'2) Kosten 2015-2020'!M95</f>
        <v>1686934.5361408689</v>
      </c>
      <c r="N17" s="42">
        <f>'2) Kosten 2015-2020'!N95</f>
        <v>22231027.954583857</v>
      </c>
      <c r="O17" s="42">
        <f>'2) Kosten 2015-2020'!O95</f>
        <v>26032684.179272432</v>
      </c>
      <c r="P17" s="184">
        <f>'2) Kosten 2015-2020'!U95</f>
        <v>919749.06206285418</v>
      </c>
      <c r="Q17" s="42">
        <f>'2) Kosten 2015-2020'!Q95</f>
        <v>32443355.15958238</v>
      </c>
      <c r="R17" s="42">
        <f>'2) Kosten 2015-2020'!R95</f>
        <v>284209.42385185551</v>
      </c>
    </row>
    <row r="19" spans="2:18" x14ac:dyDescent="0.2">
      <c r="B19" s="49" t="s">
        <v>134</v>
      </c>
      <c r="F19" s="6" t="s">
        <v>95</v>
      </c>
      <c r="K19" s="43">
        <f>SUM(M19:R19)</f>
        <v>50134932.007732578</v>
      </c>
      <c r="M19" s="42">
        <f>'2) Kosten 2015-2020'!M126</f>
        <v>769242.18</v>
      </c>
      <c r="N19" s="42">
        <f>'2) Kosten 2015-2020'!N126</f>
        <v>15016039.463333836</v>
      </c>
      <c r="O19" s="42">
        <f>'2) Kosten 2015-2020'!O126</f>
        <v>14569319.921730017</v>
      </c>
      <c r="P19" s="42">
        <f>'2) Kosten 2015-2020'!P126</f>
        <v>467099.73</v>
      </c>
      <c r="Q19" s="42">
        <f>'2) Kosten 2015-2020'!Q126</f>
        <v>18469509.922668725</v>
      </c>
      <c r="R19" s="42">
        <f>'2) Kosten 2015-2020'!R126</f>
        <v>843720.79000000015</v>
      </c>
    </row>
    <row r="20" spans="2:18" x14ac:dyDescent="0.2">
      <c r="B20" s="5"/>
    </row>
    <row r="21" spans="2:18" x14ac:dyDescent="0.2">
      <c r="B21" s="48" t="s">
        <v>135</v>
      </c>
    </row>
    <row r="22" spans="2:18" x14ac:dyDescent="0.2">
      <c r="B22" s="6" t="s">
        <v>98</v>
      </c>
      <c r="D22" s="6" t="s">
        <v>129</v>
      </c>
      <c r="F22" s="6" t="s">
        <v>99</v>
      </c>
      <c r="K22" s="43">
        <f>SUM(M22:R22)</f>
        <v>97048998.011170924</v>
      </c>
      <c r="M22" s="42">
        <f>'2) Kosten 2015-2020'!M104</f>
        <v>1708762</v>
      </c>
      <c r="N22" s="42">
        <f>'2) Kosten 2015-2020'!N104</f>
        <v>14506435.082167657</v>
      </c>
      <c r="O22" s="42">
        <f>'2) Kosten 2015-2020'!O104</f>
        <v>48327439.791518927</v>
      </c>
      <c r="P22" s="42">
        <f>'2) Kosten 2015-2020'!P104</f>
        <v>1463878.18</v>
      </c>
      <c r="Q22" s="42">
        <f>'2) Kosten 2015-2020'!Q104</f>
        <v>30107457.794053108</v>
      </c>
      <c r="R22" s="42">
        <f>'2) Kosten 2015-2020'!R104</f>
        <v>935025.16343122057</v>
      </c>
    </row>
    <row r="23" spans="2:18" x14ac:dyDescent="0.2">
      <c r="B23" s="6" t="s">
        <v>529</v>
      </c>
      <c r="F23" s="6" t="s">
        <v>99</v>
      </c>
      <c r="K23" s="43">
        <f>SUM(M23:R23)</f>
        <v>6595297.2500000186</v>
      </c>
      <c r="M23" s="42">
        <f>'2) Kosten 2015-2020'!M105</f>
        <v>139755.76</v>
      </c>
      <c r="N23" s="42">
        <f>'2) Kosten 2015-2020'!N105</f>
        <v>1844855.54</v>
      </c>
      <c r="O23" s="42">
        <f>'2) Kosten 2015-2020'!O105</f>
        <v>3411656.2400000184</v>
      </c>
      <c r="P23" s="42">
        <f>'2) Kosten 2015-2020'!P105</f>
        <v>0</v>
      </c>
      <c r="Q23" s="42">
        <f>'2) Kosten 2015-2020'!Q105</f>
        <v>1097680.5</v>
      </c>
      <c r="R23" s="42">
        <f>'2) Kosten 2015-2020'!R105</f>
        <v>101349.21000000033</v>
      </c>
    </row>
    <row r="24" spans="2:18" x14ac:dyDescent="0.2">
      <c r="B24" s="6" t="s">
        <v>177</v>
      </c>
      <c r="D24" s="6" t="s">
        <v>159</v>
      </c>
      <c r="F24" s="6" t="s">
        <v>99</v>
      </c>
      <c r="K24" s="43">
        <f>SUM(M24:R24)</f>
        <v>86506445.782231987</v>
      </c>
      <c r="M24" s="42">
        <f>'2) Kosten 2015-2020'!M106</f>
        <v>1738458.0111439698</v>
      </c>
      <c r="N24" s="42">
        <f>'2) Kosten 2015-2020'!N106</f>
        <v>23352190.08457531</v>
      </c>
      <c r="O24" s="42">
        <f>'2) Kosten 2015-2020'!O106</f>
        <v>26796315.644955598</v>
      </c>
      <c r="P24" s="184">
        <f>'2) Kosten 2015-2020'!U106</f>
        <v>930185.45306422398</v>
      </c>
      <c r="Q24" s="42">
        <f>'2) Kosten 2015-2020'!Q106</f>
        <v>33374849.658997957</v>
      </c>
      <c r="R24" s="42">
        <f>'2) Kosten 2015-2020'!R106</f>
        <v>314446.92949492484</v>
      </c>
    </row>
    <row r="25" spans="2:18" x14ac:dyDescent="0.2">
      <c r="B25" s="6" t="s">
        <v>178</v>
      </c>
      <c r="D25" s="6" t="s">
        <v>160</v>
      </c>
      <c r="F25" s="6" t="s">
        <v>99</v>
      </c>
      <c r="K25" s="43">
        <f>SUM(M25:R25)</f>
        <v>89627854.848321423</v>
      </c>
      <c r="M25" s="42">
        <f>'2) Kosten 2015-2020'!M107</f>
        <v>1803221.4673802557</v>
      </c>
      <c r="N25" s="42">
        <f>'2) Kosten 2015-2020'!N107</f>
        <v>24213838.461819842</v>
      </c>
      <c r="O25" s="42">
        <f>'2) Kosten 2015-2020'!O107</f>
        <v>27792708.224780444</v>
      </c>
      <c r="P25" s="184">
        <f>'2) Kosten 2015-2020'!U107</f>
        <v>957940.01241396228</v>
      </c>
      <c r="Q25" s="42">
        <f>'2) Kosten 2015-2020'!Q107</f>
        <v>34535087.254364334</v>
      </c>
      <c r="R25" s="42">
        <f>'2) Kosten 2015-2020'!R107</f>
        <v>325059.4275625833</v>
      </c>
    </row>
    <row r="27" spans="2:18" x14ac:dyDescent="0.2">
      <c r="B27" s="49" t="s">
        <v>136</v>
      </c>
      <c r="F27" s="6" t="s">
        <v>99</v>
      </c>
      <c r="K27" s="43">
        <f>SUM(M27:R27)</f>
        <v>40355682.18570964</v>
      </c>
      <c r="M27" s="42">
        <f>'2) Kosten 2015-2020'!M127</f>
        <v>861614.67</v>
      </c>
      <c r="N27" s="42">
        <f>'2) Kosten 2015-2020'!N127</f>
        <v>11062617.670001786</v>
      </c>
      <c r="O27" s="42">
        <f>'2) Kosten 2015-2020'!O127</f>
        <v>14310881.359999999</v>
      </c>
      <c r="P27" s="42">
        <f>'2) Kosten 2015-2020'!P127</f>
        <v>410165.5</v>
      </c>
      <c r="Q27" s="42">
        <f>'2) Kosten 2015-2020'!Q127</f>
        <v>12631235.475707857</v>
      </c>
      <c r="R27" s="42">
        <f>'2) Kosten 2015-2020'!R127</f>
        <v>1079167.51</v>
      </c>
    </row>
    <row r="28" spans="2:18" x14ac:dyDescent="0.2">
      <c r="B28" s="5"/>
    </row>
    <row r="29" spans="2:18" x14ac:dyDescent="0.2">
      <c r="B29" s="48" t="s">
        <v>137</v>
      </c>
    </row>
    <row r="30" spans="2:18" x14ac:dyDescent="0.2">
      <c r="B30" s="6" t="s">
        <v>102</v>
      </c>
      <c r="D30" s="6" t="s">
        <v>129</v>
      </c>
      <c r="F30" s="6" t="s">
        <v>103</v>
      </c>
      <c r="K30" s="43">
        <f>SUM(M30:R30)</f>
        <v>109967145.95587528</v>
      </c>
      <c r="M30" s="42">
        <f>'2) Kosten 2015-2020'!M116</f>
        <v>3664892.8376599997</v>
      </c>
      <c r="N30" s="42">
        <f>'2) Kosten 2015-2020'!N116</f>
        <v>15788414.84487447</v>
      </c>
      <c r="O30" s="42">
        <f>'2) Kosten 2015-2020'!O116</f>
        <v>53486724.457184203</v>
      </c>
      <c r="P30" s="42">
        <f>'2) Kosten 2015-2020'!P116</f>
        <v>1311717.5399999998</v>
      </c>
      <c r="Q30" s="42">
        <f>'2) Kosten 2015-2020'!Q116</f>
        <v>34924488.05018957</v>
      </c>
      <c r="R30" s="42">
        <f>'2) Kosten 2015-2020'!R116</f>
        <v>790908.22596702247</v>
      </c>
    </row>
    <row r="31" spans="2:18" x14ac:dyDescent="0.2">
      <c r="B31" s="6" t="s">
        <v>534</v>
      </c>
      <c r="F31" s="6" t="s">
        <v>103</v>
      </c>
      <c r="K31" s="43">
        <f>SUM(M31:R31)</f>
        <v>6797075.870000015</v>
      </c>
      <c r="M31" s="42">
        <f>'2) Kosten 2015-2020'!M117</f>
        <v>161487.28</v>
      </c>
      <c r="N31" s="42">
        <f>'2) Kosten 2015-2020'!N117</f>
        <v>2093303.1400000001</v>
      </c>
      <c r="O31" s="42">
        <f>'2) Kosten 2015-2020'!O117</f>
        <v>3197631.4300000146</v>
      </c>
      <c r="P31" s="42">
        <f>'2) Kosten 2015-2020'!P117</f>
        <v>140755.22</v>
      </c>
      <c r="Q31" s="42">
        <f>'2) Kosten 2015-2020'!Q117</f>
        <v>1139921.8599999999</v>
      </c>
      <c r="R31" s="42">
        <f>'2) Kosten 2015-2020'!R117</f>
        <v>63976.940000000104</v>
      </c>
    </row>
    <row r="32" spans="2:18" x14ac:dyDescent="0.2">
      <c r="B32" s="6" t="s">
        <v>179</v>
      </c>
      <c r="D32" s="6" t="s">
        <v>159</v>
      </c>
      <c r="F32" s="6" t="s">
        <v>103</v>
      </c>
      <c r="K32" s="43">
        <f>SUM(M32:R32)</f>
        <v>92846830.631111339</v>
      </c>
      <c r="M32" s="42">
        <f>'2) Kosten 2015-2020'!M118</f>
        <v>1844344.7362077332</v>
      </c>
      <c r="N32" s="42">
        <f>'2) Kosten 2015-2020'!N118</f>
        <v>25645204.931330353</v>
      </c>
      <c r="O32" s="42">
        <f>'2) Kosten 2015-2020'!O118</f>
        <v>28310587.358932044</v>
      </c>
      <c r="P32" s="42">
        <f>'2) Kosten 2015-2020'!P118</f>
        <v>982632.43108389876</v>
      </c>
      <c r="Q32" s="42">
        <f>'2) Kosten 2015-2020'!Q118</f>
        <v>35703896.341763094</v>
      </c>
      <c r="R32" s="42">
        <f>'2) Kosten 2015-2020'!R118</f>
        <v>360164.83179421048</v>
      </c>
    </row>
    <row r="33" spans="2:18" x14ac:dyDescent="0.2">
      <c r="B33" s="6" t="s">
        <v>180</v>
      </c>
      <c r="D33" s="6" t="s">
        <v>160</v>
      </c>
      <c r="F33" s="6" t="s">
        <v>103</v>
      </c>
      <c r="K33" s="43">
        <f>SUM(M33:R33)</f>
        <v>96152516.069638312</v>
      </c>
      <c r="M33" s="42">
        <f>'2) Kosten 2015-2020'!M119</f>
        <v>1911655.0104076178</v>
      </c>
      <c r="N33" s="42">
        <f>'2) Kosten 2015-2020'!N119</f>
        <v>26586569.630189069</v>
      </c>
      <c r="O33" s="42">
        <f>'2) Kosten 2015-2020'!O119</f>
        <v>29341306.220021062</v>
      </c>
      <c r="P33" s="42">
        <f>'2) Kosten 2015-2020'!P119</f>
        <v>1011651.3089367605</v>
      </c>
      <c r="Q33" s="42">
        <f>'2) Kosten 2015-2020'!Q119</f>
        <v>36928879.823826678</v>
      </c>
      <c r="R33" s="42">
        <f>'2) Kosten 2015-2020'!R119</f>
        <v>372454.07625712664</v>
      </c>
    </row>
    <row r="35" spans="2:18" x14ac:dyDescent="0.2">
      <c r="B35" s="49" t="s">
        <v>138</v>
      </c>
      <c r="F35" s="6" t="s">
        <v>103</v>
      </c>
      <c r="K35" s="43">
        <f>SUM(M35:R35)</f>
        <v>23099824.644724157</v>
      </c>
      <c r="M35" s="42">
        <f>'2) Kosten 2015-2020'!M128</f>
        <v>411570.22000000003</v>
      </c>
      <c r="N35" s="42">
        <f>'2) Kosten 2015-2020'!N128</f>
        <v>6661906.4299997473</v>
      </c>
      <c r="O35" s="42">
        <f>'2) Kosten 2015-2020'!O128</f>
        <v>9287762.9469170291</v>
      </c>
      <c r="P35" s="42">
        <f>'2) Kosten 2015-2020'!P128</f>
        <v>194478.21000000002</v>
      </c>
      <c r="Q35" s="42">
        <f>'2) Kosten 2015-2020'!Q128</f>
        <v>5870595.3378073797</v>
      </c>
      <c r="R35" s="42">
        <f>'2) Kosten 2015-2020'!R128</f>
        <v>673511.5</v>
      </c>
    </row>
    <row r="37" spans="2:18" x14ac:dyDescent="0.2">
      <c r="B37" s="33" t="s">
        <v>125</v>
      </c>
    </row>
    <row r="38" spans="2:18" x14ac:dyDescent="0.2">
      <c r="B38" s="6" t="s">
        <v>503</v>
      </c>
      <c r="F38" s="6" t="s">
        <v>110</v>
      </c>
      <c r="H38" s="69">
        <f>'6) PV AD'!H53</f>
        <v>-3.6868648042002516E-2</v>
      </c>
    </row>
    <row r="40" spans="2:18" x14ac:dyDescent="0.2">
      <c r="B40" s="6" t="s">
        <v>161</v>
      </c>
      <c r="F40" s="6" t="s">
        <v>110</v>
      </c>
      <c r="H40" s="69">
        <f>'4) Berekeningen op parameters'!R30</f>
        <v>5.6935115999999786E-2</v>
      </c>
    </row>
    <row r="41" spans="2:18" x14ac:dyDescent="0.2">
      <c r="B41" s="6" t="s">
        <v>162</v>
      </c>
      <c r="F41" s="6" t="s">
        <v>110</v>
      </c>
      <c r="H41" s="69">
        <f>'4) Berekeningen op parameters'!R31</f>
        <v>3.5196000000000005E-2</v>
      </c>
    </row>
    <row r="42" spans="2:18" x14ac:dyDescent="0.2">
      <c r="B42" s="6" t="s">
        <v>163</v>
      </c>
      <c r="F42" s="6" t="s">
        <v>110</v>
      </c>
      <c r="H42" s="69">
        <f>'4) Berekeningen op parameters'!R32</f>
        <v>7.0000000000000001E-3</v>
      </c>
    </row>
    <row r="44" spans="2:18" x14ac:dyDescent="0.2">
      <c r="B44" s="5" t="s">
        <v>106</v>
      </c>
    </row>
    <row r="45" spans="2:18" x14ac:dyDescent="0.2">
      <c r="B45" s="6" t="s">
        <v>261</v>
      </c>
      <c r="F45" s="6" t="s">
        <v>109</v>
      </c>
      <c r="K45" s="43">
        <f>SUM(M45:R45)</f>
        <v>264524640.82615989</v>
      </c>
      <c r="M45" s="42">
        <f>'3)  SO, BI &amp; PV'!M28</f>
        <v>5120838.4661773751</v>
      </c>
      <c r="N45" s="42">
        <f>'3)  SO, BI &amp; PV'!N28</f>
        <v>83821433.468037471</v>
      </c>
      <c r="O45" s="42">
        <f>'3)  SO, BI &amp; PV'!O28</f>
        <v>94615610.206328645</v>
      </c>
      <c r="P45" s="42">
        <f>'3)  SO, BI &amp; PV'!P28</f>
        <v>3719013.8211027142</v>
      </c>
      <c r="Q45" s="42">
        <f>'3)  SO, BI &amp; PV'!Q28</f>
        <v>73837318.031333953</v>
      </c>
      <c r="R45" s="42">
        <f>'3)  SO, BI &amp; PV'!R28</f>
        <v>3410426.8331797407</v>
      </c>
    </row>
    <row r="46" spans="2:18" x14ac:dyDescent="0.2">
      <c r="B46" s="6" t="s">
        <v>262</v>
      </c>
      <c r="F46" s="6" t="s">
        <v>109</v>
      </c>
      <c r="K46" s="43">
        <f>SUM(M46:R46)</f>
        <v>280366757.95199353</v>
      </c>
      <c r="M46" s="42">
        <f>'3)  SO, BI &amp; PV'!M29</f>
        <v>5505982.2846343154</v>
      </c>
      <c r="N46" s="42">
        <f>'3)  SO, BI &amp; PV'!N29</f>
        <v>89278102.858918875</v>
      </c>
      <c r="O46" s="42">
        <f>'3)  SO, BI &amp; PV'!O29</f>
        <v>99477334.853988722</v>
      </c>
      <c r="P46" s="42">
        <f>'3)  SO, BI &amp; PV'!P29</f>
        <v>3971361.9924819255</v>
      </c>
      <c r="Q46" s="42">
        <f>'3)  SO, BI &amp; PV'!Q29</f>
        <v>78559150.739823759</v>
      </c>
      <c r="R46" s="42">
        <f>'3)  SO, BI &amp; PV'!R29</f>
        <v>3574825.2221459462</v>
      </c>
    </row>
    <row r="48" spans="2:18" s="13" customFormat="1" x14ac:dyDescent="0.2">
      <c r="B48" s="13" t="s">
        <v>166</v>
      </c>
    </row>
    <row r="50" spans="2:20" x14ac:dyDescent="0.2">
      <c r="B50" s="5" t="s">
        <v>165</v>
      </c>
    </row>
    <row r="51" spans="2:20" x14ac:dyDescent="0.2">
      <c r="B51" s="6" t="s">
        <v>94</v>
      </c>
      <c r="D51" s="6" t="s">
        <v>129</v>
      </c>
      <c r="F51" s="6" t="s">
        <v>147</v>
      </c>
      <c r="H51" s="43">
        <f>K15*(1-$H$38)^3*(1+$H$40)</f>
        <v>104205567.49852116</v>
      </c>
      <c r="T51" s="9" t="s">
        <v>453</v>
      </c>
    </row>
    <row r="52" spans="2:20" x14ac:dyDescent="0.2">
      <c r="B52" s="6" t="s">
        <v>96</v>
      </c>
      <c r="D52" s="6" t="s">
        <v>159</v>
      </c>
      <c r="F52" s="6" t="s">
        <v>147</v>
      </c>
      <c r="H52" s="43">
        <f>K16*(1-$H$38)^3*(1+$H$40)</f>
        <v>95042641.452757791</v>
      </c>
    </row>
    <row r="53" spans="2:20" x14ac:dyDescent="0.2">
      <c r="B53" s="6" t="s">
        <v>96</v>
      </c>
      <c r="D53" s="6" t="s">
        <v>160</v>
      </c>
      <c r="F53" s="6" t="s">
        <v>147</v>
      </c>
      <c r="H53" s="43">
        <f>K17*(1-$H$38)^3*(1+$H$40)</f>
        <v>98495238.731423438</v>
      </c>
    </row>
    <row r="55" spans="2:20" x14ac:dyDescent="0.2">
      <c r="B55" s="6" t="s">
        <v>134</v>
      </c>
      <c r="F55" s="6" t="s">
        <v>147</v>
      </c>
      <c r="H55" s="43">
        <f>K19*(1-$H$38)^3*(1+$H$40)</f>
        <v>59069049.989370026</v>
      </c>
      <c r="T55" s="9" t="s">
        <v>453</v>
      </c>
    </row>
    <row r="57" spans="2:20" x14ac:dyDescent="0.2">
      <c r="B57" s="5" t="s">
        <v>167</v>
      </c>
    </row>
    <row r="58" spans="2:20" x14ac:dyDescent="0.2">
      <c r="B58" s="6" t="s">
        <v>98</v>
      </c>
      <c r="D58" s="6" t="s">
        <v>129</v>
      </c>
      <c r="F58" s="6" t="s">
        <v>147</v>
      </c>
      <c r="H58" s="43">
        <f>K22*(1-$H$38)^2*(1+$H$41)</f>
        <v>108009293.85554484</v>
      </c>
      <c r="T58" s="9" t="s">
        <v>453</v>
      </c>
    </row>
    <row r="59" spans="2:20" x14ac:dyDescent="0.2">
      <c r="B59" s="6" t="s">
        <v>100</v>
      </c>
      <c r="D59" s="6" t="s">
        <v>159</v>
      </c>
      <c r="F59" s="6" t="s">
        <v>147</v>
      </c>
      <c r="H59" s="43">
        <f>K24*(1-$H$38)^2*(1+$H$41)</f>
        <v>96276111.184747711</v>
      </c>
    </row>
    <row r="60" spans="2:20" x14ac:dyDescent="0.2">
      <c r="B60" s="6" t="s">
        <v>100</v>
      </c>
      <c r="D60" s="6" t="s">
        <v>160</v>
      </c>
      <c r="F60" s="6" t="s">
        <v>147</v>
      </c>
      <c r="H60" s="43">
        <f>K25*(1-$H$38)^2*(1+$H$41)</f>
        <v>99750038.746821135</v>
      </c>
    </row>
    <row r="62" spans="2:20" x14ac:dyDescent="0.2">
      <c r="B62" s="6" t="s">
        <v>136</v>
      </c>
      <c r="F62" s="6" t="s">
        <v>147</v>
      </c>
      <c r="H62" s="43">
        <f>K27*(1-$H$38)^2*(1+$H$41)</f>
        <v>44913279.119435787</v>
      </c>
      <c r="T62" s="9" t="s">
        <v>453</v>
      </c>
    </row>
    <row r="64" spans="2:20" x14ac:dyDescent="0.2">
      <c r="B64" s="5" t="s">
        <v>168</v>
      </c>
    </row>
    <row r="65" spans="2:20" x14ac:dyDescent="0.2">
      <c r="B65" s="6" t="s">
        <v>102</v>
      </c>
      <c r="D65" s="6" t="s">
        <v>129</v>
      </c>
      <c r="F65" s="6" t="s">
        <v>147</v>
      </c>
      <c r="H65" s="43">
        <f>K30*(1-$H$38)*(1+$H$42)</f>
        <v>114819636.35800008</v>
      </c>
      <c r="T65" s="9" t="s">
        <v>453</v>
      </c>
    </row>
    <row r="66" spans="2:20" x14ac:dyDescent="0.2">
      <c r="B66" s="6" t="s">
        <v>104</v>
      </c>
      <c r="D66" s="6" t="s">
        <v>159</v>
      </c>
      <c r="F66" s="6" t="s">
        <v>147</v>
      </c>
      <c r="H66" s="43">
        <f>K32*(1-$H$38)*(1+$H$42)</f>
        <v>96943857.525725439</v>
      </c>
    </row>
    <row r="67" spans="2:20" x14ac:dyDescent="0.2">
      <c r="B67" s="6" t="s">
        <v>104</v>
      </c>
      <c r="D67" s="6" t="s">
        <v>160</v>
      </c>
      <c r="F67" s="6" t="s">
        <v>147</v>
      </c>
      <c r="H67" s="43">
        <f>K33*(1-$H$38)*(1+$H$42)</f>
        <v>100395412.04836352</v>
      </c>
    </row>
    <row r="69" spans="2:20" x14ac:dyDescent="0.2">
      <c r="B69" s="6" t="s">
        <v>138</v>
      </c>
      <c r="F69" s="6" t="s">
        <v>147</v>
      </c>
      <c r="H69" s="43">
        <f>K35*(1-$H$38)^1*(1+$H$42)</f>
        <v>24119144.337028138</v>
      </c>
      <c r="T69" s="9" t="s">
        <v>453</v>
      </c>
    </row>
    <row r="71" spans="2:20" s="13" customFormat="1" x14ac:dyDescent="0.2">
      <c r="B71" s="13" t="s">
        <v>365</v>
      </c>
    </row>
    <row r="73" spans="2:20" x14ac:dyDescent="0.2">
      <c r="B73" s="5" t="s">
        <v>169</v>
      </c>
    </row>
    <row r="74" spans="2:20" x14ac:dyDescent="0.2">
      <c r="B74" s="6" t="s">
        <v>126</v>
      </c>
      <c r="D74" s="6" t="s">
        <v>129</v>
      </c>
      <c r="F74" s="6" t="s">
        <v>147</v>
      </c>
      <c r="H74" s="47">
        <f>AVERAGE(H51,H58,H65)</f>
        <v>109011499.23735537</v>
      </c>
      <c r="T74" s="9" t="s">
        <v>454</v>
      </c>
    </row>
    <row r="75" spans="2:20" x14ac:dyDescent="0.2">
      <c r="B75" s="6" t="s">
        <v>171</v>
      </c>
      <c r="D75" s="6" t="s">
        <v>159</v>
      </c>
      <c r="F75" s="6" t="s">
        <v>147</v>
      </c>
      <c r="H75" s="47">
        <f>AVERAGE(H52,H59,H66)</f>
        <v>96087536.72107698</v>
      </c>
    </row>
    <row r="76" spans="2:20" x14ac:dyDescent="0.2">
      <c r="B76" s="6" t="s">
        <v>170</v>
      </c>
      <c r="D76" s="6" t="s">
        <v>160</v>
      </c>
      <c r="F76" s="6" t="s">
        <v>147</v>
      </c>
      <c r="H76" s="47">
        <f>AVERAGE(H53,H60,H67)</f>
        <v>99546896.508869365</v>
      </c>
    </row>
    <row r="77" spans="2:20" x14ac:dyDescent="0.2">
      <c r="B77" s="6" t="s">
        <v>139</v>
      </c>
      <c r="F77" s="6" t="s">
        <v>147</v>
      </c>
      <c r="H77" s="47">
        <f>AVERAGE(H55,H62,H69)</f>
        <v>42700491.148611315</v>
      </c>
    </row>
    <row r="79" spans="2:20" x14ac:dyDescent="0.2">
      <c r="B79" s="5" t="s">
        <v>127</v>
      </c>
    </row>
    <row r="80" spans="2:20" x14ac:dyDescent="0.2">
      <c r="B80" s="6" t="s">
        <v>546</v>
      </c>
      <c r="D80" s="6" t="s">
        <v>160</v>
      </c>
      <c r="F80" s="6" t="s">
        <v>147</v>
      </c>
      <c r="H80" s="47">
        <f>SUM(H74,H76,H77)</f>
        <v>251258886.89483604</v>
      </c>
    </row>
    <row r="82" spans="2:20" x14ac:dyDescent="0.2">
      <c r="B82" s="5" t="s">
        <v>128</v>
      </c>
    </row>
    <row r="83" spans="2:20" x14ac:dyDescent="0.2">
      <c r="B83" s="6" t="s">
        <v>264</v>
      </c>
      <c r="D83" s="6" t="s">
        <v>159</v>
      </c>
      <c r="F83" s="6" t="s">
        <v>147</v>
      </c>
      <c r="H83" s="47">
        <f>SUM(H74+H75+H77)</f>
        <v>247799527.10704365</v>
      </c>
      <c r="T83" s="9" t="s">
        <v>458</v>
      </c>
    </row>
    <row r="84" spans="2:20" s="83" customFormat="1" x14ac:dyDescent="0.2">
      <c r="H84" s="84"/>
      <c r="I84" s="6"/>
      <c r="J84" s="6"/>
      <c r="K84" s="6"/>
      <c r="M84" s="85"/>
      <c r="N84" s="85"/>
      <c r="O84" s="85"/>
      <c r="P84" s="85"/>
      <c r="Q84" s="85"/>
      <c r="R84" s="85"/>
    </row>
    <row r="85" spans="2:20" x14ac:dyDescent="0.2">
      <c r="B85" s="6" t="s">
        <v>219</v>
      </c>
      <c r="D85" s="6" t="s">
        <v>159</v>
      </c>
      <c r="F85" s="6" t="s">
        <v>148</v>
      </c>
      <c r="H85" s="74">
        <f>H83/K46</f>
        <v>0.8838406126216779</v>
      </c>
      <c r="T85" s="9" t="s">
        <v>455</v>
      </c>
    </row>
    <row r="87" spans="2:20" x14ac:dyDescent="0.2">
      <c r="B87" s="6" t="s">
        <v>173</v>
      </c>
      <c r="D87" s="6" t="s">
        <v>159</v>
      </c>
      <c r="F87" s="6" t="s">
        <v>147</v>
      </c>
      <c r="K87" s="43">
        <f>SUM(M87:R87)</f>
        <v>233797620.6013225</v>
      </c>
      <c r="M87" s="36">
        <f t="shared" ref="M87:R87" si="0">M$45*$H$85</f>
        <v>4526005.0070828646</v>
      </c>
      <c r="N87" s="36">
        <f t="shared" si="0"/>
        <v>74084787.107217461</v>
      </c>
      <c r="O87" s="36">
        <f t="shared" si="0"/>
        <v>83625118.888335392</v>
      </c>
      <c r="P87" s="36">
        <f t="shared" si="0"/>
        <v>3287015.45399191</v>
      </c>
      <c r="Q87" s="36">
        <f t="shared" si="0"/>
        <v>65260420.403155863</v>
      </c>
      <c r="R87" s="36">
        <f t="shared" si="0"/>
        <v>3014273.7415389908</v>
      </c>
      <c r="T87" s="9" t="s">
        <v>456</v>
      </c>
    </row>
    <row r="89" spans="2:20" s="13" customFormat="1" x14ac:dyDescent="0.2">
      <c r="B89" s="13" t="s">
        <v>528</v>
      </c>
    </row>
    <row r="91" spans="2:20" x14ac:dyDescent="0.2">
      <c r="B91" s="6" t="s">
        <v>529</v>
      </c>
      <c r="F91" s="6" t="s">
        <v>147</v>
      </c>
      <c r="K91" s="43">
        <f>SUM(M91:R91)</f>
        <v>6827425.3320110198</v>
      </c>
      <c r="M91" s="43">
        <f>M23*(1+$H$41)</f>
        <v>144674.60372896001</v>
      </c>
      <c r="N91" s="43">
        <f t="shared" ref="N91:R91" si="1">N23*(1+$H$41)</f>
        <v>1909787.07558584</v>
      </c>
      <c r="O91" s="43">
        <f t="shared" si="1"/>
        <v>3531732.8930230592</v>
      </c>
      <c r="P91" s="43">
        <f t="shared" si="1"/>
        <v>0</v>
      </c>
      <c r="Q91" s="43">
        <f t="shared" si="1"/>
        <v>1136314.462878</v>
      </c>
      <c r="R91" s="43">
        <f t="shared" si="1"/>
        <v>104916.29679516034</v>
      </c>
      <c r="T91" s="9"/>
    </row>
    <row r="92" spans="2:20" x14ac:dyDescent="0.2">
      <c r="B92" s="6" t="s">
        <v>534</v>
      </c>
      <c r="F92" s="6" t="s">
        <v>147</v>
      </c>
      <c r="K92" s="43">
        <f>SUM(M92:R92)</f>
        <v>6844655.4010900138</v>
      </c>
      <c r="M92" s="43">
        <f>M31*(1+$H$42)</f>
        <v>162617.69095999998</v>
      </c>
      <c r="N92" s="43">
        <f t="shared" ref="N92:R92" si="2">N31*(1+$H$42)</f>
        <v>2107956.26198</v>
      </c>
      <c r="O92" s="43">
        <f t="shared" si="2"/>
        <v>3220014.8500100141</v>
      </c>
      <c r="P92" s="43">
        <f t="shared" si="2"/>
        <v>141740.50653999997</v>
      </c>
      <c r="Q92" s="43">
        <f t="shared" si="2"/>
        <v>1147901.3130199998</v>
      </c>
      <c r="R92" s="43">
        <f t="shared" si="2"/>
        <v>64424.7785800001</v>
      </c>
      <c r="T92" s="9"/>
    </row>
    <row r="93" spans="2:20" x14ac:dyDescent="0.2">
      <c r="B93" s="6" t="s">
        <v>535</v>
      </c>
      <c r="F93" s="6" t="s">
        <v>147</v>
      </c>
      <c r="K93" s="43">
        <f>AVERAGE(K91,K92)</f>
        <v>6836040.3665505163</v>
      </c>
      <c r="M93" s="185">
        <f t="shared" ref="M93:R93" si="3">AVERAGE(M91,M92)</f>
        <v>153646.14734447998</v>
      </c>
      <c r="N93" s="185">
        <f t="shared" si="3"/>
        <v>2008871.6687829201</v>
      </c>
      <c r="O93" s="185">
        <f t="shared" si="3"/>
        <v>3375873.8715165369</v>
      </c>
      <c r="P93" s="185">
        <f t="shared" si="3"/>
        <v>70870.253269999987</v>
      </c>
      <c r="Q93" s="185">
        <f t="shared" si="3"/>
        <v>1142107.8879489999</v>
      </c>
      <c r="R93" s="185">
        <f t="shared" si="3"/>
        <v>84670.537687580218</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22">
    <tabColor rgb="FFFFFFCC"/>
  </sheetPr>
  <dimension ref="A2:S71"/>
  <sheetViews>
    <sheetView showGridLines="0" zoomScale="85" zoomScaleNormal="85" workbookViewId="0">
      <pane xSplit="4" ySplit="8" topLeftCell="E9" activePane="bottomRight" state="frozen"/>
      <selection activeCell="G11" sqref="G11"/>
      <selection pane="topRight" activeCell="G11" sqref="G11"/>
      <selection pane="bottomLeft" activeCell="G11" sqref="G11"/>
      <selection pane="bottomRight" activeCell="E9" sqref="E9"/>
    </sheetView>
  </sheetViews>
  <sheetFormatPr defaultRowHeight="12.75" x14ac:dyDescent="0.2"/>
  <cols>
    <col min="1" max="1" width="2.7109375" style="6" customWidth="1"/>
    <col min="2" max="2" width="102.28515625" style="6" customWidth="1"/>
    <col min="3" max="3" width="2.7109375" style="6" customWidth="1"/>
    <col min="4" max="4" width="13.7109375" style="6" customWidth="1"/>
    <col min="5" max="5" width="2.7109375" style="6" customWidth="1"/>
    <col min="6" max="6" width="18.42578125" style="6" bestFit="1" customWidth="1"/>
    <col min="7" max="7" width="2.7109375" style="6" customWidth="1"/>
    <col min="8" max="13" width="15.7109375" style="152" customWidth="1"/>
    <col min="14" max="14" width="2.7109375" style="6" customWidth="1"/>
    <col min="15" max="15" width="15.7109375" style="152" customWidth="1"/>
    <col min="16" max="16" width="2.7109375" style="6" customWidth="1"/>
    <col min="17" max="31" width="13.7109375" style="6" customWidth="1"/>
    <col min="32" max="16384" width="9.140625" style="6"/>
  </cols>
  <sheetData>
    <row r="2" spans="2:17" s="26" customFormat="1" ht="18" x14ac:dyDescent="0.2">
      <c r="B2" s="26" t="s">
        <v>512</v>
      </c>
      <c r="H2" s="172"/>
      <c r="I2" s="172"/>
      <c r="J2" s="172"/>
      <c r="K2" s="172"/>
      <c r="L2" s="172"/>
      <c r="M2" s="172"/>
      <c r="O2" s="172"/>
    </row>
    <row r="4" spans="2:17" x14ac:dyDescent="0.2">
      <c r="B4" s="33" t="s">
        <v>52</v>
      </c>
    </row>
    <row r="5" spans="2:17" ht="51" x14ac:dyDescent="0.2">
      <c r="B5" s="132" t="s">
        <v>434</v>
      </c>
    </row>
    <row r="7" spans="2:17" s="13" customFormat="1" x14ac:dyDescent="0.2">
      <c r="B7" s="13" t="s">
        <v>42</v>
      </c>
      <c r="D7" s="13" t="s">
        <v>25</v>
      </c>
      <c r="F7" s="13" t="s">
        <v>414</v>
      </c>
      <c r="H7" s="156" t="s">
        <v>72</v>
      </c>
      <c r="I7" s="156" t="s">
        <v>73</v>
      </c>
      <c r="J7" s="156" t="s">
        <v>74</v>
      </c>
      <c r="K7" s="156" t="s">
        <v>75</v>
      </c>
      <c r="L7" s="156" t="s">
        <v>76</v>
      </c>
      <c r="M7" s="156" t="s">
        <v>77</v>
      </c>
      <c r="O7" s="156" t="s">
        <v>413</v>
      </c>
      <c r="Q7" s="13" t="s">
        <v>43</v>
      </c>
    </row>
    <row r="10" spans="2:17" s="13" customFormat="1" x14ac:dyDescent="0.2">
      <c r="B10" s="13" t="s">
        <v>146</v>
      </c>
      <c r="H10" s="156"/>
      <c r="I10" s="156"/>
      <c r="J10" s="156"/>
      <c r="K10" s="156"/>
      <c r="L10" s="156"/>
      <c r="M10" s="156"/>
      <c r="O10" s="156"/>
    </row>
    <row r="11" spans="2:17" s="83" customFormat="1" x14ac:dyDescent="0.2">
      <c r="H11" s="163"/>
      <c r="I11" s="163"/>
      <c r="J11" s="163"/>
      <c r="K11" s="163"/>
      <c r="L11" s="163"/>
      <c r="M11" s="163"/>
      <c r="O11" s="163"/>
    </row>
    <row r="12" spans="2:17" s="83" customFormat="1" x14ac:dyDescent="0.2">
      <c r="B12" s="171" t="s">
        <v>387</v>
      </c>
      <c r="H12" s="163"/>
      <c r="I12" s="163"/>
      <c r="J12" s="163"/>
      <c r="K12" s="163"/>
      <c r="L12" s="163"/>
      <c r="M12" s="163"/>
      <c r="O12" s="163"/>
    </row>
    <row r="13" spans="2:17" s="83" customFormat="1" x14ac:dyDescent="0.2">
      <c r="B13" s="83" t="s">
        <v>387</v>
      </c>
      <c r="D13" s="6" t="s">
        <v>110</v>
      </c>
      <c r="F13" s="169">
        <f>'5) PV TD'!H75</f>
        <v>-7.5913637800173461E-4</v>
      </c>
      <c r="H13" s="163"/>
      <c r="I13" s="163"/>
      <c r="J13" s="163"/>
      <c r="K13" s="163"/>
      <c r="L13" s="163"/>
      <c r="M13" s="163"/>
      <c r="O13" s="163"/>
    </row>
    <row r="14" spans="2:17" s="83" customFormat="1" x14ac:dyDescent="0.2">
      <c r="H14" s="163"/>
      <c r="I14" s="163"/>
      <c r="J14" s="163"/>
      <c r="K14" s="163"/>
      <c r="L14" s="163"/>
      <c r="M14" s="163"/>
      <c r="O14" s="163"/>
    </row>
    <row r="15" spans="2:17" s="83" customFormat="1" x14ac:dyDescent="0.2">
      <c r="B15" s="171" t="s">
        <v>111</v>
      </c>
      <c r="H15" s="163"/>
      <c r="I15" s="163"/>
      <c r="J15" s="163"/>
      <c r="K15" s="163"/>
      <c r="L15" s="163"/>
      <c r="M15" s="163"/>
      <c r="O15" s="163"/>
    </row>
    <row r="16" spans="2:17" s="83" customFormat="1" x14ac:dyDescent="0.2">
      <c r="B16" s="170" t="s">
        <v>161</v>
      </c>
      <c r="D16" s="83" t="s">
        <v>110</v>
      </c>
      <c r="F16" s="169">
        <f>'4) Berekeningen op parameters'!R30</f>
        <v>5.6935115999999786E-2</v>
      </c>
      <c r="H16" s="163"/>
      <c r="I16" s="163"/>
      <c r="J16" s="163"/>
      <c r="K16" s="163"/>
      <c r="L16" s="163"/>
      <c r="M16" s="163"/>
      <c r="O16" s="163"/>
    </row>
    <row r="17" spans="2:15" s="83" customFormat="1" x14ac:dyDescent="0.2">
      <c r="B17" s="170" t="s">
        <v>162</v>
      </c>
      <c r="D17" s="83" t="s">
        <v>110</v>
      </c>
      <c r="F17" s="169">
        <f>'4) Berekeningen op parameters'!R31</f>
        <v>3.5196000000000005E-2</v>
      </c>
      <c r="H17" s="163"/>
      <c r="I17" s="163"/>
      <c r="J17" s="163"/>
      <c r="K17" s="163"/>
      <c r="L17" s="163"/>
      <c r="M17" s="163"/>
      <c r="O17" s="163"/>
    </row>
    <row r="18" spans="2:15" s="83" customFormat="1" x14ac:dyDescent="0.2">
      <c r="B18" s="170" t="s">
        <v>163</v>
      </c>
      <c r="D18" s="83" t="s">
        <v>110</v>
      </c>
      <c r="F18" s="169">
        <f>'4) Berekeningen op parameters'!R32</f>
        <v>7.0000000000000001E-3</v>
      </c>
      <c r="H18" s="163"/>
      <c r="I18" s="163"/>
      <c r="J18" s="163"/>
      <c r="K18" s="163"/>
      <c r="L18" s="163"/>
      <c r="M18" s="163"/>
      <c r="O18" s="163"/>
    </row>
    <row r="19" spans="2:15" s="83" customFormat="1" x14ac:dyDescent="0.2">
      <c r="H19" s="163"/>
      <c r="I19" s="163"/>
      <c r="J19" s="163"/>
      <c r="K19" s="163"/>
      <c r="L19" s="163"/>
      <c r="M19" s="163"/>
      <c r="O19" s="163"/>
    </row>
    <row r="20" spans="2:15" s="83" customFormat="1" x14ac:dyDescent="0.2">
      <c r="B20" s="150" t="s">
        <v>410</v>
      </c>
      <c r="H20" s="163"/>
      <c r="I20" s="163"/>
      <c r="J20" s="163"/>
      <c r="K20" s="163"/>
      <c r="L20" s="163"/>
      <c r="M20" s="163"/>
      <c r="O20" s="163"/>
    </row>
    <row r="21" spans="2:15" s="83" customFormat="1" x14ac:dyDescent="0.2">
      <c r="B21" s="149" t="s">
        <v>406</v>
      </c>
      <c r="D21" s="149" t="s">
        <v>403</v>
      </c>
      <c r="F21" s="146">
        <f>SUM(H21:M21,O21)</f>
        <v>450139824268.89893</v>
      </c>
      <c r="H21" s="164">
        <f>'4) Netverliezen'!H14</f>
        <v>10597241574.301731</v>
      </c>
      <c r="I21" s="164">
        <f>'4) Netverliezen'!I14</f>
        <v>154068987873.90161</v>
      </c>
      <c r="J21" s="164">
        <f>'4) Netverliezen'!J14</f>
        <v>154999171754.80731</v>
      </c>
      <c r="K21" s="164">
        <f>'4) Netverliezen'!K14</f>
        <v>7538502493.4682274</v>
      </c>
      <c r="L21" s="164">
        <f>'4) Netverliezen'!L14</f>
        <v>107810301581.22597</v>
      </c>
      <c r="M21" s="164">
        <f>'4) Netverliezen'!M14</f>
        <v>3874526545.0359936</v>
      </c>
      <c r="O21" s="164">
        <f>'4) Netverliezen'!O14</f>
        <v>11251092446.158127</v>
      </c>
    </row>
    <row r="22" spans="2:15" s="83" customFormat="1" x14ac:dyDescent="0.2">
      <c r="B22" s="149" t="s">
        <v>404</v>
      </c>
      <c r="D22" s="149" t="s">
        <v>403</v>
      </c>
      <c r="F22" s="146">
        <f>SUM(H22:M22,O22)</f>
        <v>233655940070</v>
      </c>
      <c r="H22" s="164">
        <f>'4) Netverliezen'!H15</f>
        <v>2241703724</v>
      </c>
      <c r="I22" s="164">
        <f>'4) Netverliezen'!I15</f>
        <v>69289270656</v>
      </c>
      <c r="J22" s="164">
        <f>'4) Netverliezen'!J15</f>
        <v>65499119323</v>
      </c>
      <c r="K22" s="164">
        <f>'4) Netverliezen'!K15</f>
        <v>2520191486</v>
      </c>
      <c r="L22" s="164">
        <f>'4) Netverliezen'!L15</f>
        <v>52341842907</v>
      </c>
      <c r="M22" s="164">
        <f>'4) Netverliezen'!M15</f>
        <v>36485373047</v>
      </c>
      <c r="O22" s="164">
        <f>'4) Netverliezen'!O15</f>
        <v>5278438927</v>
      </c>
    </row>
    <row r="23" spans="2:15" s="83" customFormat="1" x14ac:dyDescent="0.2">
      <c r="B23" s="151"/>
      <c r="D23" s="168"/>
      <c r="F23" s="163"/>
    </row>
    <row r="24" spans="2:15" s="83" customFormat="1" x14ac:dyDescent="0.2">
      <c r="B24" s="150" t="s">
        <v>408</v>
      </c>
      <c r="D24" s="159"/>
      <c r="F24" s="163"/>
    </row>
    <row r="25" spans="2:15" s="83" customFormat="1" x14ac:dyDescent="0.2">
      <c r="B25" s="149" t="s">
        <v>406</v>
      </c>
      <c r="D25" s="149" t="s">
        <v>403</v>
      </c>
      <c r="F25" s="146">
        <f>SUM(H25:M25,O25)</f>
        <v>435755643581.26282</v>
      </c>
      <c r="G25" s="163"/>
      <c r="H25" s="164">
        <f>'4) Netverliezen'!H18</f>
        <v>10341665458.664619</v>
      </c>
      <c r="I25" s="164">
        <f>'4) Netverliezen'!I18</f>
        <v>148892180381.54041</v>
      </c>
      <c r="J25" s="164">
        <f>'4) Netverliezen'!J18</f>
        <v>151069257280.01251</v>
      </c>
      <c r="K25" s="164">
        <f>'4) Netverliezen'!K18</f>
        <v>7330257697.5670252</v>
      </c>
      <c r="L25" s="164">
        <f>'4) Netverliezen'!L18</f>
        <v>102966867862.25459</v>
      </c>
      <c r="M25" s="164">
        <f>'4) Netverliezen'!M18</f>
        <v>3955080992.0000038</v>
      </c>
      <c r="O25" s="164">
        <f>'4) Netverliezen'!O18</f>
        <v>11200333909.22369</v>
      </c>
    </row>
    <row r="26" spans="2:15" s="83" customFormat="1" x14ac:dyDescent="0.2">
      <c r="B26" s="149" t="s">
        <v>404</v>
      </c>
      <c r="D26" s="149" t="s">
        <v>403</v>
      </c>
      <c r="F26" s="146">
        <f>SUM(H26:M26,O26)</f>
        <v>231002802561</v>
      </c>
      <c r="G26" s="163"/>
      <c r="H26" s="164">
        <f>'4) Netverliezen'!H19</f>
        <v>2243599134</v>
      </c>
      <c r="I26" s="164">
        <f>'4) Netverliezen'!I19</f>
        <v>69374481056</v>
      </c>
      <c r="J26" s="164">
        <f>'4) Netverliezen'!J19</f>
        <v>65646095495</v>
      </c>
      <c r="K26" s="164">
        <f>'4) Netverliezen'!K19</f>
        <v>2448919770</v>
      </c>
      <c r="L26" s="164">
        <f>'4) Netverliezen'!L19</f>
        <v>50058186676</v>
      </c>
      <c r="M26" s="164">
        <f>'4) Netverliezen'!M19</f>
        <v>37267579590</v>
      </c>
      <c r="O26" s="164">
        <f>'4) Netverliezen'!O19</f>
        <v>3963940840</v>
      </c>
    </row>
    <row r="27" spans="2:15" s="83" customFormat="1" x14ac:dyDescent="0.2">
      <c r="B27" s="149"/>
      <c r="D27" s="167"/>
    </row>
    <row r="28" spans="2:15" s="83" customFormat="1" x14ac:dyDescent="0.2">
      <c r="B28" s="150" t="s">
        <v>407</v>
      </c>
      <c r="D28" s="147"/>
    </row>
    <row r="29" spans="2:15" s="83" customFormat="1" x14ac:dyDescent="0.2">
      <c r="B29" s="149" t="s">
        <v>406</v>
      </c>
      <c r="D29" s="149" t="s">
        <v>403</v>
      </c>
      <c r="F29" s="146">
        <f>SUM(H29:M29,O29)</f>
        <v>436499849690.16272</v>
      </c>
      <c r="G29" s="163"/>
      <c r="H29" s="164">
        <f>'4) Netverliezen'!H22</f>
        <v>10228283820.5362</v>
      </c>
      <c r="I29" s="164">
        <f>'4) Netverliezen'!I22</f>
        <v>148224075031.23599</v>
      </c>
      <c r="J29" s="164">
        <f>'4) Netverliezen'!J22</f>
        <v>150617883583.08401</v>
      </c>
      <c r="K29" s="164">
        <f>'4) Netverliezen'!K22</f>
        <v>7275256181.0672998</v>
      </c>
      <c r="L29" s="164">
        <f>'4) Netverliezen'!L22</f>
        <v>105026379930.588</v>
      </c>
      <c r="M29" s="164">
        <f>'4) Netverliezen'!M22</f>
        <v>3938641890.000001</v>
      </c>
      <c r="O29" s="164">
        <f>'4) Netverliezen'!O22</f>
        <v>11189329253.651199</v>
      </c>
    </row>
    <row r="30" spans="2:15" s="83" customFormat="1" x14ac:dyDescent="0.2">
      <c r="B30" s="149" t="s">
        <v>404</v>
      </c>
      <c r="D30" s="149" t="s">
        <v>403</v>
      </c>
      <c r="F30" s="146">
        <f>SUM(H30:M30,O30)</f>
        <v>228759779600</v>
      </c>
      <c r="G30" s="163"/>
      <c r="H30" s="164">
        <f>'4) Netverliezen'!H23</f>
        <v>2289495944</v>
      </c>
      <c r="I30" s="164">
        <f>'4) Netverliezen'!I23</f>
        <v>68784960106</v>
      </c>
      <c r="J30" s="164">
        <f>'4) Netverliezen'!J23</f>
        <v>64747353480</v>
      </c>
      <c r="K30" s="164">
        <f>'4) Netverliezen'!K23</f>
        <v>2248726764</v>
      </c>
      <c r="L30" s="164">
        <f>'4) Netverliezen'!L23</f>
        <v>49644421813</v>
      </c>
      <c r="M30" s="164">
        <f>'4) Netverliezen'!M23</f>
        <v>35687459149</v>
      </c>
      <c r="O30" s="164">
        <f>'4) Netverliezen'!O23</f>
        <v>5357362344</v>
      </c>
    </row>
    <row r="31" spans="2:15" s="14" customFormat="1" x14ac:dyDescent="0.2">
      <c r="B31" s="165"/>
      <c r="D31" s="165"/>
      <c r="F31" s="152"/>
      <c r="G31" s="152"/>
      <c r="H31" s="152"/>
      <c r="I31" s="152"/>
      <c r="J31" s="152"/>
      <c r="K31" s="152"/>
      <c r="L31" s="152"/>
      <c r="M31" s="152"/>
      <c r="O31" s="152"/>
    </row>
    <row r="32" spans="2:15" s="14" customFormat="1" x14ac:dyDescent="0.2">
      <c r="B32" s="150" t="s">
        <v>402</v>
      </c>
      <c r="D32" s="165"/>
      <c r="F32" s="152"/>
      <c r="G32" s="152"/>
      <c r="H32" s="152"/>
      <c r="I32" s="152"/>
      <c r="J32" s="152"/>
      <c r="K32" s="152"/>
      <c r="L32" s="152"/>
      <c r="M32" s="152"/>
      <c r="O32" s="152"/>
    </row>
    <row r="33" spans="1:15" s="14" customFormat="1" x14ac:dyDescent="0.2">
      <c r="B33" s="149" t="s">
        <v>401</v>
      </c>
      <c r="C33" s="79"/>
      <c r="D33" s="6" t="s">
        <v>95</v>
      </c>
      <c r="F33" s="164">
        <f>'4) Netverliezen'!F28</f>
        <v>23292836</v>
      </c>
      <c r="G33" s="152"/>
      <c r="H33" s="152"/>
      <c r="I33" s="152"/>
      <c r="J33" s="152"/>
      <c r="K33" s="152"/>
      <c r="L33" s="152"/>
      <c r="M33" s="152"/>
      <c r="O33" s="152"/>
    </row>
    <row r="34" spans="1:15" s="14" customFormat="1" x14ac:dyDescent="0.2">
      <c r="B34" s="149" t="s">
        <v>400</v>
      </c>
      <c r="C34" s="79"/>
      <c r="D34" s="6" t="s">
        <v>99</v>
      </c>
      <c r="F34" s="164">
        <f>'4) Netverliezen'!F29</f>
        <v>22948179</v>
      </c>
      <c r="G34" s="152"/>
      <c r="H34" s="152"/>
      <c r="I34" s="152"/>
      <c r="J34" s="152"/>
      <c r="K34" s="152"/>
      <c r="L34" s="152"/>
      <c r="M34" s="152"/>
      <c r="O34" s="152"/>
    </row>
    <row r="35" spans="1:15" s="14" customFormat="1" x14ac:dyDescent="0.2">
      <c r="B35" s="149" t="s">
        <v>399</v>
      </c>
      <c r="C35" s="79"/>
      <c r="D35" s="6" t="s">
        <v>103</v>
      </c>
      <c r="F35" s="164">
        <f>'4) Netverliezen'!F30</f>
        <v>17444072</v>
      </c>
      <c r="G35" s="152"/>
      <c r="H35" s="152"/>
      <c r="I35" s="152"/>
      <c r="J35" s="152"/>
      <c r="K35" s="152"/>
      <c r="L35" s="152"/>
      <c r="M35" s="152"/>
      <c r="O35" s="152"/>
    </row>
    <row r="36" spans="1:15" s="14" customFormat="1" x14ac:dyDescent="0.2">
      <c r="B36" s="165"/>
      <c r="D36" s="165"/>
      <c r="F36" s="152"/>
      <c r="G36" s="152"/>
      <c r="H36" s="152"/>
      <c r="I36" s="152"/>
      <c r="J36" s="152"/>
      <c r="K36" s="152"/>
      <c r="L36" s="152"/>
      <c r="M36" s="152"/>
      <c r="O36" s="152"/>
    </row>
    <row r="37" spans="1:15" s="14" customFormat="1" x14ac:dyDescent="0.2">
      <c r="B37" s="166" t="s">
        <v>433</v>
      </c>
      <c r="D37" s="165"/>
      <c r="F37" s="152"/>
      <c r="G37" s="152"/>
      <c r="H37" s="152"/>
      <c r="I37" s="152"/>
      <c r="J37" s="152"/>
      <c r="K37" s="152"/>
      <c r="L37" s="152"/>
      <c r="M37" s="152"/>
      <c r="O37" s="152"/>
    </row>
    <row r="38" spans="1:15" s="83" customFormat="1" x14ac:dyDescent="0.2">
      <c r="B38" s="58" t="s">
        <v>395</v>
      </c>
      <c r="D38" s="159" t="s">
        <v>109</v>
      </c>
      <c r="F38" s="146">
        <f>SUM(H38:M38,O38)</f>
        <v>22572280.033821385</v>
      </c>
      <c r="H38" s="164">
        <f>'4) Netverliezen'!H35</f>
        <v>467889.15918032784</v>
      </c>
      <c r="I38" s="164">
        <f>'4) Netverliezen'!I35</f>
        <v>7328171.9287251653</v>
      </c>
      <c r="J38" s="164">
        <f>'4) Netverliezen'!J35</f>
        <v>7874376.5576156462</v>
      </c>
      <c r="K38" s="164">
        <f>'4) Netverliezen'!K35</f>
        <v>340514.64999999997</v>
      </c>
      <c r="L38" s="164">
        <f>'4) Netverliezen'!L35</f>
        <v>5785667.2366107479</v>
      </c>
      <c r="M38" s="164">
        <f>'4) Netverliezen'!M35</f>
        <v>169231.35329768088</v>
      </c>
      <c r="O38" s="164">
        <f>'4) Netverliezen'!O35</f>
        <v>606429.14839181781</v>
      </c>
    </row>
    <row r="39" spans="1:15" s="83" customFormat="1" x14ac:dyDescent="0.2">
      <c r="B39" s="58" t="s">
        <v>393</v>
      </c>
      <c r="D39" s="159" t="s">
        <v>109</v>
      </c>
      <c r="F39" s="146">
        <f>SUM(H39:M39,O39)</f>
        <v>1833014.5441086765</v>
      </c>
      <c r="H39" s="164">
        <f>'4) Netverliezen'!H38</f>
        <v>32998.333333333336</v>
      </c>
      <c r="I39" s="164">
        <f>'4) Netverliezen'!I38</f>
        <v>580645.73452814098</v>
      </c>
      <c r="J39" s="164">
        <f>'4) Netverliezen'!J38</f>
        <v>600697.86502657167</v>
      </c>
      <c r="K39" s="164">
        <f>'4) Netverliezen'!K38</f>
        <v>20660.583333333332</v>
      </c>
      <c r="L39" s="164">
        <f>'4) Netverliezen'!L38</f>
        <v>508818.58796296298</v>
      </c>
      <c r="M39" s="164">
        <f>'4) Netverliezen'!M38</f>
        <v>54764.278978184528</v>
      </c>
      <c r="O39" s="164">
        <f>'4) Netverliezen'!O38</f>
        <v>34429.160946149896</v>
      </c>
    </row>
    <row r="40" spans="1:15" s="83" customFormat="1" x14ac:dyDescent="0.2">
      <c r="B40" s="58" t="s">
        <v>432</v>
      </c>
      <c r="D40" s="159" t="s">
        <v>109</v>
      </c>
      <c r="F40" s="146">
        <f>SUM(H40:M40,O40)</f>
        <v>24405294.577930063</v>
      </c>
      <c r="H40" s="146">
        <f t="shared" ref="H40:M40" si="0">H38+H39</f>
        <v>500887.49251366116</v>
      </c>
      <c r="I40" s="146">
        <f t="shared" si="0"/>
        <v>7908817.6632533064</v>
      </c>
      <c r="J40" s="146">
        <f t="shared" si="0"/>
        <v>8475074.4226422179</v>
      </c>
      <c r="K40" s="146">
        <f t="shared" si="0"/>
        <v>361175.23333333328</v>
      </c>
      <c r="L40" s="146">
        <f t="shared" si="0"/>
        <v>6294485.8245737106</v>
      </c>
      <c r="M40" s="146">
        <f t="shared" si="0"/>
        <v>223995.63227586541</v>
      </c>
      <c r="O40" s="146">
        <f>O38+O39</f>
        <v>640858.30933796766</v>
      </c>
    </row>
    <row r="41" spans="1:15" s="14" customFormat="1" x14ac:dyDescent="0.2">
      <c r="B41" s="165"/>
      <c r="D41" s="165"/>
      <c r="F41" s="152"/>
      <c r="G41" s="152"/>
      <c r="H41" s="152"/>
      <c r="I41" s="152"/>
      <c r="J41" s="152"/>
      <c r="K41" s="152"/>
      <c r="L41" s="152"/>
      <c r="M41" s="152"/>
      <c r="O41" s="152"/>
    </row>
    <row r="42" spans="1:15" s="14" customFormat="1" x14ac:dyDescent="0.2">
      <c r="A42" s="83"/>
      <c r="B42" s="58" t="s">
        <v>391</v>
      </c>
      <c r="C42" s="83"/>
      <c r="D42" s="159" t="s">
        <v>109</v>
      </c>
      <c r="E42" s="83"/>
      <c r="F42" s="146">
        <f>SUM(H42:M42,O42)</f>
        <v>2593760.9394599902</v>
      </c>
      <c r="G42" s="83"/>
      <c r="H42" s="164">
        <f>'4) Netverliezen'!H41</f>
        <v>31224.111111111109</v>
      </c>
      <c r="I42" s="164">
        <f>'4) Netverliezen'!I41</f>
        <v>783519.48312986642</v>
      </c>
      <c r="J42" s="164">
        <f>'4) Netverliezen'!J41</f>
        <v>767972.55111111107</v>
      </c>
      <c r="K42" s="164">
        <f>'4) Netverliezen'!K41</f>
        <v>27504.899999999998</v>
      </c>
      <c r="L42" s="164">
        <f>'4) Netverliezen'!L41</f>
        <v>597934.14928815875</v>
      </c>
      <c r="M42" s="164">
        <f>'4) Netverliezen'!M41</f>
        <v>308891.46780625609</v>
      </c>
      <c r="O42" s="164">
        <f>'4) Netverliezen'!O41</f>
        <v>76714.277013487284</v>
      </c>
    </row>
    <row r="43" spans="1:15" s="83" customFormat="1" x14ac:dyDescent="0.2">
      <c r="B43" s="147"/>
      <c r="D43" s="147"/>
      <c r="F43" s="163"/>
      <c r="H43" s="163"/>
      <c r="I43" s="163"/>
      <c r="J43" s="163"/>
      <c r="K43" s="163"/>
      <c r="L43" s="163"/>
      <c r="M43" s="163"/>
      <c r="O43" s="163"/>
    </row>
    <row r="44" spans="1:15" s="13" customFormat="1" x14ac:dyDescent="0.2">
      <c r="B44" s="157" t="s">
        <v>431</v>
      </c>
      <c r="H44" s="156"/>
      <c r="I44" s="156"/>
      <c r="J44" s="156"/>
      <c r="K44" s="156"/>
      <c r="L44" s="156"/>
      <c r="M44" s="156"/>
      <c r="O44" s="156"/>
    </row>
    <row r="46" spans="1:15" x14ac:dyDescent="0.2">
      <c r="B46" s="5" t="s">
        <v>430</v>
      </c>
    </row>
    <row r="47" spans="1:15" x14ac:dyDescent="0.2">
      <c r="B47" s="149" t="s">
        <v>429</v>
      </c>
      <c r="D47" s="149" t="s">
        <v>403</v>
      </c>
      <c r="F47" s="155">
        <f>F21+F25+F29</f>
        <v>1322395317540.3245</v>
      </c>
    </row>
    <row r="48" spans="1:15" x14ac:dyDescent="0.2">
      <c r="B48" s="149" t="s">
        <v>428</v>
      </c>
      <c r="D48" s="149" t="s">
        <v>403</v>
      </c>
      <c r="F48" s="155">
        <f>F22+F26+F30</f>
        <v>693418522231</v>
      </c>
    </row>
    <row r="49" spans="2:17" x14ac:dyDescent="0.2">
      <c r="B49" s="149" t="s">
        <v>427</v>
      </c>
      <c r="D49" s="149" t="s">
        <v>403</v>
      </c>
      <c r="F49" s="155">
        <f>F47+F48</f>
        <v>2015813839771.3245</v>
      </c>
      <c r="H49" s="162"/>
    </row>
    <row r="50" spans="2:17" x14ac:dyDescent="0.2">
      <c r="B50" s="151"/>
    </row>
    <row r="51" spans="2:17" x14ac:dyDescent="0.2">
      <c r="B51" s="149" t="s">
        <v>426</v>
      </c>
      <c r="D51" s="6" t="s">
        <v>110</v>
      </c>
      <c r="F51" s="161">
        <f>F47/F49</f>
        <v>0.65601063523323067</v>
      </c>
    </row>
    <row r="52" spans="2:17" x14ac:dyDescent="0.2">
      <c r="B52" s="149" t="s">
        <v>425</v>
      </c>
      <c r="D52" s="6" t="s">
        <v>110</v>
      </c>
      <c r="F52" s="161">
        <f>F48/F49</f>
        <v>0.34398936476676933</v>
      </c>
    </row>
    <row r="54" spans="2:17" x14ac:dyDescent="0.2">
      <c r="B54" s="160" t="s">
        <v>424</v>
      </c>
      <c r="D54" s="159" t="s">
        <v>109</v>
      </c>
      <c r="F54" s="158">
        <f>(F52/F42)/(F51/F40)</f>
        <v>4.9338761502693682</v>
      </c>
      <c r="Q54" s="9" t="s">
        <v>448</v>
      </c>
    </row>
    <row r="56" spans="2:17" s="13" customFormat="1" x14ac:dyDescent="0.2">
      <c r="B56" s="157" t="s">
        <v>423</v>
      </c>
      <c r="H56" s="156"/>
      <c r="I56" s="156"/>
      <c r="J56" s="156"/>
      <c r="K56" s="156"/>
      <c r="L56" s="156"/>
      <c r="M56" s="156"/>
      <c r="O56" s="156"/>
    </row>
    <row r="58" spans="2:17" x14ac:dyDescent="0.2">
      <c r="B58" s="149" t="s">
        <v>422</v>
      </c>
      <c r="D58" s="6" t="s">
        <v>147</v>
      </c>
      <c r="F58" s="155">
        <f>F33*(1+F16)*(1-$F$13)^3</f>
        <v>24675126.46596989</v>
      </c>
    </row>
    <row r="59" spans="2:17" x14ac:dyDescent="0.2">
      <c r="B59" s="149" t="s">
        <v>421</v>
      </c>
      <c r="D59" s="6" t="s">
        <v>147</v>
      </c>
      <c r="F59" s="155">
        <f>F34*(1+F17)*(1-$F$13)^2</f>
        <v>23791944.678056151</v>
      </c>
    </row>
    <row r="60" spans="2:17" x14ac:dyDescent="0.2">
      <c r="B60" s="149" t="s">
        <v>435</v>
      </c>
      <c r="D60" s="6" t="s">
        <v>147</v>
      </c>
      <c r="F60" s="155">
        <f>F35*(1+F18)*(1-$F$13)</f>
        <v>17579515.630643129</v>
      </c>
    </row>
    <row r="61" spans="2:17" ht="8.25" customHeight="1" x14ac:dyDescent="0.2"/>
    <row r="62" spans="2:17" x14ac:dyDescent="0.2">
      <c r="B62" s="6" t="s">
        <v>420</v>
      </c>
      <c r="D62" s="6" t="s">
        <v>147</v>
      </c>
      <c r="F62" s="155">
        <f>AVERAGE(F58:F60)</f>
        <v>22015528.924889725</v>
      </c>
      <c r="Q62" s="9" t="s">
        <v>451</v>
      </c>
    </row>
    <row r="64" spans="2:17" s="13" customFormat="1" x14ac:dyDescent="0.2">
      <c r="B64" s="13" t="s">
        <v>419</v>
      </c>
      <c r="H64" s="156"/>
      <c r="I64" s="156"/>
      <c r="J64" s="156"/>
      <c r="K64" s="156"/>
      <c r="L64" s="156"/>
      <c r="M64" s="156"/>
      <c r="O64" s="156"/>
    </row>
    <row r="66" spans="2:19" x14ac:dyDescent="0.2">
      <c r="B66" s="5" t="s">
        <v>418</v>
      </c>
      <c r="H66" s="6"/>
      <c r="I66" s="6"/>
      <c r="J66" s="6"/>
      <c r="N66" s="152"/>
      <c r="O66" s="6"/>
      <c r="P66" s="152"/>
      <c r="Q66" s="152"/>
      <c r="R66" s="152"/>
      <c r="S66" s="152"/>
    </row>
    <row r="67" spans="2:19" x14ac:dyDescent="0.2">
      <c r="B67" s="53" t="s">
        <v>417</v>
      </c>
      <c r="D67" s="6" t="s">
        <v>109</v>
      </c>
      <c r="F67" s="155">
        <f>SUM(H67:M67,O67)</f>
        <v>12797295.238701919</v>
      </c>
      <c r="H67" s="146">
        <f t="shared" ref="H67:M67" si="1">$F$54*H42</f>
        <v>154055.8971244719</v>
      </c>
      <c r="I67" s="146">
        <f t="shared" si="1"/>
        <v>3865788.0910858307</v>
      </c>
      <c r="J67" s="146">
        <f t="shared" si="1"/>
        <v>3789081.4539886345</v>
      </c>
      <c r="K67" s="146">
        <f t="shared" si="1"/>
        <v>135705.77012554393</v>
      </c>
      <c r="L67" s="146">
        <f t="shared" si="1"/>
        <v>2950133.0386044504</v>
      </c>
      <c r="M67" s="146">
        <f t="shared" si="1"/>
        <v>1524032.2460309854</v>
      </c>
      <c r="O67" s="146">
        <f>$F$54*O42</f>
        <v>378498.74174200254</v>
      </c>
    </row>
    <row r="69" spans="2:19" x14ac:dyDescent="0.2">
      <c r="B69" s="29" t="s">
        <v>416</v>
      </c>
      <c r="D69" s="6" t="s">
        <v>109</v>
      </c>
      <c r="F69" s="155">
        <f>SUM(H69:M69,O69)</f>
        <v>37202589.81663198</v>
      </c>
      <c r="H69" s="146">
        <f t="shared" ref="H69:M69" si="2">H40+H67</f>
        <v>654943.38963813311</v>
      </c>
      <c r="I69" s="146">
        <f t="shared" si="2"/>
        <v>11774605.754339136</v>
      </c>
      <c r="J69" s="146">
        <f t="shared" si="2"/>
        <v>12264155.876630852</v>
      </c>
      <c r="K69" s="146">
        <f t="shared" si="2"/>
        <v>496881.00345887721</v>
      </c>
      <c r="L69" s="146">
        <f t="shared" si="2"/>
        <v>9244618.86317816</v>
      </c>
      <c r="M69" s="146">
        <f t="shared" si="2"/>
        <v>1748027.8783068508</v>
      </c>
      <c r="O69" s="146">
        <f>O40+O67</f>
        <v>1019357.0510799702</v>
      </c>
      <c r="Q69" s="9" t="s">
        <v>449</v>
      </c>
    </row>
    <row r="71" spans="2:19" x14ac:dyDescent="0.2">
      <c r="B71" s="6" t="s">
        <v>290</v>
      </c>
      <c r="D71" s="83" t="s">
        <v>147</v>
      </c>
      <c r="F71" s="155">
        <f>SUM(H71:M71)</f>
        <v>22015528.924889725</v>
      </c>
      <c r="H71" s="154">
        <f>(H69/$F$69)*$F$62</f>
        <v>387578.53175849176</v>
      </c>
      <c r="I71" s="154">
        <f>(I69/$F$69)*$F$62</f>
        <v>6967906.6656788541</v>
      </c>
      <c r="J71" s="154">
        <f>(J69/$F$69)*$F$62</f>
        <v>7257609.7463143384</v>
      </c>
      <c r="K71" s="154">
        <f>(K69/$F$69)*$F$62</f>
        <v>294041.30620461947</v>
      </c>
      <c r="L71" s="38">
        <f>((L69+O69)/$F$69)*$F$62</f>
        <v>6073955.0590023557</v>
      </c>
      <c r="M71" s="154">
        <f>(M69/$F$69)*$F$62</f>
        <v>1034437.6159310647</v>
      </c>
      <c r="Q71" s="9" t="s">
        <v>450</v>
      </c>
    </row>
  </sheetData>
  <pageMargins left="0.7" right="0.7"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19">
    <tabColor rgb="FFFFFFCC"/>
  </sheetPr>
  <dimension ref="B2:T31"/>
  <sheetViews>
    <sheetView showGridLines="0" zoomScale="85" zoomScaleNormal="85" workbookViewId="0">
      <pane xSplit="6" ySplit="7" topLeftCell="G8" activePane="bottomRight" state="frozen"/>
      <selection activeCell="B3" sqref="B3"/>
      <selection pane="topRight" activeCell="B3" sqref="B3"/>
      <selection pane="bottomLeft" activeCell="B3" sqref="B3"/>
      <selection pane="bottomRight" activeCell="G8" sqref="G8"/>
    </sheetView>
  </sheetViews>
  <sheetFormatPr defaultRowHeight="12.75" x14ac:dyDescent="0.2"/>
  <cols>
    <col min="1" max="1" width="2.7109375" style="6" customWidth="1"/>
    <col min="2" max="2" width="79.42578125" style="6" bestFit="1" customWidth="1"/>
    <col min="3" max="3" width="2.7109375" style="6" customWidth="1"/>
    <col min="4" max="4" width="13.7109375" style="6" customWidth="1"/>
    <col min="5" max="5" width="2.7109375" style="6" customWidth="1"/>
    <col min="6" max="6" width="13.140625" style="6" bestFit="1" customWidth="1"/>
    <col min="7" max="7" width="2.7109375" style="6" customWidth="1"/>
    <col min="8" max="8" width="16.5703125" style="6" customWidth="1"/>
    <col min="9" max="10" width="4.140625" style="6" customWidth="1"/>
    <col min="11" max="11" width="16.5703125" style="6" customWidth="1"/>
    <col min="12" max="12" width="2.7109375" style="6" customWidth="1"/>
    <col min="13" max="18" width="12.5703125" style="6" customWidth="1"/>
    <col min="19" max="19" width="4.7109375" style="6" customWidth="1"/>
    <col min="20" max="34" width="13.7109375" style="6" customWidth="1"/>
    <col min="35" max="16384" width="9.140625" style="6"/>
  </cols>
  <sheetData>
    <row r="2" spans="2:20" s="26" customFormat="1" ht="18" x14ac:dyDescent="0.2">
      <c r="B2" s="26" t="s">
        <v>513</v>
      </c>
    </row>
    <row r="4" spans="2:20" x14ac:dyDescent="0.2">
      <c r="B4" s="33" t="s">
        <v>52</v>
      </c>
    </row>
    <row r="5" spans="2:20" ht="25.5" x14ac:dyDescent="0.2">
      <c r="B5" s="50" t="s">
        <v>140</v>
      </c>
      <c r="D5" s="27"/>
    </row>
    <row r="6" spans="2:20" x14ac:dyDescent="0.2">
      <c r="B6" s="29"/>
      <c r="D6" s="27"/>
    </row>
    <row r="7" spans="2:20" s="13" customFormat="1" x14ac:dyDescent="0.2">
      <c r="B7" s="13" t="s">
        <v>42</v>
      </c>
      <c r="D7" s="13" t="s">
        <v>71</v>
      </c>
      <c r="F7" s="13" t="s">
        <v>25</v>
      </c>
      <c r="H7" s="13" t="s">
        <v>302</v>
      </c>
      <c r="K7" s="13" t="s">
        <v>303</v>
      </c>
      <c r="M7" s="13" t="s">
        <v>72</v>
      </c>
      <c r="N7" s="13" t="s">
        <v>73</v>
      </c>
      <c r="O7" s="13" t="s">
        <v>74</v>
      </c>
      <c r="P7" s="13" t="s">
        <v>75</v>
      </c>
      <c r="Q7" s="13" t="s">
        <v>76</v>
      </c>
      <c r="R7" s="13" t="s">
        <v>77</v>
      </c>
      <c r="T7" s="13" t="s">
        <v>43</v>
      </c>
    </row>
    <row r="9" spans="2:20" s="13" customFormat="1" x14ac:dyDescent="0.2">
      <c r="B9" s="13" t="s">
        <v>44</v>
      </c>
    </row>
    <row r="11" spans="2:20" x14ac:dyDescent="0.2">
      <c r="B11" s="46" t="s">
        <v>310</v>
      </c>
      <c r="F11" s="6" t="s">
        <v>147</v>
      </c>
      <c r="K11" s="43">
        <f>SUM(M11:R11)</f>
        <v>829172327.42095506</v>
      </c>
      <c r="M11" s="42">
        <f>'3)  SO, BI &amp; PV'!M23</f>
        <v>15674283.814238409</v>
      </c>
      <c r="N11" s="42">
        <f>'3)  SO, BI &amp; PV'!N23</f>
        <v>257086926.65498912</v>
      </c>
      <c r="O11" s="42">
        <f>'3)  SO, BI &amp; PV'!O23</f>
        <v>291001989.31349891</v>
      </c>
      <c r="P11" s="42">
        <f>'3)  SO, BI &amp; PV'!P23</f>
        <v>14160276.78982985</v>
      </c>
      <c r="Q11" s="42">
        <f>'3)  SO, BI &amp; PV'!Q23</f>
        <v>236866214.711034</v>
      </c>
      <c r="R11" s="42">
        <f>'3)  SO, BI &amp; PV'!R23</f>
        <v>14382636.137364771</v>
      </c>
    </row>
    <row r="12" spans="2:20" x14ac:dyDescent="0.2">
      <c r="B12" s="6" t="s">
        <v>311</v>
      </c>
      <c r="F12" s="6" t="s">
        <v>147</v>
      </c>
      <c r="K12" s="43">
        <f>SUM(M12:R12)</f>
        <v>263817492.32884002</v>
      </c>
      <c r="M12" s="42">
        <f>'3)  SO, BI &amp; PV'!M40</f>
        <v>5018772.5801394312</v>
      </c>
      <c r="N12" s="42">
        <f>'3)  SO, BI &amp; PV'!N40</f>
        <v>81673149.479024291</v>
      </c>
      <c r="O12" s="42">
        <f>'3)  SO, BI &amp; PV'!O40</f>
        <v>98560769.971494347</v>
      </c>
      <c r="P12" s="42">
        <f>'3)  SO, BI &amp; PV'!P40</f>
        <v>3217257.1382329287</v>
      </c>
      <c r="Q12" s="42">
        <f>'3)  SO, BI &amp; PV'!Q40</f>
        <v>72080560.820200607</v>
      </c>
      <c r="R12" s="42">
        <f>'3)  SO, BI &amp; PV'!R40</f>
        <v>3266982.3397484501</v>
      </c>
    </row>
    <row r="14" spans="2:20" x14ac:dyDescent="0.2">
      <c r="B14" s="6" t="s">
        <v>313</v>
      </c>
      <c r="F14" s="6" t="s">
        <v>147</v>
      </c>
      <c r="K14" s="43">
        <f>SUM(M14:R14)</f>
        <v>688227460.8219825</v>
      </c>
      <c r="M14" s="42">
        <f>'7) Totale kosten TD maatstaf'!M69</f>
        <v>13603412.444227807</v>
      </c>
      <c r="N14" s="42">
        <f>'7) Totale kosten TD maatstaf'!N69</f>
        <v>221060802.23251924</v>
      </c>
      <c r="O14" s="42">
        <f>'7) Totale kosten TD maatstaf'!O69</f>
        <v>236754404.57821777</v>
      </c>
      <c r="P14" s="42">
        <f>'7) Totale kosten TD maatstaf'!P69</f>
        <v>9986070.4781652074</v>
      </c>
      <c r="Q14" s="42">
        <f>'7) Totale kosten TD maatstaf'!Q69</f>
        <v>195021550.62680426</v>
      </c>
      <c r="R14" s="42">
        <f>'7) Totale kosten TD maatstaf'!R69</f>
        <v>11801220.462048179</v>
      </c>
    </row>
    <row r="15" spans="2:20" x14ac:dyDescent="0.2">
      <c r="B15" s="6" t="s">
        <v>314</v>
      </c>
      <c r="F15" s="6" t="s">
        <v>147</v>
      </c>
      <c r="K15" s="43">
        <f>SUM(M15:R15)</f>
        <v>233797620.6013225</v>
      </c>
      <c r="M15" s="42">
        <f>'8) Totale kosten AD maatstaf'!M87</f>
        <v>4526005.0070828646</v>
      </c>
      <c r="N15" s="42">
        <f>'8) Totale kosten AD maatstaf'!N87</f>
        <v>74084787.107217461</v>
      </c>
      <c r="O15" s="42">
        <f>'8) Totale kosten AD maatstaf'!O87</f>
        <v>83625118.888335392</v>
      </c>
      <c r="P15" s="42">
        <f>'8) Totale kosten AD maatstaf'!P87</f>
        <v>3287015.45399191</v>
      </c>
      <c r="Q15" s="42">
        <f>'8) Totale kosten AD maatstaf'!Q87</f>
        <v>65260420.403155863</v>
      </c>
      <c r="R15" s="42">
        <f>'8) Totale kosten AD maatstaf'!R87</f>
        <v>3014273.7415389908</v>
      </c>
    </row>
    <row r="16" spans="2:20" x14ac:dyDescent="0.2">
      <c r="B16" s="6" t="s">
        <v>506</v>
      </c>
      <c r="F16" s="6" t="s">
        <v>147</v>
      </c>
      <c r="K16" s="43">
        <f>SUM(M16:R16)</f>
        <v>22015528.924889725</v>
      </c>
      <c r="M16" s="42">
        <f>'9) Kosten netverliezen'!H71</f>
        <v>387578.53175849176</v>
      </c>
      <c r="N16" s="42">
        <f>'9) Kosten netverliezen'!I71</f>
        <v>6967906.6656788541</v>
      </c>
      <c r="O16" s="42">
        <f>'9) Kosten netverliezen'!J71</f>
        <v>7257609.7463143384</v>
      </c>
      <c r="P16" s="42">
        <f>'9) Kosten netverliezen'!K71</f>
        <v>294041.30620461947</v>
      </c>
      <c r="Q16" s="42">
        <f>'9) Kosten netverliezen'!L71</f>
        <v>6073955.0590023557</v>
      </c>
      <c r="R16" s="42">
        <f>'9) Kosten netverliezen'!M71</f>
        <v>1034437.6159310647</v>
      </c>
    </row>
    <row r="18" spans="2:20" s="13" customFormat="1" x14ac:dyDescent="0.2">
      <c r="B18" s="13" t="s">
        <v>141</v>
      </c>
    </row>
    <row r="20" spans="2:20" x14ac:dyDescent="0.2">
      <c r="B20" s="6" t="s">
        <v>312</v>
      </c>
      <c r="F20" s="6" t="s">
        <v>147</v>
      </c>
      <c r="K20" s="43">
        <f>SUM(M20:R20)</f>
        <v>1092989819.7497952</v>
      </c>
      <c r="M20" s="43">
        <f t="shared" ref="M20:R20" si="0">SUM(M11:M12)</f>
        <v>20693056.394377839</v>
      </c>
      <c r="N20" s="43">
        <f t="shared" si="0"/>
        <v>338760076.13401341</v>
      </c>
      <c r="O20" s="43">
        <f t="shared" si="0"/>
        <v>389562759.28499329</v>
      </c>
      <c r="P20" s="43">
        <f t="shared" si="0"/>
        <v>17377533.928062778</v>
      </c>
      <c r="Q20" s="43">
        <f t="shared" si="0"/>
        <v>308946775.53123462</v>
      </c>
      <c r="R20" s="43">
        <f t="shared" si="0"/>
        <v>17649618.477113221</v>
      </c>
    </row>
    <row r="21" spans="2:20" x14ac:dyDescent="0.2">
      <c r="B21" s="6" t="s">
        <v>315</v>
      </c>
      <c r="F21" s="6" t="s">
        <v>147</v>
      </c>
      <c r="K21" s="43">
        <f>SUM(M21:R21)</f>
        <v>944040610.34819472</v>
      </c>
      <c r="M21" s="43">
        <f>SUM(M14:M16)</f>
        <v>18516995.983069163</v>
      </c>
      <c r="N21" s="43">
        <f t="shared" ref="N21:R21" si="1">SUM(N14:N16)</f>
        <v>302113496.00541556</v>
      </c>
      <c r="O21" s="43">
        <f t="shared" si="1"/>
        <v>327637133.2128675</v>
      </c>
      <c r="P21" s="43">
        <f t="shared" si="1"/>
        <v>13567127.238361737</v>
      </c>
      <c r="Q21" s="43">
        <f t="shared" si="1"/>
        <v>266355926.0889625</v>
      </c>
      <c r="R21" s="43">
        <f t="shared" si="1"/>
        <v>15849931.819518233</v>
      </c>
    </row>
    <row r="22" spans="2:20" x14ac:dyDescent="0.2">
      <c r="B22" s="46" t="s">
        <v>316</v>
      </c>
      <c r="F22" s="6" t="s">
        <v>147</v>
      </c>
      <c r="K22" s="43">
        <f>SUM(M22:R22)</f>
        <v>148949209.40160048</v>
      </c>
      <c r="M22" s="43">
        <f t="shared" ref="M22:R22" si="2">M20-M21</f>
        <v>2176060.411308676</v>
      </c>
      <c r="N22" s="43">
        <f t="shared" si="2"/>
        <v>36646580.128597856</v>
      </c>
      <c r="O22" s="43">
        <f t="shared" si="2"/>
        <v>61925626.072125793</v>
      </c>
      <c r="P22" s="43">
        <f t="shared" si="2"/>
        <v>3810406.6897010412</v>
      </c>
      <c r="Q22" s="43">
        <f t="shared" si="2"/>
        <v>42590849.442272127</v>
      </c>
      <c r="R22" s="43">
        <f t="shared" si="2"/>
        <v>1799686.6575949881</v>
      </c>
      <c r="T22" s="9" t="s">
        <v>441</v>
      </c>
    </row>
    <row r="24" spans="2:20" x14ac:dyDescent="0.2">
      <c r="B24" s="6" t="s">
        <v>317</v>
      </c>
      <c r="F24" s="6" t="s">
        <v>147</v>
      </c>
      <c r="H24" s="43">
        <f>K22</f>
        <v>148949209.40160048</v>
      </c>
      <c r="T24" s="9" t="s">
        <v>442</v>
      </c>
    </row>
    <row r="26" spans="2:20" s="13" customFormat="1" x14ac:dyDescent="0.2">
      <c r="B26" s="13" t="s">
        <v>142</v>
      </c>
    </row>
    <row r="28" spans="2:20" x14ac:dyDescent="0.2">
      <c r="B28" s="46" t="s">
        <v>366</v>
      </c>
    </row>
    <row r="30" spans="2:20" x14ac:dyDescent="0.2">
      <c r="B30" s="6" t="s">
        <v>318</v>
      </c>
      <c r="D30" s="6" t="s">
        <v>151</v>
      </c>
      <c r="F30" s="6" t="s">
        <v>147</v>
      </c>
      <c r="K30" s="43">
        <f>SUM(M30:R30)</f>
        <v>688227460.8219825</v>
      </c>
      <c r="M30" s="36">
        <f>M14</f>
        <v>13603412.444227807</v>
      </c>
      <c r="N30" s="36">
        <f t="shared" ref="N30:R30" si="3">N14</f>
        <v>221060802.23251924</v>
      </c>
      <c r="O30" s="36">
        <f t="shared" si="3"/>
        <v>236754404.57821777</v>
      </c>
      <c r="P30" s="36">
        <f t="shared" si="3"/>
        <v>9986070.4781652074</v>
      </c>
      <c r="Q30" s="36">
        <f t="shared" si="3"/>
        <v>195021550.62680426</v>
      </c>
      <c r="R30" s="36">
        <f t="shared" si="3"/>
        <v>11801220.462048179</v>
      </c>
      <c r="T30" s="9" t="s">
        <v>443</v>
      </c>
    </row>
    <row r="31" spans="2:20" x14ac:dyDescent="0.2">
      <c r="B31" s="6" t="s">
        <v>319</v>
      </c>
      <c r="D31" s="6" t="s">
        <v>151</v>
      </c>
      <c r="F31" s="6" t="s">
        <v>147</v>
      </c>
      <c r="K31" s="43">
        <f>SUM(M31:R31)</f>
        <v>233797620.6013225</v>
      </c>
      <c r="M31" s="36">
        <f t="shared" ref="M31:R31" si="4">M15</f>
        <v>4526005.0070828646</v>
      </c>
      <c r="N31" s="36">
        <f t="shared" si="4"/>
        <v>74084787.107217461</v>
      </c>
      <c r="O31" s="36">
        <f t="shared" si="4"/>
        <v>83625118.888335392</v>
      </c>
      <c r="P31" s="36">
        <f t="shared" si="4"/>
        <v>3287015.45399191</v>
      </c>
      <c r="Q31" s="36">
        <f t="shared" si="4"/>
        <v>65260420.403155863</v>
      </c>
      <c r="R31" s="36">
        <f t="shared" si="4"/>
        <v>3014273.7415389908</v>
      </c>
    </row>
  </sheetData>
  <phoneticPr fontId="3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8">
    <tabColor rgb="FFFFFFCC"/>
  </sheetPr>
  <dimension ref="A2:U108"/>
  <sheetViews>
    <sheetView showGridLines="0" zoomScale="85" zoomScaleNormal="85" workbookViewId="0">
      <pane xSplit="6" ySplit="10" topLeftCell="G11" activePane="bottomRight" state="frozen"/>
      <selection pane="topRight" activeCell="G1" sqref="G1"/>
      <selection pane="bottomLeft" activeCell="A11" sqref="A11"/>
      <selection pane="bottomRight" activeCell="G11" sqref="G11"/>
    </sheetView>
  </sheetViews>
  <sheetFormatPr defaultRowHeight="12.75" x14ac:dyDescent="0.2"/>
  <cols>
    <col min="1" max="1" width="4.7109375" style="6" customWidth="1"/>
    <col min="2" max="2" width="92.85546875" style="6" bestFit="1" customWidth="1"/>
    <col min="3" max="3" width="2.7109375" style="6" customWidth="1"/>
    <col min="4" max="4" width="14.28515625" style="6" bestFit="1" customWidth="1"/>
    <col min="5" max="5" width="2.7109375" style="6" customWidth="1"/>
    <col min="6" max="6" width="21.85546875" style="6" bestFit="1" customWidth="1"/>
    <col min="7" max="7" width="2.7109375" style="6" customWidth="1"/>
    <col min="8" max="8" width="16.5703125" style="6" bestFit="1" customWidth="1"/>
    <col min="9" max="9" width="2.7109375" style="6" customWidth="1"/>
    <col min="10" max="10" width="17.42578125" style="6" customWidth="1"/>
    <col min="11" max="11" width="2.7109375" style="6" customWidth="1"/>
    <col min="12" max="17" width="12.5703125" style="6" customWidth="1"/>
    <col min="18" max="18" width="2.7109375" style="6" customWidth="1"/>
    <col min="19" max="33" width="13.7109375" style="6" customWidth="1"/>
    <col min="34" max="16384" width="9.140625" style="6"/>
  </cols>
  <sheetData>
    <row r="2" spans="2:19" s="26" customFormat="1" ht="18" x14ac:dyDescent="0.2">
      <c r="B2" s="26" t="s">
        <v>514</v>
      </c>
    </row>
    <row r="4" spans="2:19" x14ac:dyDescent="0.2">
      <c r="B4" s="33" t="s">
        <v>53</v>
      </c>
    </row>
    <row r="5" spans="2:19" x14ac:dyDescent="0.2">
      <c r="B5" s="29" t="s">
        <v>243</v>
      </c>
      <c r="D5" s="27"/>
    </row>
    <row r="6" spans="2:19" x14ac:dyDescent="0.2">
      <c r="B6" s="29"/>
      <c r="D6" s="27"/>
    </row>
    <row r="7" spans="2:19" x14ac:dyDescent="0.2">
      <c r="B7" s="34" t="s">
        <v>27</v>
      </c>
      <c r="D7" s="27"/>
    </row>
    <row r="8" spans="2:19" ht="125.25" customHeight="1" x14ac:dyDescent="0.2">
      <c r="B8" s="50" t="s">
        <v>491</v>
      </c>
      <c r="E8" s="87"/>
      <c r="F8" s="87"/>
    </row>
    <row r="10" spans="2:19" s="13" customFormat="1" x14ac:dyDescent="0.2">
      <c r="B10" s="13" t="s">
        <v>42</v>
      </c>
      <c r="D10" s="13" t="s">
        <v>71</v>
      </c>
      <c r="F10" s="13" t="s">
        <v>25</v>
      </c>
      <c r="H10" s="13" t="s">
        <v>302</v>
      </c>
      <c r="J10" s="13" t="s">
        <v>303</v>
      </c>
      <c r="L10" s="13" t="s">
        <v>72</v>
      </c>
      <c r="M10" s="13" t="s">
        <v>73</v>
      </c>
      <c r="N10" s="13" t="s">
        <v>74</v>
      </c>
      <c r="O10" s="13" t="s">
        <v>75</v>
      </c>
      <c r="P10" s="13" t="s">
        <v>76</v>
      </c>
      <c r="Q10" s="13" t="s">
        <v>77</v>
      </c>
      <c r="S10" s="13" t="s">
        <v>43</v>
      </c>
    </row>
    <row r="12" spans="2:19" s="13" customFormat="1" x14ac:dyDescent="0.2">
      <c r="B12" s="13" t="s">
        <v>146</v>
      </c>
    </row>
    <row r="14" spans="2:19" x14ac:dyDescent="0.2">
      <c r="B14" s="5" t="s">
        <v>474</v>
      </c>
    </row>
    <row r="15" spans="2:19" x14ac:dyDescent="0.2">
      <c r="B15" s="6" t="s">
        <v>480</v>
      </c>
      <c r="F15" s="6" t="s">
        <v>477</v>
      </c>
      <c r="H15" s="183">
        <f>'4) Berekeningen op parameters'!S21</f>
        <v>1</v>
      </c>
    </row>
    <row r="16" spans="2:19" x14ac:dyDescent="0.2">
      <c r="B16" s="6" t="s">
        <v>478</v>
      </c>
      <c r="F16" s="6" t="s">
        <v>477</v>
      </c>
      <c r="H16" s="183">
        <f>'4) Berekeningen op parameters'!T21</f>
        <v>1.0345798797298151</v>
      </c>
    </row>
    <row r="17" spans="2:19" x14ac:dyDescent="0.2">
      <c r="B17" s="6" t="s">
        <v>481</v>
      </c>
      <c r="F17" s="6" t="s">
        <v>477</v>
      </c>
      <c r="H17" s="183">
        <f>'4) Berekeningen op parameters'!U21</f>
        <v>1.0709656914531458</v>
      </c>
    </row>
    <row r="18" spans="2:19" x14ac:dyDescent="0.2">
      <c r="B18" s="6" t="s">
        <v>482</v>
      </c>
      <c r="F18" s="6" t="s">
        <v>477</v>
      </c>
      <c r="H18" s="183">
        <f>'4) Berekeningen op parameters'!V21</f>
        <v>1.1092735750966833</v>
      </c>
    </row>
    <row r="19" spans="2:19" x14ac:dyDescent="0.2">
      <c r="B19" s="6" t="s">
        <v>483</v>
      </c>
      <c r="F19" s="6" t="s">
        <v>477</v>
      </c>
      <c r="H19" s="183">
        <f>'4) Berekeningen op parameters'!W21</f>
        <v>1.149628433713165</v>
      </c>
    </row>
    <row r="21" spans="2:19" x14ac:dyDescent="0.2">
      <c r="B21" s="33" t="s">
        <v>106</v>
      </c>
    </row>
    <row r="22" spans="2:19" x14ac:dyDescent="0.2">
      <c r="B22" s="6" t="s">
        <v>369</v>
      </c>
      <c r="F22" s="6" t="s">
        <v>109</v>
      </c>
      <c r="J22" s="42">
        <f>'3)  SO, BI &amp; PV'!K12</f>
        <v>829798182.34168494</v>
      </c>
      <c r="L22" s="42">
        <f>'3)  SO, BI &amp; PV'!M12</f>
        <v>16401680.494385676</v>
      </c>
      <c r="M22" s="42">
        <f>'3)  SO, BI &amp; PV'!N12</f>
        <v>266533758.56356135</v>
      </c>
      <c r="N22" s="42">
        <f>'3)  SO, BI &amp; PV'!O12</f>
        <v>285455588.10709691</v>
      </c>
      <c r="O22" s="42">
        <f>'3)  SO, BI &amp; PV'!P12</f>
        <v>12040239.024494292</v>
      </c>
      <c r="P22" s="42">
        <f>'3)  SO, BI &amp; PV'!Q12</f>
        <v>235138144.63941851</v>
      </c>
      <c r="Q22" s="42">
        <f>'3)  SO, BI &amp; PV'!R12</f>
        <v>14228771.512728186</v>
      </c>
      <c r="S22" s="9" t="s">
        <v>439</v>
      </c>
    </row>
    <row r="24" spans="2:19" x14ac:dyDescent="0.2">
      <c r="B24" s="5" t="s">
        <v>368</v>
      </c>
    </row>
    <row r="25" spans="2:19" x14ac:dyDescent="0.2">
      <c r="B25" s="6" t="s">
        <v>525</v>
      </c>
      <c r="D25" s="6" t="s">
        <v>151</v>
      </c>
      <c r="F25" s="6" t="s">
        <v>147</v>
      </c>
      <c r="J25" s="42">
        <f>'10) Toetsen toepassing one-off'!K30</f>
        <v>688227460.8219825</v>
      </c>
      <c r="L25" s="42">
        <f>'10) Toetsen toepassing one-off'!M30</f>
        <v>13603412.444227807</v>
      </c>
      <c r="M25" s="42">
        <f>'10) Toetsen toepassing one-off'!N30</f>
        <v>221060802.23251924</v>
      </c>
      <c r="N25" s="42">
        <f>'10) Toetsen toepassing one-off'!O30</f>
        <v>236754404.57821777</v>
      </c>
      <c r="O25" s="42">
        <f>'10) Toetsen toepassing one-off'!P30</f>
        <v>9986070.4781652074</v>
      </c>
      <c r="P25" s="42">
        <f>'10) Toetsen toepassing one-off'!Q30</f>
        <v>195021550.62680426</v>
      </c>
      <c r="Q25" s="42">
        <f>'10) Toetsen toepassing one-off'!R30</f>
        <v>11801220.462048179</v>
      </c>
      <c r="S25" s="6" t="s">
        <v>354</v>
      </c>
    </row>
    <row r="27" spans="2:19" x14ac:dyDescent="0.2">
      <c r="B27" s="5" t="s">
        <v>143</v>
      </c>
    </row>
    <row r="28" spans="2:19" x14ac:dyDescent="0.2">
      <c r="B28" s="6" t="s">
        <v>504</v>
      </c>
      <c r="F28" s="6" t="s">
        <v>110</v>
      </c>
      <c r="H28" s="69">
        <f>'1) Reguleringsparameters'!H35</f>
        <v>2.5444272186812E-3</v>
      </c>
    </row>
    <row r="29" spans="2:19" x14ac:dyDescent="0.2">
      <c r="B29" s="6" t="s">
        <v>462</v>
      </c>
      <c r="F29" s="6" t="s">
        <v>110</v>
      </c>
      <c r="H29" s="69">
        <f>'1) Reguleringsparameters'!H26</f>
        <v>1.7999999999999999E-2</v>
      </c>
      <c r="L29" s="82"/>
    </row>
    <row r="30" spans="2:19" s="14" customFormat="1" x14ac:dyDescent="0.2">
      <c r="H30" s="54"/>
      <c r="J30" s="6"/>
    </row>
    <row r="31" spans="2:19" x14ac:dyDescent="0.2">
      <c r="B31" s="5" t="s">
        <v>144</v>
      </c>
    </row>
    <row r="32" spans="2:19" x14ac:dyDescent="0.2">
      <c r="B32" s="6" t="s">
        <v>189</v>
      </c>
      <c r="D32" s="6" t="s">
        <v>152</v>
      </c>
      <c r="F32" s="6" t="s">
        <v>147</v>
      </c>
      <c r="H32" s="42">
        <f>'7) Totale kosten TD maatstaf'!H62</f>
        <v>701573071.23701048</v>
      </c>
    </row>
    <row r="34" spans="2:17" x14ac:dyDescent="0.2">
      <c r="B34" s="5" t="s">
        <v>223</v>
      </c>
    </row>
    <row r="35" spans="2:17" x14ac:dyDescent="0.2">
      <c r="B35" s="29" t="s">
        <v>464</v>
      </c>
      <c r="F35" s="6" t="s">
        <v>271</v>
      </c>
      <c r="H35" s="42">
        <f>'1) Reguleringsparameters'!S30</f>
        <v>172620647.74726528</v>
      </c>
    </row>
    <row r="36" spans="2:17" x14ac:dyDescent="0.2">
      <c r="B36" s="29" t="s">
        <v>465</v>
      </c>
      <c r="F36" s="6" t="s">
        <v>181</v>
      </c>
      <c r="H36" s="42">
        <f>'1) Reguleringsparameters'!T30</f>
        <v>140678937.9720974</v>
      </c>
    </row>
    <row r="37" spans="2:17" x14ac:dyDescent="0.2">
      <c r="B37" s="29" t="s">
        <v>466</v>
      </c>
      <c r="F37" s="6" t="s">
        <v>182</v>
      </c>
      <c r="H37" s="42">
        <f>'1) Reguleringsparameters'!U30</f>
        <v>109338789.46391147</v>
      </c>
    </row>
    <row r="38" spans="2:17" x14ac:dyDescent="0.2">
      <c r="B38" s="29" t="s">
        <v>467</v>
      </c>
      <c r="F38" s="6" t="s">
        <v>183</v>
      </c>
      <c r="H38" s="42">
        <f>'1) Reguleringsparameters'!V30</f>
        <v>88830885.653209269</v>
      </c>
    </row>
    <row r="39" spans="2:17" x14ac:dyDescent="0.2">
      <c r="B39" s="29" t="s">
        <v>220</v>
      </c>
      <c r="F39" s="6" t="s">
        <v>184</v>
      </c>
      <c r="H39" s="42">
        <f>'1) Reguleringsparameters'!W30</f>
        <v>77816375.827940822</v>
      </c>
    </row>
    <row r="41" spans="2:17" x14ac:dyDescent="0.2">
      <c r="B41" s="5" t="s">
        <v>306</v>
      </c>
    </row>
    <row r="42" spans="2:17" x14ac:dyDescent="0.2">
      <c r="B42" s="6" t="s">
        <v>306</v>
      </c>
      <c r="F42" s="6" t="s">
        <v>147</v>
      </c>
      <c r="J42" s="42">
        <f>'9) Kosten netverliezen'!F71</f>
        <v>22015528.924889725</v>
      </c>
      <c r="L42" s="42">
        <f>'9) Kosten netverliezen'!H71</f>
        <v>387578.53175849176</v>
      </c>
      <c r="M42" s="42">
        <f>'9) Kosten netverliezen'!I71</f>
        <v>6967906.6656788541</v>
      </c>
      <c r="N42" s="42">
        <f>'9) Kosten netverliezen'!J71</f>
        <v>7257609.7463143384</v>
      </c>
      <c r="O42" s="42">
        <f>'9) Kosten netverliezen'!K71</f>
        <v>294041.30620461947</v>
      </c>
      <c r="P42" s="42">
        <f>'9) Kosten netverliezen'!L71</f>
        <v>6073955.0590023557</v>
      </c>
      <c r="Q42" s="42">
        <f>'9) Kosten netverliezen'!M71</f>
        <v>1034437.6159310647</v>
      </c>
    </row>
    <row r="43" spans="2:17" ht="12" customHeight="1" x14ac:dyDescent="0.2"/>
    <row r="44" spans="2:17" ht="12" customHeight="1" x14ac:dyDescent="0.2">
      <c r="B44" s="5" t="s">
        <v>530</v>
      </c>
    </row>
    <row r="45" spans="2:17" x14ac:dyDescent="0.2">
      <c r="B45" s="6" t="s">
        <v>530</v>
      </c>
      <c r="F45" s="6" t="s">
        <v>147</v>
      </c>
      <c r="J45" s="42">
        <f>'7) Totale kosten TD maatstaf'!K75</f>
        <v>480517.05016735999</v>
      </c>
      <c r="L45" s="42">
        <f>'7) Totale kosten TD maatstaf'!M75</f>
        <v>51201.018277919997</v>
      </c>
      <c r="M45" s="42">
        <f>'7) Totale kosten TD maatstaf'!N75</f>
        <v>0</v>
      </c>
      <c r="N45" s="42">
        <f>'7) Totale kosten TD maatstaf'!O75</f>
        <v>429316.03188944003</v>
      </c>
      <c r="O45" s="42">
        <f>'7) Totale kosten TD maatstaf'!P75</f>
        <v>0</v>
      </c>
      <c r="P45" s="42">
        <f>'7) Totale kosten TD maatstaf'!Q75</f>
        <v>0</v>
      </c>
      <c r="Q45" s="42">
        <f>'7) Totale kosten TD maatstaf'!R75</f>
        <v>0</v>
      </c>
    </row>
    <row r="46" spans="2:17" ht="12" customHeight="1" x14ac:dyDescent="0.2"/>
    <row r="47" spans="2:17" s="13" customFormat="1" x14ac:dyDescent="0.2">
      <c r="B47" s="13" t="s">
        <v>505</v>
      </c>
    </row>
    <row r="49" spans="2:19" x14ac:dyDescent="0.2">
      <c r="B49" s="6" t="s">
        <v>541</v>
      </c>
      <c r="D49" s="6" t="s">
        <v>151</v>
      </c>
      <c r="F49" s="6" t="s">
        <v>147</v>
      </c>
      <c r="H49" s="91">
        <f>J25+J45</f>
        <v>688707977.87214983</v>
      </c>
      <c r="J49" s="82"/>
      <c r="S49" s="9"/>
    </row>
    <row r="51" spans="2:19" s="13" customFormat="1" x14ac:dyDescent="0.2">
      <c r="B51" s="13" t="s">
        <v>188</v>
      </c>
    </row>
    <row r="53" spans="2:19" x14ac:dyDescent="0.2">
      <c r="B53" s="6" t="s">
        <v>539</v>
      </c>
      <c r="D53" s="6" t="s">
        <v>152</v>
      </c>
      <c r="F53" s="6" t="s">
        <v>184</v>
      </c>
      <c r="H53" s="73">
        <f>((H32)*(1-$H$28)^5+J45)*(1+$H$29)^5</f>
        <v>757845662.8521266</v>
      </c>
      <c r="S53" s="9" t="s">
        <v>438</v>
      </c>
    </row>
    <row r="54" spans="2:19" x14ac:dyDescent="0.2">
      <c r="B54" s="6" t="s">
        <v>540</v>
      </c>
      <c r="D54" s="6" t="s">
        <v>152</v>
      </c>
      <c r="F54" s="6" t="s">
        <v>187</v>
      </c>
      <c r="H54" s="91">
        <f>H53/J22</f>
        <v>0.91328913340529527</v>
      </c>
      <c r="S54" s="9" t="s">
        <v>440</v>
      </c>
    </row>
    <row r="56" spans="2:19" x14ac:dyDescent="0.2">
      <c r="B56" s="6" t="s">
        <v>186</v>
      </c>
      <c r="D56" s="6" t="s">
        <v>152</v>
      </c>
      <c r="F56" s="6" t="s">
        <v>184</v>
      </c>
      <c r="J56" s="43">
        <f>J22*$H$54</f>
        <v>757845662.8521266</v>
      </c>
      <c r="L56" s="43">
        <f t="shared" ref="L56:Q56" si="0">L22*$H$54</f>
        <v>14979476.565108029</v>
      </c>
      <c r="M56" s="43">
        <f t="shared" si="0"/>
        <v>243422385.38177115</v>
      </c>
      <c r="N56" s="43">
        <f t="shared" si="0"/>
        <v>260703486.68802944</v>
      </c>
      <c r="O56" s="43">
        <f t="shared" si="0"/>
        <v>10996219.464673011</v>
      </c>
      <c r="P56" s="43">
        <f t="shared" si="0"/>
        <v>214749112.3482635</v>
      </c>
      <c r="Q56" s="43">
        <f t="shared" si="0"/>
        <v>12994982.404281478</v>
      </c>
    </row>
    <row r="58" spans="2:19" x14ac:dyDescent="0.2">
      <c r="B58" s="6" t="s">
        <v>217</v>
      </c>
      <c r="F58" s="6" t="s">
        <v>109</v>
      </c>
      <c r="H58" s="68">
        <f>(1+$H$29-(J56/H49)^(1/5))</f>
        <v>-1.3166802663897581E-3</v>
      </c>
    </row>
    <row r="60" spans="2:19" x14ac:dyDescent="0.2">
      <c r="B60" s="5" t="s">
        <v>367</v>
      </c>
    </row>
    <row r="61" spans="2:19" x14ac:dyDescent="0.2">
      <c r="B61" s="58" t="s">
        <v>225</v>
      </c>
      <c r="C61" s="53"/>
      <c r="E61" s="53"/>
      <c r="F61" s="58" t="s">
        <v>271</v>
      </c>
      <c r="H61" s="43">
        <f>H49*(1+$H$29-H$58)</f>
        <v>702011529.67761803</v>
      </c>
    </row>
    <row r="62" spans="2:19" x14ac:dyDescent="0.2">
      <c r="B62" s="53" t="s">
        <v>226</v>
      </c>
      <c r="C62" s="53"/>
      <c r="E62" s="53"/>
      <c r="F62" s="58" t="s">
        <v>181</v>
      </c>
      <c r="H62" s="43">
        <f>H61*(1+$H$29-H$58)</f>
        <v>715572061.9397198</v>
      </c>
    </row>
    <row r="63" spans="2:19" x14ac:dyDescent="0.2">
      <c r="B63" s="53" t="s">
        <v>227</v>
      </c>
      <c r="C63" s="53"/>
      <c r="E63" s="53"/>
      <c r="F63" s="58" t="s">
        <v>182</v>
      </c>
      <c r="H63" s="43">
        <f>H62*(1+$H$29-H$58)</f>
        <v>729394538.66777062</v>
      </c>
    </row>
    <row r="64" spans="2:19" x14ac:dyDescent="0.2">
      <c r="B64" s="53" t="s">
        <v>228</v>
      </c>
      <c r="C64" s="53"/>
      <c r="E64" s="53"/>
      <c r="F64" s="58" t="s">
        <v>183</v>
      </c>
      <c r="H64" s="43">
        <f>H63*(1+$H$29-H$58)</f>
        <v>743484019.75926685</v>
      </c>
    </row>
    <row r="65" spans="2:19" x14ac:dyDescent="0.2">
      <c r="B65" s="53" t="s">
        <v>229</v>
      </c>
      <c r="C65" s="53"/>
      <c r="E65" s="53"/>
      <c r="F65" s="58" t="s">
        <v>184</v>
      </c>
      <c r="H65" s="43">
        <f>H64*(1+$H$29-H$58)</f>
        <v>757845662.85212684</v>
      </c>
    </row>
    <row r="66" spans="2:19" x14ac:dyDescent="0.2">
      <c r="B66" s="53"/>
      <c r="C66" s="53"/>
      <c r="E66" s="53"/>
      <c r="F66" s="53"/>
    </row>
    <row r="67" spans="2:19" s="13" customFormat="1" x14ac:dyDescent="0.2">
      <c r="B67" s="13" t="s">
        <v>222</v>
      </c>
    </row>
    <row r="69" spans="2:19" ht="12" customHeight="1" x14ac:dyDescent="0.2">
      <c r="B69" s="5" t="s">
        <v>488</v>
      </c>
    </row>
    <row r="70" spans="2:19" x14ac:dyDescent="0.2">
      <c r="B70" s="6" t="s">
        <v>468</v>
      </c>
      <c r="F70" s="58" t="s">
        <v>271</v>
      </c>
      <c r="H70" s="57">
        <f>H61+H35</f>
        <v>874632177.42488337</v>
      </c>
      <c r="S70" s="9" t="s">
        <v>444</v>
      </c>
    </row>
    <row r="71" spans="2:19" x14ac:dyDescent="0.2">
      <c r="B71" s="6" t="s">
        <v>469</v>
      </c>
      <c r="F71" s="58" t="s">
        <v>181</v>
      </c>
      <c r="H71" s="57">
        <f>H62+H36</f>
        <v>856250999.91181719</v>
      </c>
      <c r="S71" s="9"/>
    </row>
    <row r="72" spans="2:19" x14ac:dyDescent="0.2">
      <c r="B72" s="6" t="s">
        <v>470</v>
      </c>
      <c r="F72" s="58" t="s">
        <v>182</v>
      </c>
      <c r="H72" s="57">
        <f>H63+H37</f>
        <v>838733328.13168216</v>
      </c>
      <c r="S72" s="9"/>
    </row>
    <row r="73" spans="2:19" x14ac:dyDescent="0.2">
      <c r="B73" s="6" t="s">
        <v>471</v>
      </c>
      <c r="F73" s="58" t="s">
        <v>183</v>
      </c>
      <c r="H73" s="57">
        <f>H64+H38</f>
        <v>832314905.41247606</v>
      </c>
      <c r="S73" s="9"/>
    </row>
    <row r="74" spans="2:19" x14ac:dyDescent="0.2">
      <c r="B74" s="6" t="s">
        <v>472</v>
      </c>
      <c r="F74" s="58" t="s">
        <v>184</v>
      </c>
      <c r="H74" s="57">
        <f>H65+H39</f>
        <v>835662038.68006766</v>
      </c>
      <c r="S74" s="9"/>
    </row>
    <row r="75" spans="2:19" x14ac:dyDescent="0.2">
      <c r="S75" s="9"/>
    </row>
    <row r="76" spans="2:19" x14ac:dyDescent="0.2">
      <c r="B76" s="6" t="s">
        <v>473</v>
      </c>
      <c r="F76" s="6" t="s">
        <v>517</v>
      </c>
      <c r="H76" s="57">
        <f>H70/H$15+H71/H$16+H72/H$17+H73/H$18+H74/H$19</f>
        <v>3962641680.953958</v>
      </c>
      <c r="S76" s="9"/>
    </row>
    <row r="77" spans="2:19" x14ac:dyDescent="0.2">
      <c r="S77" s="9"/>
    </row>
    <row r="78" spans="2:19" x14ac:dyDescent="0.2">
      <c r="B78" s="5" t="s">
        <v>489</v>
      </c>
      <c r="S78" s="9"/>
    </row>
    <row r="79" spans="2:19" x14ac:dyDescent="0.2">
      <c r="B79" s="6" t="s">
        <v>237</v>
      </c>
      <c r="F79" s="6" t="s">
        <v>147</v>
      </c>
      <c r="H79" s="38">
        <v>866244878.87678778</v>
      </c>
      <c r="S79" s="6" t="s">
        <v>267</v>
      </c>
    </row>
    <row r="80" spans="2:19" x14ac:dyDescent="0.2">
      <c r="B80" s="6" t="s">
        <v>230</v>
      </c>
      <c r="F80" s="6" t="s">
        <v>184</v>
      </c>
      <c r="H80" s="180">
        <f>H74</f>
        <v>835662038.68006766</v>
      </c>
      <c r="S80" s="9" t="s">
        <v>445</v>
      </c>
    </row>
    <row r="81" spans="2:21" x14ac:dyDescent="0.2">
      <c r="B81" s="6" t="s">
        <v>238</v>
      </c>
      <c r="F81" s="6" t="s">
        <v>110</v>
      </c>
      <c r="H81" s="68">
        <f>(1+$H$29-(H80/H79)^(1/5))</f>
        <v>2.5162896742476959E-2</v>
      </c>
      <c r="S81" s="9" t="s">
        <v>446</v>
      </c>
    </row>
    <row r="83" spans="2:21" x14ac:dyDescent="0.2">
      <c r="B83" s="58" t="s">
        <v>231</v>
      </c>
      <c r="C83" s="53"/>
      <c r="E83" s="53"/>
      <c r="F83" s="58" t="s">
        <v>271</v>
      </c>
      <c r="H83" s="43">
        <f>H79*(1+$H$29-H$81)</f>
        <v>860040056.25569391</v>
      </c>
      <c r="J83" s="114"/>
    </row>
    <row r="84" spans="2:21" x14ac:dyDescent="0.2">
      <c r="B84" s="53" t="s">
        <v>232</v>
      </c>
      <c r="C84" s="53"/>
      <c r="E84" s="53"/>
      <c r="F84" s="58" t="s">
        <v>181</v>
      </c>
      <c r="H84" s="43">
        <f>H83*(1+$H$29-H$81)</f>
        <v>853879678.13834035</v>
      </c>
      <c r="J84" s="114"/>
    </row>
    <row r="85" spans="2:21" x14ac:dyDescent="0.2">
      <c r="B85" s="53" t="s">
        <v>233</v>
      </c>
      <c r="C85" s="53"/>
      <c r="E85" s="53"/>
      <c r="F85" s="58" t="s">
        <v>182</v>
      </c>
      <c r="H85" s="43">
        <f>H84*(1+$H$29-H$81)</f>
        <v>847763426.17333603</v>
      </c>
      <c r="J85" s="114"/>
    </row>
    <row r="86" spans="2:21" x14ac:dyDescent="0.2">
      <c r="B86" s="53" t="s">
        <v>234</v>
      </c>
      <c r="C86" s="53"/>
      <c r="E86" s="53"/>
      <c r="F86" s="58" t="s">
        <v>183</v>
      </c>
      <c r="H86" s="43">
        <f>H85*(1+$H$29-H$81)</f>
        <v>841690984.289608</v>
      </c>
      <c r="J86" s="114"/>
    </row>
    <row r="87" spans="2:21" x14ac:dyDescent="0.2">
      <c r="B87" s="53" t="s">
        <v>235</v>
      </c>
      <c r="C87" s="53"/>
      <c r="E87" s="53"/>
      <c r="F87" s="58" t="s">
        <v>184</v>
      </c>
      <c r="H87" s="43">
        <f>H86*(1+$H$29-H$81)</f>
        <v>835662038.68006778</v>
      </c>
      <c r="J87" s="114"/>
    </row>
    <row r="88" spans="2:21" x14ac:dyDescent="0.2">
      <c r="B88" s="53"/>
      <c r="C88" s="53"/>
      <c r="E88" s="53"/>
      <c r="F88" s="53"/>
    </row>
    <row r="89" spans="2:21" x14ac:dyDescent="0.2">
      <c r="B89" s="53" t="s">
        <v>236</v>
      </c>
      <c r="C89" s="53"/>
      <c r="E89" s="53"/>
      <c r="F89" s="6" t="s">
        <v>517</v>
      </c>
      <c r="H89" s="57">
        <f>H83/H$15+H84/H$16+H85/H$17+H86/H$18+H87/H$19</f>
        <v>3962641680.953958</v>
      </c>
      <c r="S89" s="9" t="s">
        <v>447</v>
      </c>
    </row>
    <row r="90" spans="2:21" s="14" customFormat="1" x14ac:dyDescent="0.2">
      <c r="B90" s="59"/>
      <c r="C90" s="59"/>
      <c r="E90" s="59"/>
      <c r="F90" s="59"/>
      <c r="H90" s="60"/>
      <c r="J90" s="60"/>
    </row>
    <row r="91" spans="2:21" s="63" customFormat="1" ht="12" customHeight="1" x14ac:dyDescent="0.2">
      <c r="B91" s="63" t="s">
        <v>239</v>
      </c>
      <c r="K91" s="65"/>
      <c r="L91" s="65"/>
      <c r="M91" s="65"/>
      <c r="N91" s="65"/>
      <c r="O91" s="65"/>
      <c r="R91" s="65"/>
      <c r="S91" s="65"/>
      <c r="U91" s="65"/>
    </row>
    <row r="92" spans="2:21" s="64" customFormat="1" ht="12" customHeight="1" x14ac:dyDescent="0.2">
      <c r="K92" s="66"/>
      <c r="L92" s="66"/>
      <c r="M92" s="66"/>
      <c r="N92" s="66"/>
      <c r="O92" s="66"/>
      <c r="R92" s="66"/>
      <c r="S92" s="66"/>
      <c r="U92" s="66"/>
    </row>
    <row r="93" spans="2:21" s="77" customFormat="1" ht="12" customHeight="1" x14ac:dyDescent="0.2">
      <c r="B93" s="81" t="s">
        <v>374</v>
      </c>
      <c r="C93" s="80"/>
      <c r="E93" s="80"/>
      <c r="F93" s="80"/>
      <c r="K93" s="78"/>
      <c r="L93" s="78"/>
      <c r="M93" s="78"/>
      <c r="N93" s="78"/>
      <c r="O93" s="78"/>
      <c r="R93" s="78"/>
      <c r="S93" s="78"/>
      <c r="U93" s="78"/>
    </row>
    <row r="94" spans="2:21" s="77" customFormat="1" ht="12" customHeight="1" x14ac:dyDescent="0.2">
      <c r="B94" s="80" t="s">
        <v>251</v>
      </c>
      <c r="C94" s="79"/>
      <c r="D94" s="80"/>
      <c r="E94" s="79"/>
      <c r="F94" s="80" t="s">
        <v>147</v>
      </c>
      <c r="H94" s="42">
        <f>H79</f>
        <v>866244878.87678778</v>
      </c>
      <c r="K94" s="78"/>
      <c r="L94" s="78"/>
      <c r="M94" s="78"/>
      <c r="N94" s="78"/>
      <c r="O94" s="78"/>
      <c r="R94" s="78"/>
      <c r="S94" s="78"/>
      <c r="U94" s="78"/>
    </row>
    <row r="95" spans="2:21" s="77" customFormat="1" ht="12" customHeight="1" x14ac:dyDescent="0.2">
      <c r="B95" s="80" t="s">
        <v>249</v>
      </c>
      <c r="C95" s="79"/>
      <c r="E95" s="79"/>
      <c r="F95" s="80" t="s">
        <v>148</v>
      </c>
      <c r="H95" s="72">
        <f>H94/J22</f>
        <v>1.0439223624619791</v>
      </c>
      <c r="R95" s="78"/>
      <c r="S95" s="78"/>
      <c r="U95" s="78"/>
    </row>
    <row r="96" spans="2:21" s="77" customFormat="1" ht="12" customHeight="1" x14ac:dyDescent="0.2">
      <c r="B96" s="118"/>
      <c r="C96" s="79"/>
      <c r="E96" s="79"/>
      <c r="F96" s="118"/>
      <c r="R96" s="78"/>
      <c r="S96" s="78"/>
      <c r="U96" s="78"/>
    </row>
    <row r="97" spans="1:21" s="77" customFormat="1" ht="12" customHeight="1" x14ac:dyDescent="0.2">
      <c r="B97" s="77" t="s">
        <v>373</v>
      </c>
      <c r="K97" s="78"/>
      <c r="L97" s="78"/>
      <c r="M97" s="78"/>
      <c r="N97" s="78"/>
      <c r="O97" s="78"/>
      <c r="R97" s="78"/>
      <c r="S97" s="78"/>
      <c r="U97" s="78"/>
    </row>
    <row r="98" spans="1:21" s="77" customFormat="1" ht="12" customHeight="1" x14ac:dyDescent="0.2">
      <c r="B98" s="6" t="s">
        <v>352</v>
      </c>
      <c r="F98" s="6" t="s">
        <v>147</v>
      </c>
      <c r="J98" s="43">
        <f>SUM(L98:Q98)</f>
        <v>888260407.80167758</v>
      </c>
      <c r="K98" s="78"/>
      <c r="L98" s="36">
        <f>L22*$H95+L42</f>
        <v>17509659.581804149</v>
      </c>
      <c r="M98" s="36">
        <f t="shared" ref="M98:Q98" si="1">M22*$H95+M42</f>
        <v>285208457.58122259</v>
      </c>
      <c r="N98" s="36">
        <f t="shared" si="1"/>
        <v>305251081.66104859</v>
      </c>
      <c r="O98" s="36">
        <f t="shared" si="1"/>
        <v>12863116.073261615</v>
      </c>
      <c r="P98" s="36">
        <f t="shared" si="1"/>
        <v>251539922.51591069</v>
      </c>
      <c r="Q98" s="36">
        <f t="shared" si="1"/>
        <v>15888170.388429981</v>
      </c>
      <c r="R98" s="78"/>
      <c r="S98" s="78"/>
      <c r="U98" s="78"/>
    </row>
    <row r="99" spans="1:21" s="14" customFormat="1" x14ac:dyDescent="0.2">
      <c r="C99" s="59"/>
      <c r="E99" s="59"/>
      <c r="H99" s="55"/>
      <c r="J99" s="77"/>
      <c r="L99" s="56"/>
      <c r="M99" s="56"/>
      <c r="N99" s="56"/>
      <c r="O99" s="56"/>
      <c r="P99" s="56"/>
      <c r="Q99" s="56"/>
    </row>
    <row r="100" spans="1:21" s="14" customFormat="1" x14ac:dyDescent="0.2">
      <c r="B100" s="61" t="s">
        <v>375</v>
      </c>
      <c r="C100" s="59"/>
      <c r="E100" s="59"/>
      <c r="H100" s="55"/>
      <c r="J100" s="77"/>
      <c r="L100" s="56"/>
      <c r="M100" s="56"/>
      <c r="N100" s="56"/>
      <c r="O100" s="56"/>
      <c r="P100" s="56"/>
      <c r="Q100" s="56"/>
    </row>
    <row r="101" spans="1:21" s="14" customFormat="1" x14ac:dyDescent="0.2">
      <c r="B101" s="58" t="s">
        <v>248</v>
      </c>
      <c r="C101" s="59"/>
      <c r="E101" s="59"/>
      <c r="F101" s="6" t="s">
        <v>184</v>
      </c>
      <c r="H101" s="42">
        <f>H80</f>
        <v>835662038.68006766</v>
      </c>
      <c r="J101" s="77"/>
      <c r="L101" s="56"/>
      <c r="M101" s="56"/>
      <c r="N101" s="56"/>
      <c r="O101" s="56"/>
      <c r="P101" s="56"/>
      <c r="Q101" s="56"/>
    </row>
    <row r="102" spans="1:21" s="14" customFormat="1" x14ac:dyDescent="0.2">
      <c r="B102" s="80" t="s">
        <v>249</v>
      </c>
      <c r="C102" s="79"/>
      <c r="E102" s="79"/>
      <c r="F102" s="179" t="s">
        <v>187</v>
      </c>
      <c r="H102" s="76">
        <f>H101/J22</f>
        <v>1.0070666054266773</v>
      </c>
      <c r="J102" s="77"/>
      <c r="L102" s="56"/>
      <c r="M102" s="56"/>
      <c r="N102" s="56"/>
      <c r="O102" s="56"/>
      <c r="P102" s="56"/>
      <c r="Q102" s="56"/>
    </row>
    <row r="103" spans="1:21" s="14" customFormat="1" x14ac:dyDescent="0.2">
      <c r="B103" s="118"/>
      <c r="C103" s="79"/>
      <c r="E103" s="79"/>
      <c r="F103" s="118"/>
      <c r="H103" s="77"/>
      <c r="J103" s="77"/>
      <c r="L103" s="56"/>
      <c r="M103" s="56"/>
      <c r="N103" s="56"/>
      <c r="O103" s="56"/>
      <c r="P103" s="56"/>
      <c r="Q103" s="56"/>
    </row>
    <row r="104" spans="1:21" s="14" customFormat="1" x14ac:dyDescent="0.2">
      <c r="B104" s="61" t="s">
        <v>461</v>
      </c>
      <c r="C104" s="59"/>
      <c r="E104" s="59"/>
      <c r="H104" s="55"/>
      <c r="J104" s="77"/>
      <c r="L104" s="56"/>
      <c r="M104" s="56"/>
      <c r="N104" s="56"/>
      <c r="O104" s="56"/>
      <c r="P104" s="56"/>
      <c r="Q104" s="56"/>
    </row>
    <row r="105" spans="1:21" x14ac:dyDescent="0.2">
      <c r="A105" s="14"/>
      <c r="B105" s="6" t="s">
        <v>353</v>
      </c>
      <c r="F105" s="14" t="s">
        <v>184</v>
      </c>
      <c r="J105" s="43">
        <f>SUM(L105:Q105)</f>
        <v>859426929.27288222</v>
      </c>
      <c r="L105" s="36">
        <f>L22*$H102+L42*(1-$H$28)^5*(1+$H$29)^5</f>
        <v>16935960.356919076</v>
      </c>
      <c r="M105" s="36">
        <f>M22*$H102+M42*(1-$H$28)^5*(1+$H$29)^5</f>
        <v>275938826.4471187</v>
      </c>
      <c r="N105" s="36">
        <f t="shared" ref="N105:Q105" si="2">N22*$H102+N42*(1-$H$28)^5*(1+$H$29)^5</f>
        <v>295307092.08325708</v>
      </c>
      <c r="O105" s="36">
        <f t="shared" si="2"/>
        <v>12442728.574689055</v>
      </c>
      <c r="P105" s="36">
        <f t="shared" si="2"/>
        <v>243356366.79163417</v>
      </c>
      <c r="Q105" s="36">
        <f t="shared" si="2"/>
        <v>15445955.019264191</v>
      </c>
      <c r="S105" s="9" t="s">
        <v>437</v>
      </c>
    </row>
    <row r="106" spans="1:21" x14ac:dyDescent="0.2">
      <c r="A106" s="14"/>
      <c r="J106" s="77"/>
    </row>
    <row r="107" spans="1:21" x14ac:dyDescent="0.2">
      <c r="J107" s="77"/>
    </row>
    <row r="108" spans="1:21" x14ac:dyDescent="0.2">
      <c r="J108" s="77"/>
    </row>
  </sheetData>
  <phoneticPr fontId="3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9">
    <tabColor rgb="FFFFFFCC"/>
  </sheetPr>
  <dimension ref="A2:U100"/>
  <sheetViews>
    <sheetView showGridLines="0" zoomScale="85" zoomScaleNormal="85" workbookViewId="0">
      <pane xSplit="6" ySplit="10" topLeftCell="G11" activePane="bottomRight" state="frozen"/>
      <selection pane="topRight" activeCell="G1" sqref="G1"/>
      <selection pane="bottomLeft" activeCell="A11" sqref="A11"/>
      <selection pane="bottomRight" activeCell="G11" sqref="G11"/>
    </sheetView>
  </sheetViews>
  <sheetFormatPr defaultRowHeight="12.75" x14ac:dyDescent="0.2"/>
  <cols>
    <col min="1" max="1" width="2.7109375" style="6" customWidth="1"/>
    <col min="2" max="2" width="96.85546875" style="6" customWidth="1"/>
    <col min="3" max="3" width="2.7109375" style="6" customWidth="1"/>
    <col min="4" max="4" width="18.42578125" style="6" customWidth="1"/>
    <col min="5" max="5" width="2.7109375" style="6" customWidth="1"/>
    <col min="6" max="6" width="21.85546875" style="6" bestFit="1" customWidth="1"/>
    <col min="7" max="7" width="2.7109375" style="6" customWidth="1"/>
    <col min="8" max="8" width="19.5703125" style="6" bestFit="1" customWidth="1"/>
    <col min="9" max="9" width="2.7109375" style="6" customWidth="1"/>
    <col min="10" max="10" width="19.5703125" style="6" customWidth="1"/>
    <col min="11" max="11" width="2.7109375" style="6" customWidth="1"/>
    <col min="12" max="17" width="12.5703125" style="6" customWidth="1"/>
    <col min="18" max="18" width="2.7109375" style="6" customWidth="1"/>
    <col min="19" max="33" width="13.7109375" style="6" customWidth="1"/>
    <col min="34" max="16384" width="9.140625" style="6"/>
  </cols>
  <sheetData>
    <row r="2" spans="2:19" s="26" customFormat="1" ht="18" x14ac:dyDescent="0.2">
      <c r="B2" s="26" t="s">
        <v>515</v>
      </c>
    </row>
    <row r="4" spans="2:19" x14ac:dyDescent="0.2">
      <c r="B4" s="33" t="s">
        <v>53</v>
      </c>
    </row>
    <row r="5" spans="2:19" x14ac:dyDescent="0.2">
      <c r="B5" s="29" t="s">
        <v>244</v>
      </c>
      <c r="D5" s="27"/>
    </row>
    <row r="6" spans="2:19" x14ac:dyDescent="0.2">
      <c r="B6" s="29"/>
      <c r="D6" s="27"/>
    </row>
    <row r="7" spans="2:19" x14ac:dyDescent="0.2">
      <c r="B7" s="34" t="s">
        <v>27</v>
      </c>
      <c r="D7" s="27"/>
    </row>
    <row r="8" spans="2:19" ht="157.5" customHeight="1" x14ac:dyDescent="0.2">
      <c r="B8" s="192" t="s">
        <v>490</v>
      </c>
      <c r="C8" s="192"/>
      <c r="D8" s="192"/>
      <c r="E8" s="192"/>
      <c r="F8" s="50"/>
    </row>
    <row r="10" spans="2:19" s="13" customFormat="1" x14ac:dyDescent="0.2">
      <c r="B10" s="13" t="s">
        <v>42</v>
      </c>
      <c r="D10" s="13" t="s">
        <v>71</v>
      </c>
      <c r="F10" s="13" t="s">
        <v>25</v>
      </c>
      <c r="H10" s="13" t="s">
        <v>302</v>
      </c>
      <c r="J10" s="13" t="s">
        <v>303</v>
      </c>
      <c r="L10" s="13" t="s">
        <v>72</v>
      </c>
      <c r="M10" s="13" t="s">
        <v>73</v>
      </c>
      <c r="N10" s="13" t="s">
        <v>74</v>
      </c>
      <c r="O10" s="13" t="s">
        <v>75</v>
      </c>
      <c r="P10" s="13" t="s">
        <v>76</v>
      </c>
      <c r="Q10" s="13" t="s">
        <v>77</v>
      </c>
      <c r="S10" s="13" t="s">
        <v>43</v>
      </c>
    </row>
    <row r="12" spans="2:19" s="13" customFormat="1" x14ac:dyDescent="0.2">
      <c r="B12" s="13" t="s">
        <v>146</v>
      </c>
    </row>
    <row r="14" spans="2:19" x14ac:dyDescent="0.2">
      <c r="B14" s="5" t="s">
        <v>474</v>
      </c>
    </row>
    <row r="15" spans="2:19" x14ac:dyDescent="0.2">
      <c r="B15" s="6" t="s">
        <v>480</v>
      </c>
      <c r="F15" s="6" t="s">
        <v>477</v>
      </c>
      <c r="H15" s="183">
        <f>'4) Berekeningen op parameters'!S21</f>
        <v>1</v>
      </c>
    </row>
    <row r="16" spans="2:19" x14ac:dyDescent="0.2">
      <c r="B16" s="6" t="s">
        <v>478</v>
      </c>
      <c r="F16" s="6" t="s">
        <v>477</v>
      </c>
      <c r="H16" s="183">
        <f>'4) Berekeningen op parameters'!T21</f>
        <v>1.0345798797298151</v>
      </c>
    </row>
    <row r="17" spans="2:19" x14ac:dyDescent="0.2">
      <c r="B17" s="6" t="s">
        <v>481</v>
      </c>
      <c r="F17" s="6" t="s">
        <v>477</v>
      </c>
      <c r="H17" s="183">
        <f>'4) Berekeningen op parameters'!U21</f>
        <v>1.0709656914531458</v>
      </c>
    </row>
    <row r="18" spans="2:19" x14ac:dyDescent="0.2">
      <c r="B18" s="6" t="s">
        <v>482</v>
      </c>
      <c r="F18" s="6" t="s">
        <v>477</v>
      </c>
      <c r="H18" s="183">
        <f>'4) Berekeningen op parameters'!V21</f>
        <v>1.1092735750966833</v>
      </c>
    </row>
    <row r="19" spans="2:19" x14ac:dyDescent="0.2">
      <c r="B19" s="6" t="s">
        <v>483</v>
      </c>
      <c r="F19" s="6" t="s">
        <v>477</v>
      </c>
      <c r="H19" s="183">
        <f>'4) Berekeningen op parameters'!W21</f>
        <v>1.149628433713165</v>
      </c>
    </row>
    <row r="21" spans="2:19" x14ac:dyDescent="0.2">
      <c r="B21" s="33" t="s">
        <v>265</v>
      </c>
    </row>
    <row r="22" spans="2:19" x14ac:dyDescent="0.2">
      <c r="B22" s="6" t="s">
        <v>261</v>
      </c>
      <c r="F22" s="6" t="s">
        <v>109</v>
      </c>
      <c r="J22" s="42">
        <f>'3)  SO, BI &amp; PV'!K28</f>
        <v>264524640.82615989</v>
      </c>
      <c r="L22" s="42">
        <f>'3)  SO, BI &amp; PV'!M28</f>
        <v>5120838.4661773751</v>
      </c>
      <c r="M22" s="42">
        <f>'3)  SO, BI &amp; PV'!N28</f>
        <v>83821433.468037471</v>
      </c>
      <c r="N22" s="42">
        <f>'3)  SO, BI &amp; PV'!O28</f>
        <v>94615610.206328645</v>
      </c>
      <c r="O22" s="42">
        <f>'3)  SO, BI &amp; PV'!P28</f>
        <v>3719013.8211027142</v>
      </c>
      <c r="P22" s="42">
        <f>'3)  SO, BI &amp; PV'!Q28</f>
        <v>73837318.031333953</v>
      </c>
      <c r="Q22" s="42">
        <f>'3)  SO, BI &amp; PV'!R28</f>
        <v>3410426.8331797407</v>
      </c>
      <c r="S22" s="9" t="s">
        <v>439</v>
      </c>
    </row>
    <row r="23" spans="2:19" x14ac:dyDescent="0.2">
      <c r="B23" s="6" t="s">
        <v>547</v>
      </c>
      <c r="J23" s="42">
        <f>'3)  SO, BI &amp; PV'!K29</f>
        <v>280366757.95199353</v>
      </c>
      <c r="L23" s="42">
        <f>'3)  SO, BI &amp; PV'!M29</f>
        <v>5505982.2846343154</v>
      </c>
      <c r="M23" s="42">
        <f>'3)  SO, BI &amp; PV'!N29</f>
        <v>89278102.858918875</v>
      </c>
      <c r="N23" s="42">
        <f>'3)  SO, BI &amp; PV'!O29</f>
        <v>99477334.853988722</v>
      </c>
      <c r="O23" s="42">
        <f>'3)  SO, BI &amp; PV'!P29</f>
        <v>3971361.9924819255</v>
      </c>
      <c r="P23" s="42">
        <f>'3)  SO, BI &amp; PV'!Q29</f>
        <v>78559150.739823759</v>
      </c>
      <c r="Q23" s="42">
        <f>'3)  SO, BI &amp; PV'!R29</f>
        <v>3574825.2221459462</v>
      </c>
    </row>
    <row r="25" spans="2:19" x14ac:dyDescent="0.2">
      <c r="B25" s="5" t="s">
        <v>368</v>
      </c>
    </row>
    <row r="26" spans="2:19" x14ac:dyDescent="0.2">
      <c r="B26" s="6" t="s">
        <v>526</v>
      </c>
      <c r="D26" s="6" t="s">
        <v>151</v>
      </c>
      <c r="F26" s="6" t="s">
        <v>147</v>
      </c>
      <c r="J26" s="42">
        <f>'10) Toetsen toepassing one-off'!K31</f>
        <v>233797620.6013225</v>
      </c>
      <c r="L26" s="42">
        <f>'10) Toetsen toepassing one-off'!M31</f>
        <v>4526005.0070828646</v>
      </c>
      <c r="M26" s="42">
        <f>'10) Toetsen toepassing one-off'!N31</f>
        <v>74084787.107217461</v>
      </c>
      <c r="N26" s="42">
        <f>'10) Toetsen toepassing one-off'!O31</f>
        <v>83625118.888335392</v>
      </c>
      <c r="O26" s="42">
        <f>'10) Toetsen toepassing one-off'!P31</f>
        <v>3287015.45399191</v>
      </c>
      <c r="P26" s="42">
        <f>'10) Toetsen toepassing one-off'!Q31</f>
        <v>65260420.403155863</v>
      </c>
      <c r="Q26" s="42">
        <f>'10) Toetsen toepassing one-off'!R31</f>
        <v>3014273.7415389908</v>
      </c>
    </row>
    <row r="28" spans="2:19" x14ac:dyDescent="0.2">
      <c r="B28" s="5" t="s">
        <v>143</v>
      </c>
    </row>
    <row r="29" spans="2:19" x14ac:dyDescent="0.2">
      <c r="B29" s="6" t="s">
        <v>504</v>
      </c>
      <c r="F29" s="6" t="s">
        <v>110</v>
      </c>
      <c r="H29" s="69">
        <f>'1) Reguleringsparameters'!H36</f>
        <v>-3.1175556579387642E-2</v>
      </c>
    </row>
    <row r="30" spans="2:19" x14ac:dyDescent="0.2">
      <c r="B30" s="6" t="s">
        <v>462</v>
      </c>
      <c r="F30" s="6" t="s">
        <v>110</v>
      </c>
      <c r="H30" s="69">
        <f>'1) Reguleringsparameters'!H26</f>
        <v>1.7999999999999999E-2</v>
      </c>
    </row>
    <row r="31" spans="2:19" s="14" customFormat="1" x14ac:dyDescent="0.2">
      <c r="H31" s="54"/>
      <c r="J31" s="6"/>
      <c r="L31" s="6"/>
    </row>
    <row r="32" spans="2:19" x14ac:dyDescent="0.2">
      <c r="B32" s="5" t="s">
        <v>145</v>
      </c>
    </row>
    <row r="33" spans="1:17" x14ac:dyDescent="0.2">
      <c r="B33" s="6" t="s">
        <v>527</v>
      </c>
      <c r="D33" s="6" t="s">
        <v>152</v>
      </c>
      <c r="F33" s="6" t="s">
        <v>147</v>
      </c>
      <c r="H33" s="42">
        <f>'8) Totale kosten AD maatstaf'!H80</f>
        <v>251258886.89483604</v>
      </c>
    </row>
    <row r="35" spans="1:17" x14ac:dyDescent="0.2">
      <c r="B35" s="5" t="s">
        <v>224</v>
      </c>
    </row>
    <row r="36" spans="1:17" x14ac:dyDescent="0.2">
      <c r="B36" s="29" t="s">
        <v>484</v>
      </c>
      <c r="F36" s="6" t="s">
        <v>271</v>
      </c>
      <c r="H36" s="42">
        <f>'1) Reguleringsparameters'!S31</f>
        <v>44361415.463671952</v>
      </c>
    </row>
    <row r="37" spans="1:17" x14ac:dyDescent="0.2">
      <c r="B37" s="29" t="s">
        <v>485</v>
      </c>
      <c r="F37" s="6" t="s">
        <v>181</v>
      </c>
      <c r="H37" s="42">
        <f>'1) Reguleringsparameters'!T31</f>
        <v>38948966.405964598</v>
      </c>
    </row>
    <row r="38" spans="1:17" x14ac:dyDescent="0.2">
      <c r="B38" s="29" t="s">
        <v>486</v>
      </c>
      <c r="F38" s="6" t="s">
        <v>182</v>
      </c>
      <c r="H38" s="42">
        <f>'1) Reguleringsparameters'!U31</f>
        <v>33877302.408410132</v>
      </c>
    </row>
    <row r="39" spans="1:17" x14ac:dyDescent="0.2">
      <c r="B39" s="29" t="s">
        <v>487</v>
      </c>
      <c r="F39" s="6" t="s">
        <v>183</v>
      </c>
      <c r="H39" s="42">
        <f>'1) Reguleringsparameters'!V31</f>
        <v>31081008.813953921</v>
      </c>
    </row>
    <row r="40" spans="1:17" x14ac:dyDescent="0.2">
      <c r="B40" s="29" t="s">
        <v>221</v>
      </c>
      <c r="F40" s="6" t="s">
        <v>184</v>
      </c>
      <c r="H40" s="42">
        <f>'1) Reguleringsparameters'!W31</f>
        <v>28775973.441877425</v>
      </c>
    </row>
    <row r="41" spans="1:17" x14ac:dyDescent="0.2">
      <c r="A41" s="53"/>
      <c r="B41" s="53"/>
      <c r="C41" s="53"/>
      <c r="D41" s="53"/>
      <c r="F41" s="53"/>
      <c r="G41" s="53"/>
      <c r="I41" s="53"/>
    </row>
    <row r="42" spans="1:17" ht="12" customHeight="1" x14ac:dyDescent="0.2">
      <c r="B42" s="5" t="s">
        <v>528</v>
      </c>
    </row>
    <row r="43" spans="1:17" x14ac:dyDescent="0.2">
      <c r="B43" s="6" t="s">
        <v>528</v>
      </c>
      <c r="F43" s="6" t="s">
        <v>147</v>
      </c>
      <c r="J43" s="42">
        <f>'8) Totale kosten AD maatstaf'!K93</f>
        <v>6836040.3665505163</v>
      </c>
      <c r="L43" s="42">
        <f>'8) Totale kosten AD maatstaf'!M93</f>
        <v>153646.14734447998</v>
      </c>
      <c r="M43" s="42">
        <f>'8) Totale kosten AD maatstaf'!N93</f>
        <v>2008871.6687829201</v>
      </c>
      <c r="N43" s="42">
        <f>'8) Totale kosten AD maatstaf'!O93</f>
        <v>3375873.8715165369</v>
      </c>
      <c r="O43" s="42">
        <f>'8) Totale kosten AD maatstaf'!P93</f>
        <v>70870.253269999987</v>
      </c>
      <c r="P43" s="42">
        <f>'8) Totale kosten AD maatstaf'!Q93</f>
        <v>1142107.8879489999</v>
      </c>
      <c r="Q43" s="42">
        <f>'8) Totale kosten AD maatstaf'!R93</f>
        <v>84670.537687580218</v>
      </c>
    </row>
    <row r="44" spans="1:17" x14ac:dyDescent="0.2">
      <c r="A44" s="53"/>
      <c r="B44" s="53"/>
      <c r="C44" s="53"/>
      <c r="D44" s="53"/>
      <c r="F44" s="53"/>
      <c r="G44" s="53"/>
      <c r="I44" s="53"/>
    </row>
    <row r="45" spans="1:17" s="13" customFormat="1" x14ac:dyDescent="0.2">
      <c r="B45" s="13" t="s">
        <v>185</v>
      </c>
    </row>
    <row r="47" spans="1:17" x14ac:dyDescent="0.2">
      <c r="B47" s="6" t="s">
        <v>538</v>
      </c>
      <c r="D47" s="6" t="s">
        <v>151</v>
      </c>
      <c r="F47" s="6" t="s">
        <v>147</v>
      </c>
      <c r="J47" s="43">
        <f>SUM(L47:Q47)</f>
        <v>240633660.96787301</v>
      </c>
      <c r="L47" s="36">
        <f>L26+L43</f>
        <v>4679651.1544273449</v>
      </c>
      <c r="M47" s="36">
        <f t="shared" ref="M47:Q47" si="0">M26+M43</f>
        <v>76093658.776000381</v>
      </c>
      <c r="N47" s="36">
        <f t="shared" si="0"/>
        <v>87000992.759851933</v>
      </c>
      <c r="O47" s="36">
        <f t="shared" si="0"/>
        <v>3357885.7072619097</v>
      </c>
      <c r="P47" s="36">
        <f t="shared" si="0"/>
        <v>66402528.291104861</v>
      </c>
      <c r="Q47" s="36">
        <f t="shared" si="0"/>
        <v>3098944.2792265709</v>
      </c>
    </row>
    <row r="49" spans="1:19" x14ac:dyDescent="0.2">
      <c r="B49" s="6" t="s">
        <v>287</v>
      </c>
      <c r="D49" s="6" t="s">
        <v>152</v>
      </c>
      <c r="F49" s="6" t="s">
        <v>184</v>
      </c>
      <c r="H49" s="47">
        <f>(H33*(1-$H$29)^5+J43)*(1+$H$30)^5</f>
        <v>327749078.74055588</v>
      </c>
      <c r="S49" s="9" t="s">
        <v>438</v>
      </c>
    </row>
    <row r="50" spans="1:19" x14ac:dyDescent="0.2">
      <c r="B50" s="6" t="s">
        <v>288</v>
      </c>
      <c r="D50" s="6" t="s">
        <v>152</v>
      </c>
      <c r="F50" s="6" t="s">
        <v>187</v>
      </c>
      <c r="H50" s="90">
        <f>H49/J23</f>
        <v>1.169001208041488</v>
      </c>
      <c r="S50" s="9" t="s">
        <v>440</v>
      </c>
    </row>
    <row r="52" spans="1:19" x14ac:dyDescent="0.2">
      <c r="B52" s="6" t="s">
        <v>186</v>
      </c>
      <c r="D52" s="6" t="s">
        <v>152</v>
      </c>
      <c r="F52" s="6" t="s">
        <v>184</v>
      </c>
      <c r="J52" s="43">
        <f>SUM(L52:Q52)</f>
        <v>309229624.6825217</v>
      </c>
      <c r="L52" s="38">
        <f t="shared" ref="L52:Q52" si="1">L22*$H$50</f>
        <v>5986266.3531466722</v>
      </c>
      <c r="M52" s="38">
        <f t="shared" si="1"/>
        <v>97987356.983905017</v>
      </c>
      <c r="N52" s="38">
        <f t="shared" si="1"/>
        <v>110605762.63078073</v>
      </c>
      <c r="O52" s="38">
        <f t="shared" si="1"/>
        <v>4347531.6495920634</v>
      </c>
      <c r="P52" s="38">
        <f t="shared" si="1"/>
        <v>86315913.977172941</v>
      </c>
      <c r="Q52" s="38">
        <f t="shared" si="1"/>
        <v>3986793.0879242229</v>
      </c>
      <c r="S52" s="6" t="s">
        <v>268</v>
      </c>
    </row>
    <row r="54" spans="1:19" x14ac:dyDescent="0.2">
      <c r="B54" s="6" t="s">
        <v>218</v>
      </c>
      <c r="F54" s="6" t="s">
        <v>109</v>
      </c>
      <c r="H54" s="68">
        <f>(1+$H$30-(J52/J47)^(1/5))</f>
        <v>-3.3441084851992375E-2</v>
      </c>
      <c r="L54" s="55"/>
      <c r="M54" s="55"/>
      <c r="N54" s="55"/>
      <c r="O54" s="55"/>
      <c r="P54" s="55"/>
      <c r="Q54" s="55"/>
    </row>
    <row r="56" spans="1:19" x14ac:dyDescent="0.2">
      <c r="B56" s="5" t="s">
        <v>370</v>
      </c>
    </row>
    <row r="57" spans="1:19" x14ac:dyDescent="0.2">
      <c r="A57" s="53"/>
      <c r="B57" s="58" t="s">
        <v>225</v>
      </c>
      <c r="C57" s="53"/>
      <c r="F57" s="58" t="s">
        <v>271</v>
      </c>
      <c r="G57" s="53"/>
      <c r="H57" s="75">
        <f>J47*(1+$H$30-H$54)</f>
        <v>253012117.53996694</v>
      </c>
      <c r="I57" s="53"/>
    </row>
    <row r="58" spans="1:19" x14ac:dyDescent="0.2">
      <c r="A58" s="53"/>
      <c r="B58" s="53" t="s">
        <v>226</v>
      </c>
      <c r="C58" s="53"/>
      <c r="F58" s="58" t="s">
        <v>181</v>
      </c>
      <c r="G58" s="53"/>
      <c r="H58" s="75">
        <f>H57*(1+$H$30-H$54)</f>
        <v>266027335.34692267</v>
      </c>
      <c r="I58" s="53"/>
    </row>
    <row r="59" spans="1:19" x14ac:dyDescent="0.2">
      <c r="A59" s="53"/>
      <c r="B59" s="53" t="s">
        <v>227</v>
      </c>
      <c r="C59" s="53"/>
      <c r="F59" s="58" t="s">
        <v>182</v>
      </c>
      <c r="G59" s="53"/>
      <c r="H59" s="75">
        <f>H58*(1+$H$30-H$54)</f>
        <v>279712070.07745314</v>
      </c>
      <c r="I59" s="53"/>
    </row>
    <row r="60" spans="1:19" x14ac:dyDescent="0.2">
      <c r="A60" s="53"/>
      <c r="B60" s="53" t="s">
        <v>228</v>
      </c>
      <c r="C60" s="53"/>
      <c r="F60" s="58" t="s">
        <v>183</v>
      </c>
      <c r="G60" s="53"/>
      <c r="H60" s="75">
        <f>H59*(1+$H$30-H$54)</f>
        <v>294100762.40843385</v>
      </c>
      <c r="I60" s="53"/>
    </row>
    <row r="61" spans="1:19" x14ac:dyDescent="0.2">
      <c r="A61" s="53"/>
      <c r="B61" s="53" t="s">
        <v>229</v>
      </c>
      <c r="C61" s="53"/>
      <c r="F61" s="58" t="s">
        <v>184</v>
      </c>
      <c r="G61" s="53"/>
      <c r="H61" s="75">
        <f>H60*(1+$H$30-H$54)</f>
        <v>309229624.68252176</v>
      </c>
      <c r="I61" s="53"/>
    </row>
    <row r="62" spans="1:19" x14ac:dyDescent="0.2">
      <c r="A62" s="53"/>
      <c r="B62" s="53"/>
      <c r="C62" s="53"/>
      <c r="F62" s="53"/>
      <c r="G62" s="53"/>
      <c r="I62" s="53"/>
    </row>
    <row r="63" spans="1:19" s="13" customFormat="1" x14ac:dyDescent="0.2">
      <c r="B63" s="13" t="s">
        <v>222</v>
      </c>
    </row>
    <row r="65" spans="1:19" x14ac:dyDescent="0.2">
      <c r="B65" s="5" t="s">
        <v>488</v>
      </c>
    </row>
    <row r="66" spans="1:19" x14ac:dyDescent="0.2">
      <c r="B66" s="6" t="s">
        <v>468</v>
      </c>
      <c r="F66" s="58" t="s">
        <v>271</v>
      </c>
      <c r="H66" s="57">
        <f>H57+H36</f>
        <v>297373533.00363886</v>
      </c>
      <c r="S66" s="9" t="s">
        <v>444</v>
      </c>
    </row>
    <row r="67" spans="1:19" x14ac:dyDescent="0.2">
      <c r="B67" s="6" t="s">
        <v>469</v>
      </c>
      <c r="F67" s="58" t="s">
        <v>181</v>
      </c>
      <c r="H67" s="57">
        <f>H58+H37</f>
        <v>304976301.75288725</v>
      </c>
      <c r="S67" s="9"/>
    </row>
    <row r="68" spans="1:19" x14ac:dyDescent="0.2">
      <c r="B68" s="6" t="s">
        <v>470</v>
      </c>
      <c r="F68" s="58" t="s">
        <v>182</v>
      </c>
      <c r="H68" s="57">
        <f>H59+H38</f>
        <v>313589372.48586327</v>
      </c>
      <c r="S68" s="9"/>
    </row>
    <row r="69" spans="1:19" x14ac:dyDescent="0.2">
      <c r="B69" s="6" t="s">
        <v>471</v>
      </c>
      <c r="F69" s="58" t="s">
        <v>183</v>
      </c>
      <c r="H69" s="57">
        <f>H60+H39</f>
        <v>325181771.22238779</v>
      </c>
      <c r="S69" s="9"/>
    </row>
    <row r="70" spans="1:19" x14ac:dyDescent="0.2">
      <c r="B70" s="6" t="s">
        <v>472</v>
      </c>
      <c r="F70" s="58" t="s">
        <v>184</v>
      </c>
      <c r="H70" s="57">
        <f>H61+H40</f>
        <v>338005598.12439919</v>
      </c>
      <c r="S70" s="9"/>
    </row>
    <row r="71" spans="1:19" x14ac:dyDescent="0.2">
      <c r="S71" s="9"/>
    </row>
    <row r="72" spans="1:19" x14ac:dyDescent="0.2">
      <c r="B72" s="6" t="s">
        <v>473</v>
      </c>
      <c r="F72" s="6" t="s">
        <v>517</v>
      </c>
      <c r="H72" s="57">
        <f>H66/H$15+H67/H$16+H68/H$17+H69/H$18+H70/H$19</f>
        <v>1472127502.2444572</v>
      </c>
      <c r="S72" s="9"/>
    </row>
    <row r="73" spans="1:19" x14ac:dyDescent="0.2">
      <c r="S73" s="9"/>
    </row>
    <row r="74" spans="1:19" x14ac:dyDescent="0.2">
      <c r="S74" s="9"/>
    </row>
    <row r="75" spans="1:19" x14ac:dyDescent="0.2">
      <c r="B75" s="6" t="s">
        <v>240</v>
      </c>
      <c r="F75" s="6" t="s">
        <v>147</v>
      </c>
      <c r="H75" s="38">
        <v>284524900.33896959</v>
      </c>
      <c r="S75" s="6" t="s">
        <v>267</v>
      </c>
    </row>
    <row r="76" spans="1:19" x14ac:dyDescent="0.2">
      <c r="B76" s="6" t="s">
        <v>241</v>
      </c>
      <c r="F76" s="6" t="s">
        <v>184</v>
      </c>
      <c r="H76" s="43">
        <f>J52+H40</f>
        <v>338005598.12439913</v>
      </c>
      <c r="S76" s="9" t="s">
        <v>445</v>
      </c>
    </row>
    <row r="77" spans="1:19" x14ac:dyDescent="0.2">
      <c r="B77" s="6" t="s">
        <v>238</v>
      </c>
      <c r="F77" s="6" t="s">
        <v>109</v>
      </c>
      <c r="H77" s="68">
        <f>(1+$H$30-(H76/H75)^(1/5))</f>
        <v>-1.7048553270571087E-2</v>
      </c>
      <c r="S77" s="9" t="s">
        <v>446</v>
      </c>
    </row>
    <row r="79" spans="1:19" x14ac:dyDescent="0.2">
      <c r="A79" s="53"/>
      <c r="B79" s="58" t="s">
        <v>231</v>
      </c>
      <c r="C79" s="53"/>
      <c r="F79" s="58" t="s">
        <v>271</v>
      </c>
      <c r="G79" s="53"/>
      <c r="H79" s="75">
        <f>H75*(1+$H$30-H$77)</f>
        <v>294497086.4653039</v>
      </c>
      <c r="I79" s="53"/>
      <c r="J79" s="114"/>
    </row>
    <row r="80" spans="1:19" x14ac:dyDescent="0.2">
      <c r="A80" s="53"/>
      <c r="B80" s="53" t="s">
        <v>232</v>
      </c>
      <c r="C80" s="53"/>
      <c r="F80" s="58" t="s">
        <v>181</v>
      </c>
      <c r="G80" s="53"/>
      <c r="H80" s="75">
        <f>H79*(1+$H$30-H$77)</f>
        <v>304818783.28831106</v>
      </c>
      <c r="I80" s="53"/>
      <c r="J80" s="114"/>
    </row>
    <row r="81" spans="1:21" x14ac:dyDescent="0.2">
      <c r="A81" s="53"/>
      <c r="B81" s="53" t="s">
        <v>233</v>
      </c>
      <c r="C81" s="53"/>
      <c r="F81" s="58" t="s">
        <v>182</v>
      </c>
      <c r="G81" s="53"/>
      <c r="H81" s="75">
        <f>H80*(1+$H$30-H$77)</f>
        <v>315502240.65226209</v>
      </c>
      <c r="I81" s="53"/>
      <c r="J81" s="114"/>
    </row>
    <row r="82" spans="1:21" x14ac:dyDescent="0.2">
      <c r="A82" s="53"/>
      <c r="B82" s="53" t="s">
        <v>234</v>
      </c>
      <c r="C82" s="53"/>
      <c r="F82" s="58" t="s">
        <v>183</v>
      </c>
      <c r="G82" s="53"/>
      <c r="H82" s="75">
        <f>H81*(1+$H$30-H$77)</f>
        <v>326560137.74074745</v>
      </c>
      <c r="I82" s="53"/>
      <c r="J82" s="114"/>
    </row>
    <row r="83" spans="1:21" x14ac:dyDescent="0.2">
      <c r="A83" s="53"/>
      <c r="B83" s="53" t="s">
        <v>235</v>
      </c>
      <c r="C83" s="53"/>
      <c r="F83" s="58" t="s">
        <v>184</v>
      </c>
      <c r="G83" s="53"/>
      <c r="H83" s="75">
        <f>H82*(1+$H$30-H$77)</f>
        <v>338005598.12439907</v>
      </c>
      <c r="I83" s="53"/>
      <c r="J83" s="114"/>
    </row>
    <row r="84" spans="1:21" x14ac:dyDescent="0.2">
      <c r="A84" s="53"/>
      <c r="B84" s="53"/>
      <c r="C84" s="53"/>
      <c r="F84" s="53"/>
      <c r="G84" s="53"/>
      <c r="I84" s="53"/>
    </row>
    <row r="85" spans="1:21" x14ac:dyDescent="0.2">
      <c r="A85" s="53"/>
      <c r="B85" s="53" t="s">
        <v>236</v>
      </c>
      <c r="C85" s="53"/>
      <c r="F85" s="6" t="s">
        <v>517</v>
      </c>
      <c r="G85" s="53"/>
      <c r="H85" s="57">
        <f>H79/H$15+H80/H$16+H81/H$17+H82/H$18+H83/H$19</f>
        <v>1472127502.2444577</v>
      </c>
      <c r="I85" s="53"/>
      <c r="S85" s="9" t="s">
        <v>447</v>
      </c>
    </row>
    <row r="86" spans="1:21" s="14" customFormat="1" x14ac:dyDescent="0.2">
      <c r="A86" s="59"/>
      <c r="B86" s="59"/>
      <c r="C86" s="59"/>
      <c r="F86" s="59"/>
      <c r="G86" s="59"/>
      <c r="H86" s="60"/>
      <c r="I86" s="59"/>
      <c r="J86" s="60"/>
    </row>
    <row r="87" spans="1:21" s="63" customFormat="1" ht="12" customHeight="1" x14ac:dyDescent="0.2">
      <c r="B87" s="63" t="s">
        <v>239</v>
      </c>
      <c r="K87" s="65"/>
      <c r="L87" s="65"/>
      <c r="M87" s="65"/>
      <c r="N87" s="65"/>
      <c r="O87" s="65"/>
      <c r="S87" s="65"/>
      <c r="U87" s="65"/>
    </row>
    <row r="88" spans="1:21" s="64" customFormat="1" ht="12" customHeight="1" x14ac:dyDescent="0.2">
      <c r="K88" s="66"/>
      <c r="L88" s="66"/>
      <c r="M88" s="66"/>
      <c r="N88" s="66"/>
      <c r="O88" s="66"/>
      <c r="S88" s="66"/>
      <c r="U88" s="66"/>
    </row>
    <row r="89" spans="1:21" s="14" customFormat="1" x14ac:dyDescent="0.2">
      <c r="A89" s="59"/>
      <c r="B89" s="61" t="s">
        <v>371</v>
      </c>
      <c r="C89" s="59"/>
      <c r="F89" s="59"/>
      <c r="G89" s="59"/>
      <c r="H89" s="60"/>
      <c r="I89" s="59"/>
      <c r="J89" s="60"/>
    </row>
    <row r="90" spans="1:21" s="14" customFormat="1" x14ac:dyDescent="0.2">
      <c r="A90" s="59"/>
      <c r="B90" s="58" t="s">
        <v>219</v>
      </c>
      <c r="C90" s="59"/>
      <c r="F90" s="6" t="s">
        <v>148</v>
      </c>
      <c r="G90" s="59"/>
      <c r="H90" s="72">
        <f>H75/J22</f>
        <v>1.0756083042031364</v>
      </c>
      <c r="I90" s="59"/>
      <c r="J90" s="60"/>
      <c r="T90" s="6"/>
    </row>
    <row r="91" spans="1:21" s="14" customFormat="1" x14ac:dyDescent="0.2">
      <c r="A91" s="59"/>
      <c r="B91" s="59"/>
      <c r="C91" s="59"/>
      <c r="F91" s="59"/>
      <c r="G91" s="59"/>
      <c r="H91" s="60"/>
      <c r="I91" s="59"/>
      <c r="J91" s="60"/>
    </row>
    <row r="92" spans="1:21" s="14" customFormat="1" x14ac:dyDescent="0.2">
      <c r="A92" s="59"/>
      <c r="B92" s="6" t="s">
        <v>247</v>
      </c>
      <c r="C92" s="59"/>
      <c r="F92" s="6" t="s">
        <v>147</v>
      </c>
      <c r="G92" s="59"/>
      <c r="I92" s="59"/>
      <c r="J92" s="36">
        <f>SUM(L92:Q92)</f>
        <v>284524900.33896959</v>
      </c>
      <c r="L92" s="36">
        <f>L22*$H$90</f>
        <v>5508016.3787032366</v>
      </c>
      <c r="M92" s="36">
        <f t="shared" ref="M92:Q92" si="2">M22*$H$90</f>
        <v>90159029.908431798</v>
      </c>
      <c r="N92" s="36">
        <f t="shared" si="2"/>
        <v>101769336.04517412</v>
      </c>
      <c r="O92" s="36">
        <f t="shared" si="2"/>
        <v>4000202.1494243168</v>
      </c>
      <c r="P92" s="36">
        <f t="shared" si="2"/>
        <v>79420032.434590772</v>
      </c>
      <c r="Q92" s="36">
        <f t="shared" si="2"/>
        <v>3668283.4226453337</v>
      </c>
    </row>
    <row r="93" spans="1:21" s="14" customFormat="1" x14ac:dyDescent="0.2">
      <c r="A93" s="59"/>
      <c r="C93" s="59"/>
      <c r="G93" s="59"/>
      <c r="H93" s="55"/>
      <c r="I93" s="59"/>
      <c r="J93" s="60"/>
      <c r="L93" s="56"/>
      <c r="M93" s="56"/>
      <c r="N93" s="56"/>
      <c r="O93" s="56"/>
      <c r="P93" s="56"/>
      <c r="Q93" s="56"/>
    </row>
    <row r="94" spans="1:21" s="14" customFormat="1" x14ac:dyDescent="0.2">
      <c r="A94" s="59"/>
      <c r="B94" s="61" t="s">
        <v>372</v>
      </c>
      <c r="C94" s="59"/>
      <c r="G94" s="59"/>
      <c r="H94" s="55"/>
      <c r="I94" s="59"/>
      <c r="J94" s="60"/>
      <c r="L94" s="56"/>
      <c r="M94" s="56"/>
      <c r="N94" s="56"/>
      <c r="O94" s="56"/>
      <c r="P94" s="56"/>
      <c r="Q94" s="56"/>
    </row>
    <row r="95" spans="1:21" s="14" customFormat="1" x14ac:dyDescent="0.2">
      <c r="A95" s="59"/>
      <c r="B95" s="58" t="s">
        <v>219</v>
      </c>
      <c r="C95" s="59"/>
      <c r="F95" s="6" t="s">
        <v>187</v>
      </c>
      <c r="G95" s="59"/>
      <c r="H95" s="72">
        <f>H76/J22</f>
        <v>1.2777849241898391</v>
      </c>
      <c r="I95" s="59"/>
      <c r="J95" s="60"/>
      <c r="L95" s="56"/>
      <c r="M95" s="56"/>
      <c r="N95" s="56"/>
      <c r="O95" s="56"/>
      <c r="P95" s="56"/>
      <c r="Q95" s="56"/>
      <c r="T95" s="6"/>
    </row>
    <row r="96" spans="1:21" s="14" customFormat="1" x14ac:dyDescent="0.2">
      <c r="A96" s="59"/>
      <c r="B96" s="59"/>
      <c r="C96" s="59"/>
      <c r="G96" s="59"/>
      <c r="H96" s="55"/>
      <c r="I96" s="59"/>
      <c r="J96" s="60"/>
      <c r="L96" s="55"/>
      <c r="M96" s="55"/>
      <c r="N96" s="55"/>
      <c r="O96" s="55"/>
      <c r="P96" s="55"/>
      <c r="Q96" s="55"/>
    </row>
    <row r="97" spans="1:19" s="14" customFormat="1" x14ac:dyDescent="0.2">
      <c r="A97" s="59"/>
      <c r="B97" s="62" t="s">
        <v>250</v>
      </c>
      <c r="C97" s="59"/>
      <c r="F97" s="6" t="s">
        <v>184</v>
      </c>
      <c r="G97" s="59"/>
      <c r="I97" s="59"/>
      <c r="J97" s="36">
        <f>SUM(L97:Q97)</f>
        <v>338005598.12439919</v>
      </c>
      <c r="L97" s="36">
        <f>L22*$H$95</f>
        <v>6543330.1912928689</v>
      </c>
      <c r="M97" s="36">
        <f t="shared" ref="M97:Q97" si="3">M22*$H$95</f>
        <v>107105764.0094399</v>
      </c>
      <c r="N97" s="36">
        <f t="shared" si="3"/>
        <v>120898400.31466901</v>
      </c>
      <c r="O97" s="36">
        <f t="shared" si="3"/>
        <v>4752099.7934586955</v>
      </c>
      <c r="P97" s="36">
        <f t="shared" si="3"/>
        <v>94348211.823049098</v>
      </c>
      <c r="Q97" s="36">
        <f t="shared" si="3"/>
        <v>4357791.992489568</v>
      </c>
      <c r="S97" s="173" t="s">
        <v>437</v>
      </c>
    </row>
    <row r="98" spans="1:19" x14ac:dyDescent="0.2">
      <c r="E98" s="14"/>
      <c r="J98" s="60"/>
    </row>
    <row r="100" spans="1:19" x14ac:dyDescent="0.2">
      <c r="B100" s="49"/>
    </row>
  </sheetData>
  <mergeCells count="1">
    <mergeCell ref="B8:E8"/>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tabColor rgb="FFCCC8D9"/>
  </sheetPr>
  <dimension ref="A2:U90"/>
  <sheetViews>
    <sheetView showGridLines="0" zoomScale="85" zoomScaleNormal="85" workbookViewId="0">
      <pane ySplit="3" topLeftCell="A4" activePane="bottomLeft" state="frozen"/>
      <selection pane="bottomLeft" activeCell="A4" sqref="A4"/>
    </sheetView>
  </sheetViews>
  <sheetFormatPr defaultRowHeight="12.75" x14ac:dyDescent="0.2"/>
  <cols>
    <col min="1" max="1" width="2.7109375" style="6" customWidth="1"/>
    <col min="2" max="2" width="19.140625" style="6" customWidth="1"/>
    <col min="3" max="3" width="2.7109375" style="6" customWidth="1"/>
    <col min="4" max="4" width="40.7109375" style="6" customWidth="1"/>
    <col min="5" max="5" width="2.7109375" style="6" customWidth="1"/>
    <col min="6" max="6" width="20.7109375" style="6" customWidth="1"/>
    <col min="7" max="7" width="2.7109375" style="6" customWidth="1"/>
    <col min="8" max="8" width="40.7109375" style="6" customWidth="1"/>
    <col min="9" max="9" width="2.7109375" style="6" customWidth="1"/>
    <col min="10" max="10" width="20.7109375" style="6" customWidth="1"/>
    <col min="11" max="11" width="2.7109375" style="6" customWidth="1"/>
    <col min="12" max="12" width="40.7109375" style="6" customWidth="1"/>
    <col min="13" max="13" width="2.7109375" style="6" customWidth="1"/>
    <col min="14" max="14" width="20.7109375" style="6" customWidth="1"/>
    <col min="15" max="15" width="4.7109375" style="6" customWidth="1"/>
    <col min="16" max="16" width="40.7109375" style="6" customWidth="1"/>
    <col min="17" max="17" width="4.7109375" style="6" customWidth="1"/>
    <col min="18" max="18" width="20.7109375" style="6" customWidth="1"/>
    <col min="19" max="19" width="2.7109375" style="6" customWidth="1"/>
    <col min="20" max="20" width="40.7109375" style="6" customWidth="1"/>
    <col min="21" max="21" width="2.7109375" style="6" customWidth="1"/>
    <col min="22" max="16384" width="9.140625" style="6"/>
  </cols>
  <sheetData>
    <row r="2" spans="1:17" s="12" customFormat="1" ht="18" x14ac:dyDescent="0.2">
      <c r="B2" s="12" t="s">
        <v>48</v>
      </c>
    </row>
    <row r="4" spans="1:17" s="13" customFormat="1" x14ac:dyDescent="0.2">
      <c r="B4" s="13" t="s">
        <v>13</v>
      </c>
    </row>
    <row r="5" spans="1:17" x14ac:dyDescent="0.2">
      <c r="A5" s="14"/>
    </row>
    <row r="6" spans="1:17" ht="53.25" customHeight="1" x14ac:dyDescent="0.2">
      <c r="B6" s="187" t="s">
        <v>286</v>
      </c>
      <c r="C6" s="187"/>
      <c r="D6" s="187"/>
      <c r="E6" s="187"/>
      <c r="F6" s="187"/>
      <c r="G6" s="187"/>
    </row>
    <row r="7" spans="1:17" x14ac:dyDescent="0.2">
      <c r="H7" s="37"/>
    </row>
    <row r="9" spans="1:17" s="13" customFormat="1" x14ac:dyDescent="0.2">
      <c r="B9" s="13" t="s">
        <v>272</v>
      </c>
    </row>
    <row r="10" spans="1:17" x14ac:dyDescent="0.2">
      <c r="F10" s="93"/>
    </row>
    <row r="11" spans="1:17" x14ac:dyDescent="0.2">
      <c r="F11" s="93"/>
    </row>
    <row r="12" spans="1:17" x14ac:dyDescent="0.2">
      <c r="C12" s="94"/>
      <c r="D12" s="95"/>
      <c r="E12" s="96"/>
      <c r="G12" s="94"/>
      <c r="H12" s="95"/>
      <c r="I12" s="96"/>
      <c r="K12" s="94"/>
      <c r="L12" s="95"/>
      <c r="M12" s="96"/>
      <c r="O12" s="94"/>
      <c r="P12" s="95"/>
      <c r="Q12" s="96"/>
    </row>
    <row r="13" spans="1:17" x14ac:dyDescent="0.2">
      <c r="C13" s="97"/>
      <c r="D13" s="98" t="s">
        <v>273</v>
      </c>
      <c r="E13" s="99"/>
      <c r="G13" s="97"/>
      <c r="H13" s="100" t="s">
        <v>274</v>
      </c>
      <c r="I13" s="99"/>
      <c r="K13" s="97"/>
      <c r="L13" s="101" t="s">
        <v>275</v>
      </c>
      <c r="M13" s="99"/>
      <c r="O13" s="97"/>
      <c r="P13" s="100" t="s">
        <v>276</v>
      </c>
      <c r="Q13" s="99"/>
    </row>
    <row r="14" spans="1:17" x14ac:dyDescent="0.2">
      <c r="C14" s="102"/>
      <c r="D14" s="103"/>
      <c r="E14" s="104"/>
      <c r="G14" s="102"/>
      <c r="H14" s="103"/>
      <c r="I14" s="104"/>
      <c r="K14" s="102"/>
      <c r="L14" s="103"/>
      <c r="M14" s="104"/>
      <c r="O14" s="102"/>
      <c r="P14" s="103"/>
      <c r="Q14" s="104"/>
    </row>
    <row r="15" spans="1:17" x14ac:dyDescent="0.2">
      <c r="C15" s="105"/>
      <c r="D15" s="105"/>
      <c r="E15" s="105"/>
      <c r="G15" s="105"/>
      <c r="H15" s="105"/>
      <c r="I15" s="105"/>
    </row>
    <row r="16" spans="1:17" x14ac:dyDescent="0.2">
      <c r="C16" s="105"/>
      <c r="D16" s="105"/>
      <c r="E16" s="105"/>
      <c r="G16" s="105"/>
      <c r="H16" s="105"/>
      <c r="I16" s="105"/>
    </row>
    <row r="17" spans="1:20" x14ac:dyDescent="0.2">
      <c r="C17" s="105"/>
      <c r="D17" s="105"/>
      <c r="E17" s="105"/>
      <c r="G17" s="105"/>
      <c r="H17" s="105"/>
      <c r="I17" s="105"/>
      <c r="K17" s="94"/>
      <c r="L17" s="95"/>
      <c r="M17" s="96"/>
      <c r="O17" s="94"/>
      <c r="P17" s="95"/>
      <c r="Q17" s="96"/>
    </row>
    <row r="18" spans="1:20" x14ac:dyDescent="0.2">
      <c r="C18" s="105"/>
      <c r="D18" s="105"/>
      <c r="E18" s="105"/>
      <c r="G18" s="105"/>
      <c r="H18" s="105"/>
      <c r="I18" s="105"/>
      <c r="K18" s="97"/>
      <c r="L18" s="100" t="s">
        <v>331</v>
      </c>
      <c r="M18" s="99"/>
      <c r="O18" s="97"/>
      <c r="P18" s="100" t="s">
        <v>277</v>
      </c>
      <c r="Q18" s="99"/>
    </row>
    <row r="19" spans="1:20" x14ac:dyDescent="0.2">
      <c r="C19" s="105"/>
      <c r="D19" s="105"/>
      <c r="E19" s="105"/>
      <c r="G19" s="105"/>
      <c r="H19" s="105"/>
      <c r="I19" s="105"/>
      <c r="K19" s="102"/>
      <c r="L19" s="103"/>
      <c r="M19" s="104"/>
      <c r="O19" s="102"/>
      <c r="P19" s="103"/>
      <c r="Q19" s="104"/>
    </row>
    <row r="20" spans="1:20" x14ac:dyDescent="0.2">
      <c r="C20" s="105"/>
      <c r="D20" s="105"/>
      <c r="E20" s="105"/>
      <c r="G20" s="105"/>
      <c r="H20" s="105"/>
      <c r="I20" s="105"/>
    </row>
    <row r="21" spans="1:20" x14ac:dyDescent="0.2">
      <c r="C21" s="105"/>
      <c r="D21" s="105"/>
      <c r="E21" s="105"/>
      <c r="G21" s="105"/>
      <c r="H21" s="105"/>
      <c r="I21" s="105"/>
    </row>
    <row r="22" spans="1:20" s="13" customFormat="1" x14ac:dyDescent="0.2">
      <c r="B22" s="13" t="s">
        <v>55</v>
      </c>
    </row>
    <row r="23" spans="1:20" x14ac:dyDescent="0.2">
      <c r="A23" s="14"/>
    </row>
    <row r="24" spans="1:20" x14ac:dyDescent="0.2">
      <c r="A24" s="14"/>
      <c r="B24" s="6" t="s">
        <v>278</v>
      </c>
    </row>
    <row r="25" spans="1:20" x14ac:dyDescent="0.2">
      <c r="A25" s="14"/>
    </row>
    <row r="26" spans="1:20" x14ac:dyDescent="0.2">
      <c r="A26" s="14"/>
      <c r="D26" s="106" t="s">
        <v>279</v>
      </c>
      <c r="H26" s="106" t="s">
        <v>280</v>
      </c>
      <c r="P26" s="106"/>
      <c r="T26" s="5" t="s">
        <v>285</v>
      </c>
    </row>
    <row r="27" spans="1:20" x14ac:dyDescent="0.2">
      <c r="A27" s="14"/>
      <c r="D27" s="106"/>
      <c r="H27" s="106"/>
      <c r="P27" s="106"/>
    </row>
    <row r="28" spans="1:20" x14ac:dyDescent="0.2">
      <c r="A28" s="14"/>
      <c r="C28" s="94"/>
      <c r="D28" s="95"/>
      <c r="E28" s="96"/>
      <c r="G28" s="94"/>
      <c r="H28" s="95"/>
      <c r="I28" s="96"/>
      <c r="P28" s="106"/>
    </row>
    <row r="29" spans="1:20" x14ac:dyDescent="0.2">
      <c r="A29" s="14"/>
      <c r="C29" s="97"/>
      <c r="D29" s="98" t="s">
        <v>281</v>
      </c>
      <c r="E29" s="99"/>
      <c r="G29" s="97"/>
      <c r="H29" s="100" t="s">
        <v>332</v>
      </c>
      <c r="I29" s="99"/>
      <c r="P29" s="106"/>
    </row>
    <row r="30" spans="1:20" x14ac:dyDescent="0.2">
      <c r="A30" s="14"/>
      <c r="C30" s="102"/>
      <c r="D30" s="103"/>
      <c r="E30" s="104"/>
      <c r="G30" s="102"/>
      <c r="H30" s="103"/>
      <c r="I30" s="104"/>
      <c r="P30" s="106"/>
    </row>
    <row r="31" spans="1:20" x14ac:dyDescent="0.2">
      <c r="A31" s="14"/>
      <c r="D31" s="106"/>
    </row>
    <row r="32" spans="1:20" x14ac:dyDescent="0.2">
      <c r="A32" s="14"/>
      <c r="D32" s="106"/>
    </row>
    <row r="33" spans="1:21" x14ac:dyDescent="0.2">
      <c r="A33" s="14"/>
      <c r="C33" s="94"/>
      <c r="D33" s="95"/>
      <c r="E33" s="96"/>
      <c r="G33" s="94"/>
      <c r="H33" s="95"/>
      <c r="I33" s="96"/>
    </row>
    <row r="34" spans="1:21" x14ac:dyDescent="0.2">
      <c r="A34" s="14"/>
      <c r="C34" s="97"/>
      <c r="D34" s="98" t="s">
        <v>283</v>
      </c>
      <c r="E34" s="99"/>
      <c r="G34" s="97"/>
      <c r="H34" s="100" t="s">
        <v>284</v>
      </c>
      <c r="I34" s="99"/>
    </row>
    <row r="35" spans="1:21" x14ac:dyDescent="0.2">
      <c r="A35" s="14"/>
      <c r="C35" s="102"/>
      <c r="D35" s="103"/>
      <c r="E35" s="104"/>
      <c r="G35" s="102"/>
      <c r="H35" s="103"/>
      <c r="I35" s="104"/>
    </row>
    <row r="36" spans="1:21" x14ac:dyDescent="0.2">
      <c r="A36" s="14"/>
      <c r="C36" s="105"/>
      <c r="D36" s="105"/>
      <c r="E36" s="105"/>
    </row>
    <row r="37" spans="1:21" x14ac:dyDescent="0.2">
      <c r="A37" s="14"/>
      <c r="C37" s="105"/>
      <c r="D37" s="105"/>
      <c r="E37" s="105"/>
    </row>
    <row r="38" spans="1:21" x14ac:dyDescent="0.2">
      <c r="A38" s="14"/>
      <c r="G38" s="94"/>
      <c r="H38" s="95"/>
      <c r="I38" s="96"/>
    </row>
    <row r="39" spans="1:21" x14ac:dyDescent="0.2">
      <c r="A39" s="14"/>
      <c r="G39" s="97"/>
      <c r="H39" s="100" t="s">
        <v>333</v>
      </c>
      <c r="I39" s="99"/>
    </row>
    <row r="40" spans="1:21" x14ac:dyDescent="0.2">
      <c r="A40" s="14"/>
      <c r="G40" s="102"/>
      <c r="H40" s="103"/>
      <c r="I40" s="104"/>
    </row>
    <row r="41" spans="1:21" x14ac:dyDescent="0.2">
      <c r="A41" s="14"/>
      <c r="G41" s="105"/>
      <c r="H41" s="105"/>
      <c r="I41" s="105"/>
    </row>
    <row r="42" spans="1:21" x14ac:dyDescent="0.2">
      <c r="A42" s="14"/>
      <c r="C42" s="105"/>
      <c r="D42" s="105"/>
      <c r="E42" s="105"/>
      <c r="G42" s="105"/>
      <c r="H42" s="105"/>
      <c r="I42" s="105"/>
    </row>
    <row r="43" spans="1:21" x14ac:dyDescent="0.2">
      <c r="A43" s="14"/>
      <c r="C43" s="94"/>
      <c r="D43" s="95"/>
      <c r="E43" s="96"/>
      <c r="G43" s="94"/>
      <c r="H43" s="95"/>
      <c r="I43" s="96"/>
      <c r="K43" s="94"/>
      <c r="L43" s="95"/>
      <c r="M43" s="96"/>
      <c r="O43" s="94"/>
      <c r="P43" s="95"/>
      <c r="Q43" s="96"/>
      <c r="S43" s="94"/>
      <c r="T43" s="95"/>
      <c r="U43" s="96"/>
    </row>
    <row r="44" spans="1:21" x14ac:dyDescent="0.2">
      <c r="A44" s="14"/>
      <c r="C44" s="97"/>
      <c r="D44" s="98" t="s">
        <v>282</v>
      </c>
      <c r="E44" s="99"/>
      <c r="G44" s="97"/>
      <c r="H44" s="100" t="s">
        <v>334</v>
      </c>
      <c r="I44" s="99"/>
      <c r="K44" s="97"/>
      <c r="L44" s="100" t="s">
        <v>335</v>
      </c>
      <c r="M44" s="99"/>
      <c r="O44" s="97"/>
      <c r="P44" s="100" t="s">
        <v>336</v>
      </c>
      <c r="Q44" s="99"/>
      <c r="S44" s="97"/>
      <c r="T44" s="112" t="s">
        <v>30</v>
      </c>
      <c r="U44" s="99"/>
    </row>
    <row r="45" spans="1:21" x14ac:dyDescent="0.2">
      <c r="A45" s="14"/>
      <c r="C45" s="102"/>
      <c r="D45" s="103"/>
      <c r="E45" s="104"/>
      <c r="G45" s="102"/>
      <c r="H45" s="103"/>
      <c r="I45" s="104"/>
      <c r="K45" s="102"/>
      <c r="L45" s="103"/>
      <c r="M45" s="104"/>
      <c r="O45" s="102"/>
      <c r="P45" s="103"/>
      <c r="Q45" s="104"/>
      <c r="S45" s="102"/>
      <c r="T45" s="103"/>
      <c r="U45" s="104"/>
    </row>
    <row r="46" spans="1:21" x14ac:dyDescent="0.2">
      <c r="A46" s="14"/>
    </row>
    <row r="47" spans="1:21" x14ac:dyDescent="0.2">
      <c r="A47" s="14"/>
      <c r="C47" s="105"/>
      <c r="D47" s="105"/>
      <c r="E47" s="105"/>
    </row>
    <row r="48" spans="1:21" x14ac:dyDescent="0.2">
      <c r="A48" s="14"/>
      <c r="C48" s="105"/>
      <c r="D48" s="105"/>
      <c r="E48" s="105"/>
      <c r="G48" s="94"/>
      <c r="H48" s="95"/>
      <c r="I48" s="96"/>
      <c r="O48" s="94"/>
      <c r="P48" s="95"/>
      <c r="Q48" s="96"/>
    </row>
    <row r="49" spans="1:17" x14ac:dyDescent="0.2">
      <c r="A49" s="14"/>
      <c r="G49" s="97"/>
      <c r="H49" s="100" t="s">
        <v>337</v>
      </c>
      <c r="I49" s="99"/>
      <c r="O49" s="97"/>
      <c r="P49" s="100" t="s">
        <v>338</v>
      </c>
      <c r="Q49" s="99"/>
    </row>
    <row r="50" spans="1:17" x14ac:dyDescent="0.2">
      <c r="A50" s="14"/>
      <c r="G50" s="102"/>
      <c r="H50" s="103"/>
      <c r="I50" s="104"/>
      <c r="O50" s="102"/>
      <c r="P50" s="103"/>
      <c r="Q50" s="104"/>
    </row>
    <row r="51" spans="1:17" x14ac:dyDescent="0.2">
      <c r="A51" s="14"/>
    </row>
    <row r="52" spans="1:17" x14ac:dyDescent="0.2">
      <c r="A52" s="14"/>
    </row>
    <row r="53" spans="1:17" x14ac:dyDescent="0.2">
      <c r="A53" s="14"/>
      <c r="G53" s="94"/>
      <c r="H53" s="95"/>
      <c r="I53" s="96"/>
    </row>
    <row r="54" spans="1:17" x14ac:dyDescent="0.2">
      <c r="A54" s="14"/>
      <c r="G54" s="97"/>
      <c r="H54" s="107" t="s">
        <v>339</v>
      </c>
      <c r="I54" s="99"/>
    </row>
    <row r="55" spans="1:17" x14ac:dyDescent="0.2">
      <c r="A55" s="14"/>
      <c r="G55" s="102"/>
      <c r="H55" s="103"/>
      <c r="I55" s="104"/>
    </row>
    <row r="56" spans="1:17" x14ac:dyDescent="0.2">
      <c r="A56" s="14"/>
    </row>
    <row r="57" spans="1:17" x14ac:dyDescent="0.2">
      <c r="A57" s="14"/>
    </row>
    <row r="58" spans="1:17" x14ac:dyDescent="0.2">
      <c r="A58" s="14"/>
      <c r="C58" s="105"/>
      <c r="D58" s="105"/>
      <c r="E58" s="105"/>
      <c r="G58" s="105"/>
      <c r="H58" s="105"/>
      <c r="I58" s="105"/>
    </row>
    <row r="59" spans="1:17" x14ac:dyDescent="0.2">
      <c r="A59" s="14"/>
    </row>
    <row r="60" spans="1:17" s="13" customFormat="1" x14ac:dyDescent="0.2">
      <c r="B60" s="13" t="s">
        <v>14</v>
      </c>
    </row>
    <row r="61" spans="1:17" x14ac:dyDescent="0.2">
      <c r="C61" s="14"/>
    </row>
    <row r="62" spans="1:17" x14ac:dyDescent="0.2">
      <c r="B62" s="33" t="s">
        <v>36</v>
      </c>
      <c r="C62" s="14"/>
      <c r="D62" s="33" t="s">
        <v>15</v>
      </c>
      <c r="F62" s="18"/>
    </row>
    <row r="63" spans="1:17" x14ac:dyDescent="0.2">
      <c r="C63" s="14"/>
    </row>
    <row r="64" spans="1:17" x14ac:dyDescent="0.2">
      <c r="B64" s="39">
        <v>123</v>
      </c>
      <c r="C64" s="14"/>
      <c r="D64" s="29" t="s">
        <v>65</v>
      </c>
    </row>
    <row r="65" spans="2:9" x14ac:dyDescent="0.2">
      <c r="B65" s="42">
        <f>B64</f>
        <v>123</v>
      </c>
      <c r="C65" s="14"/>
      <c r="D65" s="6" t="s">
        <v>16</v>
      </c>
    </row>
    <row r="66" spans="2:9" x14ac:dyDescent="0.2">
      <c r="B66" s="43">
        <f>B65+B64</f>
        <v>246</v>
      </c>
      <c r="C66" s="14"/>
      <c r="D66" s="6" t="s">
        <v>17</v>
      </c>
    </row>
    <row r="67" spans="2:9" x14ac:dyDescent="0.2">
      <c r="B67" s="36">
        <f>B65+B66</f>
        <v>369</v>
      </c>
      <c r="C67" s="14"/>
      <c r="D67" s="29" t="s">
        <v>66</v>
      </c>
      <c r="E67" s="18"/>
      <c r="F67" s="10"/>
      <c r="G67" s="18"/>
      <c r="I67" s="18"/>
    </row>
    <row r="68" spans="2:9" x14ac:dyDescent="0.2">
      <c r="B68" s="19"/>
      <c r="C68" s="14"/>
      <c r="D68" s="29" t="s">
        <v>18</v>
      </c>
      <c r="E68" s="18"/>
      <c r="G68" s="18"/>
      <c r="I68" s="18"/>
    </row>
    <row r="69" spans="2:9" x14ac:dyDescent="0.2">
      <c r="B69" s="14"/>
      <c r="C69" s="14"/>
    </row>
    <row r="70" spans="2:9" x14ac:dyDescent="0.2">
      <c r="B70" s="34" t="s">
        <v>19</v>
      </c>
      <c r="C70" s="14"/>
    </row>
    <row r="71" spans="2:9" x14ac:dyDescent="0.2">
      <c r="B71" s="38">
        <f>B67+16</f>
        <v>385</v>
      </c>
      <c r="C71" s="14"/>
      <c r="D71" s="6" t="s">
        <v>67</v>
      </c>
    </row>
    <row r="72" spans="2:9" x14ac:dyDescent="0.2">
      <c r="B72" s="1">
        <f>B65*PI()</f>
        <v>386.41589639154455</v>
      </c>
      <c r="C72" s="21"/>
      <c r="D72" s="6" t="s">
        <v>20</v>
      </c>
    </row>
    <row r="73" spans="2:9" x14ac:dyDescent="0.2">
      <c r="B73" s="21"/>
      <c r="C73" s="21"/>
    </row>
    <row r="74" spans="2:9" x14ac:dyDescent="0.2">
      <c r="B74" s="34" t="s">
        <v>21</v>
      </c>
      <c r="C74" s="22"/>
    </row>
    <row r="75" spans="2:9" x14ac:dyDescent="0.2">
      <c r="B75" s="108">
        <v>123</v>
      </c>
      <c r="C75" s="22"/>
      <c r="D75" s="29" t="s">
        <v>68</v>
      </c>
    </row>
    <row r="76" spans="2:9" x14ac:dyDescent="0.2">
      <c r="B76" s="109">
        <v>124</v>
      </c>
      <c r="C76" s="22"/>
      <c r="D76" s="29" t="s">
        <v>70</v>
      </c>
    </row>
    <row r="77" spans="2:9" x14ac:dyDescent="0.2">
      <c r="B77" s="2">
        <f>B75-B76</f>
        <v>-1</v>
      </c>
      <c r="C77" s="23"/>
      <c r="D77" s="6" t="s">
        <v>54</v>
      </c>
    </row>
    <row r="80" spans="2:9" x14ac:dyDescent="0.2">
      <c r="B80" s="33" t="s">
        <v>31</v>
      </c>
    </row>
    <row r="81" spans="2:4" x14ac:dyDescent="0.2">
      <c r="B81" s="5"/>
    </row>
    <row r="82" spans="2:4" x14ac:dyDescent="0.2">
      <c r="B82" s="34" t="s">
        <v>37</v>
      </c>
    </row>
    <row r="83" spans="2:4" x14ac:dyDescent="0.2">
      <c r="B83" s="110" t="s">
        <v>30</v>
      </c>
      <c r="C83" s="14"/>
      <c r="D83" s="29" t="s">
        <v>40</v>
      </c>
    </row>
    <row r="84" spans="2:4" x14ac:dyDescent="0.2">
      <c r="B84" s="39" t="s">
        <v>28</v>
      </c>
      <c r="C84" s="14"/>
      <c r="D84" s="29" t="s">
        <v>32</v>
      </c>
    </row>
    <row r="85" spans="2:4" x14ac:dyDescent="0.2">
      <c r="B85" s="111" t="s">
        <v>29</v>
      </c>
      <c r="C85" s="14"/>
      <c r="D85" s="29" t="s">
        <v>33</v>
      </c>
    </row>
    <row r="86" spans="2:4" x14ac:dyDescent="0.2">
      <c r="B86" s="20" t="s">
        <v>29</v>
      </c>
      <c r="C86" s="14"/>
      <c r="D86" s="29" t="s">
        <v>35</v>
      </c>
    </row>
    <row r="87" spans="2:4" x14ac:dyDescent="0.2">
      <c r="C87" s="14"/>
      <c r="D87" s="29"/>
    </row>
    <row r="88" spans="2:4" x14ac:dyDescent="0.2">
      <c r="B88" s="34" t="s">
        <v>39</v>
      </c>
      <c r="C88" s="14"/>
      <c r="D88" s="29"/>
    </row>
    <row r="89" spans="2:4" x14ac:dyDescent="0.2">
      <c r="B89" s="28" t="s">
        <v>34</v>
      </c>
      <c r="C89" s="14"/>
      <c r="D89" s="29" t="s">
        <v>41</v>
      </c>
    </row>
    <row r="90" spans="2:4" x14ac:dyDescent="0.2">
      <c r="B90" s="3" t="s">
        <v>38</v>
      </c>
      <c r="D90" s="29" t="s">
        <v>69</v>
      </c>
    </row>
  </sheetData>
  <mergeCells count="1">
    <mergeCell ref="B6:G6"/>
  </mergeCells>
  <pageMargins left="0.75" right="0.75" top="1" bottom="1" header="0.5" footer="0.5"/>
  <pageSetup paperSize="9" orientation="portrait"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
    <tabColor rgb="FFFFFFCC"/>
  </sheetPr>
  <dimension ref="A2:V49"/>
  <sheetViews>
    <sheetView showGridLines="0" zoomScale="85" zoomScaleNormal="85" workbookViewId="0">
      <pane xSplit="6" ySplit="8" topLeftCell="G9" activePane="bottomRight" state="frozen"/>
      <selection pane="topRight" activeCell="G1" sqref="G1"/>
      <selection pane="bottomLeft" activeCell="A11" sqref="A11"/>
      <selection pane="bottomRight" activeCell="G9" sqref="G9"/>
    </sheetView>
  </sheetViews>
  <sheetFormatPr defaultRowHeight="12.75" x14ac:dyDescent="0.2"/>
  <cols>
    <col min="1" max="1" width="2.7109375" style="6" customWidth="1"/>
    <col min="2" max="2" width="94.7109375" style="6" customWidth="1"/>
    <col min="3" max="3" width="2.7109375" style="6" customWidth="1"/>
    <col min="4" max="4" width="18.42578125" style="6" customWidth="1"/>
    <col min="5" max="5" width="2.7109375" style="6" customWidth="1"/>
    <col min="6" max="6" width="14.5703125" style="6" bestFit="1" customWidth="1"/>
    <col min="7" max="7" width="2.7109375" style="6" customWidth="1"/>
    <col min="8" max="8" width="19.5703125" style="6" bestFit="1" customWidth="1"/>
    <col min="9" max="10" width="5.42578125" style="6" customWidth="1"/>
    <col min="11" max="11" width="19.5703125" style="6" customWidth="1"/>
    <col min="12" max="12" width="3.85546875" style="6" customWidth="1"/>
    <col min="13" max="18" width="12.5703125" style="6" customWidth="1"/>
    <col min="19" max="19" width="2.7109375" style="6" customWidth="1"/>
    <col min="20" max="34" width="13.7109375" style="6" customWidth="1"/>
    <col min="35" max="16384" width="9.140625" style="6"/>
  </cols>
  <sheetData>
    <row r="2" spans="2:20" s="26" customFormat="1" ht="18" x14ac:dyDescent="0.2">
      <c r="B2" s="26" t="s">
        <v>516</v>
      </c>
    </row>
    <row r="4" spans="2:20" x14ac:dyDescent="0.2">
      <c r="B4" s="33" t="s">
        <v>53</v>
      </c>
    </row>
    <row r="5" spans="2:20" x14ac:dyDescent="0.2">
      <c r="B5" s="29" t="s">
        <v>383</v>
      </c>
      <c r="D5" s="27"/>
    </row>
    <row r="6" spans="2:20" x14ac:dyDescent="0.2">
      <c r="B6" s="29"/>
      <c r="D6" s="27"/>
    </row>
    <row r="8" spans="2:20" s="13" customFormat="1" x14ac:dyDescent="0.2">
      <c r="B8" s="13" t="s">
        <v>42</v>
      </c>
      <c r="D8" s="13" t="s">
        <v>71</v>
      </c>
      <c r="F8" s="13" t="s">
        <v>25</v>
      </c>
      <c r="H8" s="13" t="s">
        <v>302</v>
      </c>
      <c r="K8" s="13" t="s">
        <v>303</v>
      </c>
      <c r="M8" s="13" t="s">
        <v>72</v>
      </c>
      <c r="N8" s="13" t="s">
        <v>73</v>
      </c>
      <c r="O8" s="13" t="s">
        <v>74</v>
      </c>
      <c r="P8" s="13" t="s">
        <v>75</v>
      </c>
      <c r="Q8" s="13" t="s">
        <v>76</v>
      </c>
      <c r="R8" s="13" t="s">
        <v>77</v>
      </c>
      <c r="T8" s="13" t="s">
        <v>43</v>
      </c>
    </row>
    <row r="10" spans="2:20" s="13" customFormat="1" x14ac:dyDescent="0.2">
      <c r="B10" s="13" t="s">
        <v>146</v>
      </c>
    </row>
    <row r="12" spans="2:20" x14ac:dyDescent="0.2">
      <c r="B12" s="33" t="s">
        <v>106</v>
      </c>
    </row>
    <row r="13" spans="2:20" x14ac:dyDescent="0.2">
      <c r="B13" s="6" t="s">
        <v>369</v>
      </c>
      <c r="F13" s="6" t="s">
        <v>109</v>
      </c>
      <c r="K13" s="42">
        <f>'3)  SO, BI &amp; PV'!K12</f>
        <v>829798182.34168494</v>
      </c>
      <c r="M13" s="42">
        <f>'3)  SO, BI &amp; PV'!M12</f>
        <v>16401680.494385676</v>
      </c>
      <c r="N13" s="42">
        <f>'3)  SO, BI &amp; PV'!N12</f>
        <v>266533758.56356135</v>
      </c>
      <c r="O13" s="42">
        <f>'3)  SO, BI &amp; PV'!O12</f>
        <v>285455588.10709691</v>
      </c>
      <c r="P13" s="42">
        <f>'3)  SO, BI &amp; PV'!P12</f>
        <v>12040239.024494292</v>
      </c>
      <c r="Q13" s="42">
        <f>'3)  SO, BI &amp; PV'!Q12</f>
        <v>235138144.63941851</v>
      </c>
      <c r="R13" s="42">
        <f>'3)  SO, BI &amp; PV'!R12</f>
        <v>14228771.512728186</v>
      </c>
      <c r="T13" s="9"/>
    </row>
    <row r="14" spans="2:20" x14ac:dyDescent="0.2">
      <c r="B14" s="6" t="s">
        <v>261</v>
      </c>
      <c r="F14" s="6" t="s">
        <v>109</v>
      </c>
      <c r="K14" s="42">
        <f>'3)  SO, BI &amp; PV'!K28</f>
        <v>264524640.82615989</v>
      </c>
      <c r="M14" s="42">
        <f>'3)  SO, BI &amp; PV'!M28</f>
        <v>5120838.4661773751</v>
      </c>
      <c r="N14" s="42">
        <f>'3)  SO, BI &amp; PV'!N28</f>
        <v>83821433.468037471</v>
      </c>
      <c r="O14" s="42">
        <f>'3)  SO, BI &amp; PV'!O28</f>
        <v>94615610.206328645</v>
      </c>
      <c r="P14" s="42">
        <f>'3)  SO, BI &amp; PV'!P28</f>
        <v>3719013.8211027142</v>
      </c>
      <c r="Q14" s="42">
        <f>'3)  SO, BI &amp; PV'!Q28</f>
        <v>73837318.031333953</v>
      </c>
      <c r="R14" s="42">
        <f>'3)  SO, BI &amp; PV'!R28</f>
        <v>3410426.8331797407</v>
      </c>
    </row>
    <row r="15" spans="2:20" s="14" customFormat="1" x14ac:dyDescent="0.2">
      <c r="K15" s="55"/>
      <c r="M15" s="54"/>
      <c r="N15" s="54"/>
      <c r="O15" s="54"/>
      <c r="P15" s="54"/>
      <c r="Q15" s="54"/>
      <c r="R15" s="54"/>
    </row>
    <row r="16" spans="2:20" x14ac:dyDescent="0.2">
      <c r="B16" s="33" t="s">
        <v>78</v>
      </c>
    </row>
    <row r="17" spans="1:20" x14ac:dyDescent="0.2">
      <c r="B17" s="6" t="s">
        <v>307</v>
      </c>
      <c r="F17" s="6" t="s">
        <v>147</v>
      </c>
      <c r="K17" s="42">
        <f>'11) BI &amp; EI TD'!J98</f>
        <v>888260407.80167758</v>
      </c>
      <c r="M17" s="42">
        <f>'11) BI &amp; EI TD'!L98</f>
        <v>17509659.581804149</v>
      </c>
      <c r="N17" s="42">
        <f>'11) BI &amp; EI TD'!M98</f>
        <v>285208457.58122259</v>
      </c>
      <c r="O17" s="42">
        <f>'11) BI &amp; EI TD'!N98</f>
        <v>305251081.66104859</v>
      </c>
      <c r="P17" s="42">
        <f>'11) BI &amp; EI TD'!O98</f>
        <v>12863116.073261615</v>
      </c>
      <c r="Q17" s="42">
        <f>'11) BI &amp; EI TD'!P98</f>
        <v>251539922.51591069</v>
      </c>
      <c r="R17" s="42">
        <f>'11) BI &amp; EI TD'!Q98</f>
        <v>15888170.388429981</v>
      </c>
    </row>
    <row r="18" spans="1:20" x14ac:dyDescent="0.2">
      <c r="B18" s="6" t="s">
        <v>248</v>
      </c>
      <c r="F18" s="6" t="s">
        <v>184</v>
      </c>
      <c r="K18" s="42">
        <f>'11) BI &amp; EI TD'!J105</f>
        <v>859426929.27288222</v>
      </c>
      <c r="M18" s="42">
        <f>'11) BI &amp; EI TD'!L105</f>
        <v>16935960.356919076</v>
      </c>
      <c r="N18" s="42">
        <f>'11) BI &amp; EI TD'!M105</f>
        <v>275938826.4471187</v>
      </c>
      <c r="O18" s="42">
        <f>'11) BI &amp; EI TD'!N105</f>
        <v>295307092.08325708</v>
      </c>
      <c r="P18" s="42">
        <f>'11) BI &amp; EI TD'!O105</f>
        <v>12442728.574689055</v>
      </c>
      <c r="Q18" s="42">
        <f>'11) BI &amp; EI TD'!P105</f>
        <v>243356366.79163417</v>
      </c>
      <c r="R18" s="42">
        <f>'11) BI &amp; EI TD'!Q105</f>
        <v>15445955.019264191</v>
      </c>
      <c r="T18" s="9"/>
    </row>
    <row r="20" spans="1:20" x14ac:dyDescent="0.2">
      <c r="B20" s="33" t="s">
        <v>105</v>
      </c>
    </row>
    <row r="21" spans="1:20" x14ac:dyDescent="0.2">
      <c r="B21" s="6" t="s">
        <v>307</v>
      </c>
      <c r="F21" s="6" t="s">
        <v>147</v>
      </c>
      <c r="K21" s="42">
        <f>'12) BI &amp; EI AD'!J92</f>
        <v>284524900.33896959</v>
      </c>
      <c r="M21" s="42">
        <f>'12) BI &amp; EI AD'!L92</f>
        <v>5508016.3787032366</v>
      </c>
      <c r="N21" s="42">
        <f>'12) BI &amp; EI AD'!M92</f>
        <v>90159029.908431798</v>
      </c>
      <c r="O21" s="42">
        <f>'12) BI &amp; EI AD'!N92</f>
        <v>101769336.04517412</v>
      </c>
      <c r="P21" s="42">
        <f>'12) BI &amp; EI AD'!O92</f>
        <v>4000202.1494243168</v>
      </c>
      <c r="Q21" s="42">
        <f>'12) BI &amp; EI AD'!P92</f>
        <v>79420032.434590772</v>
      </c>
      <c r="R21" s="42">
        <f>'12) BI &amp; EI AD'!Q92</f>
        <v>3668283.4226453337</v>
      </c>
    </row>
    <row r="22" spans="1:20" x14ac:dyDescent="0.2">
      <c r="B22" s="6" t="s">
        <v>248</v>
      </c>
      <c r="F22" s="6" t="s">
        <v>184</v>
      </c>
      <c r="K22" s="42">
        <f>'12) BI &amp; EI AD'!J97</f>
        <v>338005598.12439919</v>
      </c>
      <c r="M22" s="42">
        <f>'12) BI &amp; EI AD'!L97</f>
        <v>6543330.1912928689</v>
      </c>
      <c r="N22" s="42">
        <f>'12) BI &amp; EI AD'!M97</f>
        <v>107105764.0094399</v>
      </c>
      <c r="O22" s="42">
        <f>'12) BI &amp; EI AD'!N97</f>
        <v>120898400.31466901</v>
      </c>
      <c r="P22" s="42">
        <f>'12) BI &amp; EI AD'!O97</f>
        <v>4752099.7934586955</v>
      </c>
      <c r="Q22" s="42">
        <f>'12) BI &amp; EI AD'!P97</f>
        <v>94348211.823049098</v>
      </c>
      <c r="R22" s="42">
        <f>'12) BI &amp; EI AD'!Q97</f>
        <v>4357791.992489568</v>
      </c>
      <c r="T22" s="9"/>
    </row>
    <row r="24" spans="1:20" x14ac:dyDescent="0.2">
      <c r="B24" s="5" t="s">
        <v>111</v>
      </c>
    </row>
    <row r="25" spans="1:20" x14ac:dyDescent="0.2">
      <c r="B25" s="6" t="s">
        <v>544</v>
      </c>
      <c r="F25" s="6" t="s">
        <v>110</v>
      </c>
      <c r="H25" s="69">
        <f>'1) Reguleringsparameters'!H26</f>
        <v>1.7999999999999999E-2</v>
      </c>
    </row>
    <row r="26" spans="1:20" s="14" customFormat="1" x14ac:dyDescent="0.2">
      <c r="H26" s="54"/>
      <c r="I26" s="6"/>
      <c r="J26" s="6"/>
      <c r="K26" s="6"/>
      <c r="M26" s="6"/>
    </row>
    <row r="27" spans="1:20" s="134" customFormat="1" x14ac:dyDescent="0.2">
      <c r="B27" s="134" t="s">
        <v>380</v>
      </c>
    </row>
    <row r="28" spans="1:20" s="14" customFormat="1" x14ac:dyDescent="0.2">
      <c r="H28" s="54"/>
      <c r="I28" s="6"/>
      <c r="J28" s="6"/>
      <c r="K28" s="6"/>
      <c r="M28" s="6"/>
    </row>
    <row r="29" spans="1:20" s="14" customFormat="1" x14ac:dyDescent="0.2">
      <c r="B29" s="135" t="s">
        <v>381</v>
      </c>
      <c r="H29" s="54"/>
      <c r="I29" s="6"/>
      <c r="J29" s="6"/>
      <c r="K29" s="6"/>
      <c r="M29" s="6"/>
    </row>
    <row r="30" spans="1:20" s="14" customFormat="1" x14ac:dyDescent="0.2">
      <c r="B30" s="14" t="s">
        <v>106</v>
      </c>
      <c r="H30" s="54"/>
      <c r="I30" s="6"/>
      <c r="J30" s="6"/>
      <c r="K30" s="43">
        <f>SUM(M30:R30)</f>
        <v>1094322823.1678448</v>
      </c>
      <c r="M30" s="43">
        <f>M14+M13</f>
        <v>21522518.960563052</v>
      </c>
      <c r="N30" s="43">
        <f t="shared" ref="N30:R30" si="0">N14+N13</f>
        <v>350355192.03159881</v>
      </c>
      <c r="O30" s="43">
        <f t="shared" si="0"/>
        <v>380071198.31342554</v>
      </c>
      <c r="P30" s="43">
        <f t="shared" si="0"/>
        <v>15759252.845597006</v>
      </c>
      <c r="Q30" s="43">
        <f t="shared" si="0"/>
        <v>308975462.67075247</v>
      </c>
      <c r="R30" s="43">
        <f t="shared" si="0"/>
        <v>17639198.345907927</v>
      </c>
    </row>
    <row r="31" spans="1:20" s="14" customFormat="1" x14ac:dyDescent="0.2">
      <c r="B31" s="14" t="s">
        <v>382</v>
      </c>
      <c r="H31" s="54"/>
      <c r="I31" s="6"/>
      <c r="J31" s="6"/>
      <c r="K31" s="68">
        <f>SUM(M31:R31)</f>
        <v>1</v>
      </c>
      <c r="M31" s="68">
        <f>M30/$K$30</f>
        <v>1.9667431314518036E-2</v>
      </c>
      <c r="N31" s="68">
        <f t="shared" ref="N31:R31" si="1">N30/$K$30</f>
        <v>0.32015707304485425</v>
      </c>
      <c r="O31" s="68">
        <f t="shared" si="1"/>
        <v>0.34731177150559261</v>
      </c>
      <c r="P31" s="68">
        <f t="shared" si="1"/>
        <v>1.4400917637792781E-2</v>
      </c>
      <c r="Q31" s="68">
        <f t="shared" si="1"/>
        <v>0.28234398125438942</v>
      </c>
      <c r="R31" s="68">
        <f t="shared" si="1"/>
        <v>1.6118825242852918E-2</v>
      </c>
    </row>
    <row r="32" spans="1:20" s="14" customFormat="1" x14ac:dyDescent="0.2">
      <c r="A32" s="59"/>
      <c r="B32" s="59"/>
      <c r="C32" s="59"/>
      <c r="F32" s="59"/>
      <c r="G32" s="59"/>
      <c r="H32" s="60"/>
      <c r="I32" s="60"/>
      <c r="J32" s="60"/>
      <c r="K32" s="60"/>
    </row>
    <row r="33" spans="1:22" s="63" customFormat="1" ht="12" customHeight="1" x14ac:dyDescent="0.2">
      <c r="B33" s="63" t="s">
        <v>239</v>
      </c>
      <c r="L33" s="65"/>
      <c r="M33" s="65"/>
      <c r="N33" s="65"/>
      <c r="O33" s="65"/>
      <c r="P33" s="65"/>
      <c r="T33" s="65"/>
      <c r="V33" s="65"/>
    </row>
    <row r="34" spans="1:22" s="14" customFormat="1" x14ac:dyDescent="0.2">
      <c r="A34" s="59"/>
      <c r="B34" s="59"/>
      <c r="C34" s="59"/>
      <c r="G34" s="59"/>
      <c r="H34" s="55"/>
      <c r="I34" s="55"/>
      <c r="J34" s="55"/>
      <c r="K34" s="55"/>
      <c r="M34" s="55"/>
      <c r="N34" s="55"/>
      <c r="O34" s="55"/>
      <c r="P34" s="55"/>
      <c r="Q34" s="55"/>
      <c r="R34" s="55"/>
    </row>
    <row r="35" spans="1:22" x14ac:dyDescent="0.2">
      <c r="B35" s="33" t="s">
        <v>308</v>
      </c>
    </row>
    <row r="36" spans="1:22" x14ac:dyDescent="0.2">
      <c r="B36" s="6" t="s">
        <v>307</v>
      </c>
      <c r="F36" s="6" t="s">
        <v>147</v>
      </c>
      <c r="K36" s="43">
        <f>SUM(M36:R36)</f>
        <v>1172785308.1406469</v>
      </c>
      <c r="M36" s="43">
        <f>M17+M21</f>
        <v>23017675.960507385</v>
      </c>
      <c r="N36" s="43">
        <f t="shared" ref="N36:R36" si="2">N17+N21</f>
        <v>375367487.48965442</v>
      </c>
      <c r="O36" s="43">
        <f t="shared" si="2"/>
        <v>407020417.70622271</v>
      </c>
      <c r="P36" s="43">
        <f t="shared" si="2"/>
        <v>16863318.222685933</v>
      </c>
      <c r="Q36" s="43">
        <f t="shared" si="2"/>
        <v>330959954.95050144</v>
      </c>
      <c r="R36" s="43">
        <f t="shared" si="2"/>
        <v>19556453.811075315</v>
      </c>
    </row>
    <row r="37" spans="1:22" x14ac:dyDescent="0.2">
      <c r="B37" s="6" t="s">
        <v>248</v>
      </c>
      <c r="F37" s="6" t="s">
        <v>184</v>
      </c>
      <c r="K37" s="43">
        <f>SUM(M37:R37)</f>
        <v>1197432527.3972814</v>
      </c>
      <c r="M37" s="43">
        <f>M18+M22</f>
        <v>23479290.548211947</v>
      </c>
      <c r="N37" s="43">
        <f t="shared" ref="N37:R37" si="3">N18+N22</f>
        <v>383044590.45655859</v>
      </c>
      <c r="O37" s="43">
        <f t="shared" si="3"/>
        <v>416205492.39792609</v>
      </c>
      <c r="P37" s="43">
        <f t="shared" si="3"/>
        <v>17194828.368147749</v>
      </c>
      <c r="Q37" s="43">
        <f t="shared" si="3"/>
        <v>337704578.61468327</v>
      </c>
      <c r="R37" s="43">
        <f t="shared" si="3"/>
        <v>19803747.01175376</v>
      </c>
      <c r="T37" s="9"/>
    </row>
    <row r="39" spans="1:22" x14ac:dyDescent="0.2">
      <c r="B39" s="5" t="s">
        <v>252</v>
      </c>
      <c r="C39" s="59"/>
      <c r="D39" s="14"/>
      <c r="E39" s="59"/>
      <c r="F39" s="59"/>
      <c r="G39" s="14"/>
      <c r="H39" s="60"/>
      <c r="I39" s="60"/>
      <c r="J39" s="60"/>
      <c r="K39" s="60"/>
      <c r="L39" s="14"/>
      <c r="M39" s="14"/>
      <c r="N39" s="14"/>
      <c r="O39" s="14"/>
      <c r="P39" s="14"/>
      <c r="Q39" s="14"/>
      <c r="R39" s="14"/>
    </row>
    <row r="40" spans="1:22" x14ac:dyDescent="0.2">
      <c r="B40" s="6" t="s">
        <v>253</v>
      </c>
      <c r="M40" s="88">
        <f>(1+$H$25-(M37/M36)^(1/5))*100</f>
        <v>1.402083635561624</v>
      </c>
      <c r="N40" s="88">
        <f t="shared" ref="N40:R40" si="4">(1+$H$25-(N37/N36)^(1/5))*100</f>
        <v>1.3942612236149898</v>
      </c>
      <c r="O40" s="88">
        <f t="shared" si="4"/>
        <v>1.352687332943292</v>
      </c>
      <c r="P40" s="88">
        <f t="shared" si="4"/>
        <v>1.4098826402070719</v>
      </c>
      <c r="Q40" s="88">
        <f t="shared" si="4"/>
        <v>1.3957029256413955</v>
      </c>
      <c r="R40" s="88">
        <f t="shared" si="4"/>
        <v>1.5483676830623683</v>
      </c>
    </row>
    <row r="41" spans="1:22" x14ac:dyDescent="0.2">
      <c r="B41" s="6" t="s">
        <v>254</v>
      </c>
      <c r="M41" s="89">
        <f>IF(M40&gt;0,FLOOR(M40,0.01),CEILING(M40,0.01))</f>
        <v>1.4000000000000001</v>
      </c>
      <c r="N41" s="89">
        <f t="shared" ref="N41:R41" si="5">IF(N40&gt;0,FLOOR(N40,0.01),CEILING(N40,0.01))</f>
        <v>1.3900000000000001</v>
      </c>
      <c r="O41" s="89">
        <f t="shared" si="5"/>
        <v>1.35</v>
      </c>
      <c r="P41" s="89">
        <f t="shared" si="5"/>
        <v>1.4000000000000001</v>
      </c>
      <c r="Q41" s="89">
        <f t="shared" si="5"/>
        <v>1.3900000000000001</v>
      </c>
      <c r="R41" s="89">
        <f t="shared" si="5"/>
        <v>1.54</v>
      </c>
      <c r="T41" s="9" t="s">
        <v>436</v>
      </c>
    </row>
    <row r="43" spans="1:22" s="13" customFormat="1" x14ac:dyDescent="0.2">
      <c r="B43" s="13" t="s">
        <v>270</v>
      </c>
    </row>
    <row r="45" spans="1:22" x14ac:dyDescent="0.2">
      <c r="B45" s="58" t="s">
        <v>518</v>
      </c>
      <c r="D45" s="6" t="s">
        <v>271</v>
      </c>
      <c r="K45" s="43">
        <f>SUM(M45:R45)</f>
        <v>1177723213.2909715</v>
      </c>
      <c r="M45" s="36">
        <f>(M17+M21)*(1+$H$25-M$41/100)</f>
        <v>23109746.664349414</v>
      </c>
      <c r="N45" s="36">
        <f t="shared" ref="N45:R45" si="6">(N17+N21)*(1+$H$25-N$41/100)</f>
        <v>376906494.188362</v>
      </c>
      <c r="O45" s="36">
        <f t="shared" si="6"/>
        <v>408852009.58590072</v>
      </c>
      <c r="P45" s="36">
        <f t="shared" si="6"/>
        <v>16930771.495576676</v>
      </c>
      <c r="Q45" s="36">
        <f t="shared" si="6"/>
        <v>332316890.76579851</v>
      </c>
      <c r="R45" s="36">
        <f t="shared" si="6"/>
        <v>19607300.59098411</v>
      </c>
    </row>
    <row r="46" spans="1:22" x14ac:dyDescent="0.2">
      <c r="B46" s="58" t="s">
        <v>519</v>
      </c>
      <c r="D46" s="6" t="s">
        <v>181</v>
      </c>
      <c r="K46" s="43">
        <f t="shared" ref="K46:K49" si="7">SUM(M46:R46)</f>
        <v>1182682004.2665963</v>
      </c>
      <c r="M46" s="36">
        <f t="shared" ref="M46:R49" si="8">M45*(1+$H$25-M$41/100)</f>
        <v>23202185.65100681</v>
      </c>
      <c r="N46" s="36">
        <f t="shared" si="8"/>
        <v>378451810.81453431</v>
      </c>
      <c r="O46" s="36">
        <f t="shared" si="8"/>
        <v>410691843.62903726</v>
      </c>
      <c r="P46" s="36">
        <f t="shared" si="8"/>
        <v>16998494.581558984</v>
      </c>
      <c r="Q46" s="36">
        <f t="shared" si="8"/>
        <v>333679390.01793826</v>
      </c>
      <c r="R46" s="36">
        <f t="shared" si="8"/>
        <v>19658279.572520666</v>
      </c>
    </row>
    <row r="47" spans="1:22" x14ac:dyDescent="0.2">
      <c r="B47" s="58" t="s">
        <v>520</v>
      </c>
      <c r="D47" s="6" t="s">
        <v>182</v>
      </c>
      <c r="K47" s="43">
        <f t="shared" si="7"/>
        <v>1187661769.7341588</v>
      </c>
      <c r="M47" s="36">
        <f t="shared" si="8"/>
        <v>23294994.393610839</v>
      </c>
      <c r="N47" s="36">
        <f t="shared" si="8"/>
        <v>380003463.2388739</v>
      </c>
      <c r="O47" s="36">
        <f t="shared" si="8"/>
        <v>412539956.92536789</v>
      </c>
      <c r="P47" s="36">
        <f t="shared" si="8"/>
        <v>17066488.559885219</v>
      </c>
      <c r="Q47" s="36">
        <f t="shared" si="8"/>
        <v>335047475.51701182</v>
      </c>
      <c r="R47" s="36">
        <f t="shared" si="8"/>
        <v>19709391.099409219</v>
      </c>
    </row>
    <row r="48" spans="1:22" x14ac:dyDescent="0.2">
      <c r="B48" s="58" t="s">
        <v>521</v>
      </c>
      <c r="D48" s="6" t="s">
        <v>183</v>
      </c>
      <c r="K48" s="43">
        <f t="shared" si="7"/>
        <v>1192662598.7378948</v>
      </c>
      <c r="M48" s="36">
        <f t="shared" si="8"/>
        <v>23388174.37118528</v>
      </c>
      <c r="N48" s="36">
        <f t="shared" si="8"/>
        <v>381561477.43815327</v>
      </c>
      <c r="O48" s="36">
        <f t="shared" si="8"/>
        <v>414396386.73153204</v>
      </c>
      <c r="P48" s="36">
        <f t="shared" si="8"/>
        <v>17134754.514124759</v>
      </c>
      <c r="Q48" s="36">
        <f t="shared" si="8"/>
        <v>336421170.16663158</v>
      </c>
      <c r="R48" s="36">
        <f t="shared" si="8"/>
        <v>19760635.516267683</v>
      </c>
    </row>
    <row r="49" spans="2:18" x14ac:dyDescent="0.2">
      <c r="B49" s="58" t="s">
        <v>522</v>
      </c>
      <c r="D49" s="6" t="s">
        <v>184</v>
      </c>
      <c r="K49" s="43">
        <f t="shared" si="7"/>
        <v>1197684580.7012496</v>
      </c>
      <c r="M49" s="36">
        <f t="shared" si="8"/>
        <v>23481727.068670023</v>
      </c>
      <c r="N49" s="36">
        <f t="shared" si="8"/>
        <v>383125879.4956497</v>
      </c>
      <c r="O49" s="36">
        <f t="shared" si="8"/>
        <v>416261170.47182393</v>
      </c>
      <c r="P49" s="36">
        <f t="shared" si="8"/>
        <v>17203293.532181259</v>
      </c>
      <c r="Q49" s="36">
        <f t="shared" si="8"/>
        <v>337800496.96431476</v>
      </c>
      <c r="R49" s="36">
        <f t="shared" si="8"/>
        <v>19812013.168609977</v>
      </c>
    </row>
  </sheetData>
  <phoneticPr fontId="3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rgb="FFCCC8D9"/>
  </sheetPr>
  <dimension ref="B2:F33"/>
  <sheetViews>
    <sheetView showGridLines="0" zoomScale="85" zoomScaleNormal="85" workbookViewId="0">
      <pane ySplit="3" topLeftCell="A10" activePane="bottomLeft" state="frozen"/>
      <selection activeCell="O39" sqref="O39"/>
      <selection pane="bottomLeft" activeCell="C16" sqref="C16"/>
    </sheetView>
  </sheetViews>
  <sheetFormatPr defaultRowHeight="12.75" x14ac:dyDescent="0.2"/>
  <cols>
    <col min="1" max="1" width="4.7109375" style="6" customWidth="1"/>
    <col min="2" max="2" width="7.5703125" style="6" customWidth="1"/>
    <col min="3" max="3" width="35.140625" style="6" customWidth="1"/>
    <col min="4" max="5" width="36.28515625" style="6" customWidth="1"/>
    <col min="6" max="6" width="40.7109375" style="6" customWidth="1"/>
    <col min="7" max="7" width="4.5703125" style="6" customWidth="1"/>
    <col min="8" max="8" width="43.42578125" style="6" customWidth="1"/>
    <col min="9" max="9" width="28.7109375" style="6" customWidth="1"/>
    <col min="10" max="10" width="18.42578125" style="6" customWidth="1"/>
    <col min="11" max="12" width="58.42578125" style="6" customWidth="1"/>
    <col min="13" max="16384" width="9.140625" style="6"/>
  </cols>
  <sheetData>
    <row r="2" spans="2:6" s="17" customFormat="1" ht="18" x14ac:dyDescent="0.2">
      <c r="B2" s="8" t="s">
        <v>22</v>
      </c>
    </row>
    <row r="4" spans="2:6" s="13" customFormat="1" x14ac:dyDescent="0.2">
      <c r="B4" s="13" t="s">
        <v>23</v>
      </c>
    </row>
    <row r="6" spans="2:6" x14ac:dyDescent="0.2">
      <c r="B6" s="34" t="s">
        <v>60</v>
      </c>
    </row>
    <row r="7" spans="2:6" x14ac:dyDescent="0.2">
      <c r="B7" s="34" t="s">
        <v>61</v>
      </c>
    </row>
    <row r="9" spans="2:6" x14ac:dyDescent="0.2">
      <c r="B9" s="24" t="s">
        <v>49</v>
      </c>
      <c r="C9" s="24" t="s">
        <v>50</v>
      </c>
      <c r="D9" s="24" t="s">
        <v>51</v>
      </c>
      <c r="E9" s="24" t="s">
        <v>59</v>
      </c>
      <c r="F9" s="24" t="s">
        <v>56</v>
      </c>
    </row>
    <row r="10" spans="2:6" x14ac:dyDescent="0.2">
      <c r="B10" s="25"/>
      <c r="C10" s="30" t="s">
        <v>58</v>
      </c>
      <c r="D10" s="30" t="s">
        <v>24</v>
      </c>
      <c r="E10" s="30" t="s">
        <v>62</v>
      </c>
      <c r="F10" s="30" t="s">
        <v>57</v>
      </c>
    </row>
    <row r="11" spans="2:6" x14ac:dyDescent="0.2">
      <c r="B11" s="31">
        <v>1</v>
      </c>
      <c r="C11" s="83" t="s">
        <v>552</v>
      </c>
      <c r="D11" s="11" t="s">
        <v>551</v>
      </c>
      <c r="E11" s="11"/>
      <c r="F11" s="11"/>
    </row>
    <row r="12" spans="2:6" x14ac:dyDescent="0.2">
      <c r="B12" s="11">
        <v>2</v>
      </c>
      <c r="C12" s="11" t="s">
        <v>112</v>
      </c>
      <c r="D12" s="11"/>
      <c r="E12" s="11"/>
      <c r="F12" s="11"/>
    </row>
    <row r="13" spans="2:6" x14ac:dyDescent="0.2">
      <c r="B13" s="11">
        <v>3</v>
      </c>
      <c r="C13" s="11" t="s">
        <v>388</v>
      </c>
      <c r="D13" s="11" t="s">
        <v>389</v>
      </c>
      <c r="E13" s="11"/>
      <c r="F13" s="11"/>
    </row>
    <row r="14" spans="2:6" x14ac:dyDescent="0.2">
      <c r="B14" s="11">
        <v>4</v>
      </c>
      <c r="C14" s="11" t="s">
        <v>320</v>
      </c>
      <c r="D14" s="11"/>
      <c r="E14" s="11"/>
      <c r="F14" s="11"/>
    </row>
    <row r="15" spans="2:6" x14ac:dyDescent="0.2">
      <c r="B15" s="11">
        <v>5</v>
      </c>
      <c r="C15" s="11" t="s">
        <v>558</v>
      </c>
      <c r="D15" s="11"/>
      <c r="E15" s="11"/>
      <c r="F15" s="11"/>
    </row>
    <row r="16" spans="2:6" x14ac:dyDescent="0.2">
      <c r="B16" s="11">
        <v>6</v>
      </c>
      <c r="C16" s="11" t="s">
        <v>300</v>
      </c>
      <c r="D16" s="144" t="s">
        <v>390</v>
      </c>
      <c r="E16" s="11"/>
      <c r="F16" s="11"/>
    </row>
    <row r="17" spans="2:6" x14ac:dyDescent="0.2">
      <c r="B17" s="11">
        <v>7</v>
      </c>
      <c r="C17" s="11" t="s">
        <v>398</v>
      </c>
      <c r="D17" s="11"/>
      <c r="E17" s="11"/>
      <c r="F17" s="11"/>
    </row>
    <row r="18" spans="2:6" x14ac:dyDescent="0.2">
      <c r="B18" s="11">
        <v>8</v>
      </c>
      <c r="C18" s="11"/>
      <c r="D18" s="11"/>
      <c r="E18" s="11"/>
      <c r="F18" s="11"/>
    </row>
    <row r="19" spans="2:6" x14ac:dyDescent="0.2">
      <c r="B19" s="11">
        <v>9</v>
      </c>
      <c r="C19" s="11"/>
      <c r="D19" s="11"/>
      <c r="E19" s="11"/>
      <c r="F19" s="11"/>
    </row>
    <row r="20" spans="2:6" x14ac:dyDescent="0.2">
      <c r="B20" s="11">
        <v>10</v>
      </c>
      <c r="C20" s="11"/>
      <c r="D20" s="11"/>
      <c r="E20" s="11"/>
      <c r="F20" s="11"/>
    </row>
    <row r="23" spans="2:6" s="13" customFormat="1" x14ac:dyDescent="0.2">
      <c r="B23" s="13" t="s">
        <v>47</v>
      </c>
    </row>
    <row r="25" spans="2:6" x14ac:dyDescent="0.2">
      <c r="B25" s="34" t="s">
        <v>45</v>
      </c>
    </row>
    <row r="26" spans="2:6" x14ac:dyDescent="0.2">
      <c r="B26" s="34" t="s">
        <v>46</v>
      </c>
    </row>
    <row r="28" spans="2:6" x14ac:dyDescent="0.2">
      <c r="B28" s="5" t="s">
        <v>291</v>
      </c>
    </row>
    <row r="29" spans="2:6" ht="229.5" customHeight="1" x14ac:dyDescent="0.2">
      <c r="B29" s="188" t="s">
        <v>330</v>
      </c>
      <c r="C29" s="188"/>
      <c r="D29" s="188"/>
      <c r="E29" s="188"/>
      <c r="F29" s="188"/>
    </row>
    <row r="30" spans="2:6" x14ac:dyDescent="0.2">
      <c r="B30" s="5" t="s">
        <v>292</v>
      </c>
    </row>
    <row r="31" spans="2:6" ht="114.75" customHeight="1" x14ac:dyDescent="0.2">
      <c r="B31" s="188" t="s">
        <v>293</v>
      </c>
      <c r="C31" s="188"/>
      <c r="D31" s="188"/>
      <c r="E31" s="188"/>
      <c r="F31" s="188"/>
    </row>
    <row r="32" spans="2:6" ht="28.5" customHeight="1" x14ac:dyDescent="0.2">
      <c r="B32" s="189" t="s">
        <v>294</v>
      </c>
      <c r="C32" s="189"/>
      <c r="D32" s="189"/>
      <c r="E32" s="189"/>
      <c r="F32" s="189"/>
    </row>
    <row r="33" spans="2:6" s="113" customFormat="1" ht="95.25" customHeight="1" x14ac:dyDescent="0.2">
      <c r="B33" s="188" t="s">
        <v>295</v>
      </c>
      <c r="C33" s="188"/>
      <c r="D33" s="188"/>
      <c r="E33" s="188"/>
      <c r="F33" s="188"/>
    </row>
  </sheetData>
  <mergeCells count="4">
    <mergeCell ref="B29:F29"/>
    <mergeCell ref="B31:F31"/>
    <mergeCell ref="B32:F32"/>
    <mergeCell ref="B33:F33"/>
  </mergeCells>
  <hyperlinks>
    <hyperlink ref="B32" r:id="rId1" xr:uid="{00000000-0004-0000-0500-000000000000}"/>
    <hyperlink ref="D16" r:id="rId2" xr:uid="{00000000-0004-0000-0500-000001000000}"/>
  </hyperlinks>
  <pageMargins left="0.75" right="0.75" top="1" bottom="1" header="0.5" footer="0.5"/>
  <pageSetup paperSize="9"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tabColor rgb="FFCCFFFF"/>
  </sheetPr>
  <dimension ref="A2:R46"/>
  <sheetViews>
    <sheetView showGridLines="0" zoomScale="85" zoomScaleNormal="85" workbookViewId="0">
      <pane xSplit="4" ySplit="8" topLeftCell="E9" activePane="bottomRight" state="frozen"/>
      <selection activeCell="O39" sqref="O39"/>
      <selection pane="topRight" activeCell="O39" sqref="O39"/>
      <selection pane="bottomLeft" activeCell="O39" sqref="O39"/>
      <selection pane="bottomRight" activeCell="E9" sqref="E9"/>
    </sheetView>
  </sheetViews>
  <sheetFormatPr defaultRowHeight="12.75" x14ac:dyDescent="0.2"/>
  <cols>
    <col min="1" max="1" width="2.7109375" style="6" customWidth="1"/>
    <col min="2" max="2" width="59.85546875" style="6" customWidth="1"/>
    <col min="3" max="3" width="4.140625" style="6" customWidth="1"/>
    <col min="4" max="4" width="13.7109375" style="6" customWidth="1"/>
    <col min="5" max="5" width="2.7109375" style="6" customWidth="1"/>
    <col min="6" max="6" width="16.5703125" style="6" bestFit="1" customWidth="1"/>
    <col min="7" max="8" width="2.42578125" style="6" customWidth="1"/>
    <col min="9" max="9" width="13.7109375" style="6" customWidth="1"/>
    <col min="10" max="10" width="2.7109375" style="6" customWidth="1"/>
    <col min="11" max="16" width="12.5703125" style="6" customWidth="1"/>
    <col min="17" max="17" width="2.7109375" style="6" customWidth="1"/>
    <col min="18" max="32" width="13.7109375" style="6" customWidth="1"/>
    <col min="33" max="16384" width="9.140625" style="6"/>
  </cols>
  <sheetData>
    <row r="2" spans="2:18" s="26" customFormat="1" ht="18" x14ac:dyDescent="0.2">
      <c r="B2" s="26" t="s">
        <v>309</v>
      </c>
    </row>
    <row r="4" spans="2:18" x14ac:dyDescent="0.2">
      <c r="B4" s="33" t="s">
        <v>53</v>
      </c>
    </row>
    <row r="5" spans="2:18" ht="25.5" x14ac:dyDescent="0.2">
      <c r="B5" s="50" t="s">
        <v>545</v>
      </c>
      <c r="G5" s="27"/>
      <c r="H5" s="27"/>
      <c r="I5" s="27"/>
    </row>
    <row r="6" spans="2:18" x14ac:dyDescent="0.2">
      <c r="B6" s="29"/>
      <c r="G6" s="27"/>
      <c r="H6" s="27"/>
      <c r="I6" s="27"/>
    </row>
    <row r="7" spans="2:18" s="13" customFormat="1" x14ac:dyDescent="0.2">
      <c r="B7" s="13" t="s">
        <v>42</v>
      </c>
      <c r="D7" s="13" t="s">
        <v>25</v>
      </c>
      <c r="F7" s="13" t="s">
        <v>302</v>
      </c>
      <c r="I7" s="13" t="s">
        <v>303</v>
      </c>
      <c r="K7" s="13" t="s">
        <v>72</v>
      </c>
      <c r="L7" s="13" t="s">
        <v>73</v>
      </c>
      <c r="M7" s="13" t="s">
        <v>74</v>
      </c>
      <c r="N7" s="13" t="s">
        <v>75</v>
      </c>
      <c r="O7" s="13" t="s">
        <v>76</v>
      </c>
      <c r="P7" s="13" t="s">
        <v>77</v>
      </c>
      <c r="R7" s="13" t="s">
        <v>43</v>
      </c>
    </row>
    <row r="9" spans="2:18" s="13" customFormat="1" x14ac:dyDescent="0.2">
      <c r="B9" s="13" t="s">
        <v>384</v>
      </c>
    </row>
    <row r="11" spans="2:18" x14ac:dyDescent="0.2">
      <c r="B11" s="33" t="s">
        <v>78</v>
      </c>
    </row>
    <row r="12" spans="2:18" x14ac:dyDescent="0.2">
      <c r="B12" s="6" t="s">
        <v>107</v>
      </c>
      <c r="D12" s="6" t="s">
        <v>147</v>
      </c>
      <c r="I12" s="92">
        <f>'11) BI &amp; EI TD'!J98</f>
        <v>888260407.80167758</v>
      </c>
      <c r="K12" s="92">
        <f>'11) BI &amp; EI TD'!L98</f>
        <v>17509659.581804149</v>
      </c>
      <c r="L12" s="92">
        <f>'11) BI &amp; EI TD'!M98</f>
        <v>285208457.58122259</v>
      </c>
      <c r="M12" s="92">
        <f>'11) BI &amp; EI TD'!N98</f>
        <v>305251081.66104859</v>
      </c>
      <c r="N12" s="92">
        <f>'11) BI &amp; EI TD'!O98</f>
        <v>12863116.073261615</v>
      </c>
      <c r="O12" s="92">
        <f>'11) BI &amp; EI TD'!P98</f>
        <v>251539922.51591069</v>
      </c>
      <c r="P12" s="92">
        <f>'11) BI &amp; EI TD'!Q98</f>
        <v>15888170.388429981</v>
      </c>
    </row>
    <row r="13" spans="2:18" x14ac:dyDescent="0.2">
      <c r="B13" s="6" t="s">
        <v>250</v>
      </c>
      <c r="I13" s="92">
        <f>'11) BI &amp; EI TD'!J105</f>
        <v>859426929.27288222</v>
      </c>
      <c r="K13" s="92">
        <f>'11) BI &amp; EI TD'!L105</f>
        <v>16935960.356919076</v>
      </c>
      <c r="L13" s="92">
        <f>'11) BI &amp; EI TD'!M105</f>
        <v>275938826.4471187</v>
      </c>
      <c r="M13" s="92">
        <f>'11) BI &amp; EI TD'!N105</f>
        <v>295307092.08325708</v>
      </c>
      <c r="N13" s="92">
        <f>'11) BI &amp; EI TD'!O105</f>
        <v>12442728.574689055</v>
      </c>
      <c r="O13" s="92">
        <f>'11) BI &amp; EI TD'!P105</f>
        <v>243356366.79163417</v>
      </c>
      <c r="P13" s="92">
        <f>'11) BI &amp; EI TD'!Q105</f>
        <v>15445955.019264191</v>
      </c>
    </row>
    <row r="15" spans="2:18" x14ac:dyDescent="0.2">
      <c r="B15" s="5" t="s">
        <v>105</v>
      </c>
    </row>
    <row r="16" spans="2:18" x14ac:dyDescent="0.2">
      <c r="B16" s="6" t="s">
        <v>107</v>
      </c>
      <c r="D16" s="6" t="s">
        <v>147</v>
      </c>
      <c r="I16" s="92">
        <f>'12) BI &amp; EI AD'!J92</f>
        <v>284524900.33896959</v>
      </c>
      <c r="K16" s="92">
        <f>'12) BI &amp; EI AD'!L92</f>
        <v>5508016.3787032366</v>
      </c>
      <c r="L16" s="92">
        <f>'12) BI &amp; EI AD'!M92</f>
        <v>90159029.908431798</v>
      </c>
      <c r="M16" s="92">
        <f>'12) BI &amp; EI AD'!N92</f>
        <v>101769336.04517412</v>
      </c>
      <c r="N16" s="92">
        <f>'12) BI &amp; EI AD'!O92</f>
        <v>4000202.1494243168</v>
      </c>
      <c r="O16" s="92">
        <f>'12) BI &amp; EI AD'!P92</f>
        <v>79420032.434590772</v>
      </c>
      <c r="P16" s="92">
        <f>'12) BI &amp; EI AD'!Q92</f>
        <v>3668283.4226453337</v>
      </c>
    </row>
    <row r="17" spans="1:16" x14ac:dyDescent="0.2">
      <c r="B17" s="6" t="s">
        <v>250</v>
      </c>
      <c r="I17" s="92">
        <f>'12) BI &amp; EI AD'!J97</f>
        <v>338005598.12439919</v>
      </c>
      <c r="K17" s="92">
        <f>'12) BI &amp; EI AD'!L97</f>
        <v>6543330.1912928689</v>
      </c>
      <c r="L17" s="92">
        <f>'12) BI &amp; EI AD'!M97</f>
        <v>107105764.0094399</v>
      </c>
      <c r="M17" s="92">
        <f>'12) BI &amp; EI AD'!N97</f>
        <v>120898400.31466901</v>
      </c>
      <c r="N17" s="92">
        <f>'12) BI &amp; EI AD'!O97</f>
        <v>4752099.7934586955</v>
      </c>
      <c r="O17" s="92">
        <f>'12) BI &amp; EI AD'!P97</f>
        <v>94348211.823049098</v>
      </c>
      <c r="P17" s="92">
        <f>'12) BI &amp; EI AD'!Q97</f>
        <v>4357791.992489568</v>
      </c>
    </row>
    <row r="18" spans="1:16" x14ac:dyDescent="0.2">
      <c r="B18" s="5"/>
    </row>
    <row r="19" spans="1:16" ht="12" customHeight="1" x14ac:dyDescent="0.2">
      <c r="B19" s="5" t="s">
        <v>269</v>
      </c>
    </row>
    <row r="20" spans="1:16" ht="12" customHeight="1" x14ac:dyDescent="0.2">
      <c r="B20" s="29" t="s">
        <v>269</v>
      </c>
      <c r="D20" s="6" t="s">
        <v>110</v>
      </c>
      <c r="K20" s="74">
        <f>'13) X-factor &amp; tariefruimte'!M41</f>
        <v>1.4000000000000001</v>
      </c>
      <c r="L20" s="74">
        <f>'13) X-factor &amp; tariefruimte'!N41</f>
        <v>1.3900000000000001</v>
      </c>
      <c r="M20" s="74">
        <f>'13) X-factor &amp; tariefruimte'!O41</f>
        <v>1.35</v>
      </c>
      <c r="N20" s="74">
        <f>'13) X-factor &amp; tariefruimte'!P41</f>
        <v>1.4000000000000001</v>
      </c>
      <c r="O20" s="74">
        <f>'13) X-factor &amp; tariefruimte'!Q41</f>
        <v>1.3900000000000001</v>
      </c>
      <c r="P20" s="74">
        <f>'13) X-factor &amp; tariefruimte'!R41</f>
        <v>1.54</v>
      </c>
    </row>
    <row r="22" spans="1:16" s="13" customFormat="1" x14ac:dyDescent="0.2">
      <c r="B22" s="13" t="s">
        <v>385</v>
      </c>
    </row>
    <row r="23" spans="1:16" s="33" customFormat="1" x14ac:dyDescent="0.2"/>
    <row r="24" spans="1:16" x14ac:dyDescent="0.2">
      <c r="B24" s="5" t="s">
        <v>347</v>
      </c>
    </row>
    <row r="25" spans="1:16" s="136" customFormat="1" x14ac:dyDescent="0.2">
      <c r="A25" s="6"/>
      <c r="B25" s="6" t="s">
        <v>348</v>
      </c>
      <c r="C25" s="6"/>
      <c r="D25" s="136" t="s">
        <v>110</v>
      </c>
      <c r="F25" s="137">
        <f>'1) Reguleringsparameters'!H13</f>
        <v>3.4000000000000002E-2</v>
      </c>
      <c r="J25" s="6"/>
      <c r="K25" s="138"/>
      <c r="L25" s="139"/>
      <c r="M25" s="139"/>
      <c r="N25" s="139"/>
      <c r="O25" s="139"/>
      <c r="P25" s="139"/>
    </row>
    <row r="26" spans="1:16" s="136" customFormat="1" x14ac:dyDescent="0.2">
      <c r="A26" s="6"/>
      <c r="B26" s="6" t="s">
        <v>349</v>
      </c>
      <c r="C26" s="6"/>
      <c r="D26" s="136" t="s">
        <v>110</v>
      </c>
      <c r="F26" s="137">
        <f>'1) Reguleringsparameters'!H14</f>
        <v>3.6999999999999998E-2</v>
      </c>
      <c r="J26" s="6"/>
      <c r="K26" s="138"/>
      <c r="L26" s="138"/>
      <c r="M26" s="139"/>
      <c r="N26" s="139"/>
      <c r="O26" s="138"/>
      <c r="P26" s="138"/>
    </row>
    <row r="27" spans="1:16" s="136" customFormat="1" x14ac:dyDescent="0.2">
      <c r="A27" s="6"/>
      <c r="C27" s="6"/>
      <c r="J27" s="6"/>
      <c r="K27" s="138"/>
      <c r="L27" s="138"/>
      <c r="M27" s="139"/>
      <c r="N27" s="139"/>
      <c r="O27" s="138"/>
      <c r="P27" s="138"/>
    </row>
    <row r="28" spans="1:16" s="136" customFormat="1" x14ac:dyDescent="0.2">
      <c r="A28" s="6"/>
      <c r="B28" s="140" t="s">
        <v>386</v>
      </c>
      <c r="C28" s="6"/>
      <c r="J28" s="6"/>
    </row>
    <row r="29" spans="1:16" s="136" customFormat="1" x14ac:dyDescent="0.2">
      <c r="A29" s="6"/>
      <c r="B29" s="136" t="s">
        <v>382</v>
      </c>
      <c r="C29" s="6"/>
      <c r="D29" s="136" t="s">
        <v>110</v>
      </c>
      <c r="I29" s="142">
        <f>'13) X-factor &amp; tariefruimte'!K31</f>
        <v>1</v>
      </c>
      <c r="J29" s="6"/>
      <c r="K29" s="142">
        <f>'13) X-factor &amp; tariefruimte'!M31</f>
        <v>1.9667431314518036E-2</v>
      </c>
      <c r="L29" s="142">
        <f>'13) X-factor &amp; tariefruimte'!N31</f>
        <v>0.32015707304485425</v>
      </c>
      <c r="M29" s="142">
        <f>'13) X-factor &amp; tariefruimte'!O31</f>
        <v>0.34731177150559261</v>
      </c>
      <c r="N29" s="142">
        <f>'13) X-factor &amp; tariefruimte'!P31</f>
        <v>1.4400917637792781E-2</v>
      </c>
      <c r="O29" s="142">
        <f>'13) X-factor &amp; tariefruimte'!Q31</f>
        <v>0.28234398125438942</v>
      </c>
      <c r="P29" s="142">
        <f>'13) X-factor &amp; tariefruimte'!R31</f>
        <v>1.6118825242852918E-2</v>
      </c>
    </row>
    <row r="30" spans="1:16" s="136" customFormat="1" x14ac:dyDescent="0.2">
      <c r="A30" s="6"/>
      <c r="C30" s="6"/>
      <c r="J30" s="6"/>
    </row>
    <row r="31" spans="1:16" s="136" customFormat="1" x14ac:dyDescent="0.2">
      <c r="A31" s="6"/>
      <c r="B31" s="140" t="s">
        <v>387</v>
      </c>
      <c r="C31" s="6"/>
      <c r="J31" s="83"/>
      <c r="K31" s="141"/>
      <c r="L31" s="141"/>
      <c r="M31" s="141"/>
      <c r="N31" s="140"/>
      <c r="O31" s="140"/>
      <c r="P31" s="140"/>
    </row>
    <row r="32" spans="1:16" s="136" customFormat="1" x14ac:dyDescent="0.2">
      <c r="A32" s="6"/>
      <c r="B32" s="143" t="s">
        <v>507</v>
      </c>
      <c r="C32" s="6"/>
      <c r="D32" s="136" t="s">
        <v>110</v>
      </c>
      <c r="F32" s="142">
        <f>'5) PV TD'!H75</f>
        <v>-7.5913637800173461E-4</v>
      </c>
      <c r="J32" s="6"/>
    </row>
    <row r="33" spans="1:16" s="136" customFormat="1" x14ac:dyDescent="0.2">
      <c r="A33" s="6"/>
      <c r="B33" s="143" t="s">
        <v>508</v>
      </c>
      <c r="C33" s="6"/>
      <c r="D33" s="136" t="s">
        <v>110</v>
      </c>
      <c r="F33" s="142">
        <f>'6) PV AD'!H53</f>
        <v>-3.6868648042002516E-2</v>
      </c>
      <c r="J33" s="6"/>
    </row>
    <row r="34" spans="1:16" s="136" customFormat="1" x14ac:dyDescent="0.2">
      <c r="A34" s="6"/>
      <c r="B34" s="143" t="s">
        <v>548</v>
      </c>
      <c r="C34" s="6"/>
      <c r="D34" s="136" t="s">
        <v>110</v>
      </c>
      <c r="F34" s="142">
        <f>'1) Reguleringsparameters'!H35</f>
        <v>2.5444272186812E-3</v>
      </c>
      <c r="J34" s="6"/>
    </row>
    <row r="35" spans="1:16" s="136" customFormat="1" x14ac:dyDescent="0.2">
      <c r="A35" s="6"/>
      <c r="B35" s="143" t="s">
        <v>549</v>
      </c>
      <c r="C35" s="6"/>
      <c r="D35" s="136" t="s">
        <v>110</v>
      </c>
      <c r="F35" s="142">
        <f>'1) Reguleringsparameters'!H36</f>
        <v>-3.1175556579387642E-2</v>
      </c>
      <c r="J35" s="6"/>
    </row>
    <row r="36" spans="1:16" s="136" customFormat="1" x14ac:dyDescent="0.2">
      <c r="A36" s="6"/>
      <c r="C36" s="6"/>
      <c r="J36" s="6"/>
    </row>
    <row r="38" spans="1:16" s="13" customFormat="1" x14ac:dyDescent="0.2">
      <c r="B38" s="13" t="s">
        <v>270</v>
      </c>
    </row>
    <row r="40" spans="1:16" x14ac:dyDescent="0.2">
      <c r="B40" s="58" t="s">
        <v>518</v>
      </c>
      <c r="D40" s="6" t="s">
        <v>271</v>
      </c>
      <c r="I40" s="36">
        <f>SUM(K40:P40)</f>
        <v>1177723213.2909715</v>
      </c>
      <c r="K40" s="92">
        <f>'13) X-factor &amp; tariefruimte'!M45</f>
        <v>23109746.664349414</v>
      </c>
      <c r="L40" s="92">
        <f>'13) X-factor &amp; tariefruimte'!N45</f>
        <v>376906494.188362</v>
      </c>
      <c r="M40" s="92">
        <f>'13) X-factor &amp; tariefruimte'!O45</f>
        <v>408852009.58590072</v>
      </c>
      <c r="N40" s="92">
        <f>'13) X-factor &amp; tariefruimte'!P45</f>
        <v>16930771.495576676</v>
      </c>
      <c r="O40" s="92">
        <f>'13) X-factor &amp; tariefruimte'!Q45</f>
        <v>332316890.76579851</v>
      </c>
      <c r="P40" s="92">
        <f>'13) X-factor &amp; tariefruimte'!R45</f>
        <v>19607300.59098411</v>
      </c>
    </row>
    <row r="41" spans="1:16" x14ac:dyDescent="0.2">
      <c r="B41" s="58" t="s">
        <v>519</v>
      </c>
      <c r="D41" s="6" t="s">
        <v>181</v>
      </c>
      <c r="I41" s="36">
        <f t="shared" ref="I41:I44" si="0">SUM(K41:P41)</f>
        <v>1182682004.2665963</v>
      </c>
      <c r="K41" s="92">
        <f>'13) X-factor &amp; tariefruimte'!M46</f>
        <v>23202185.65100681</v>
      </c>
      <c r="L41" s="92">
        <f>'13) X-factor &amp; tariefruimte'!N46</f>
        <v>378451810.81453431</v>
      </c>
      <c r="M41" s="92">
        <f>'13) X-factor &amp; tariefruimte'!O46</f>
        <v>410691843.62903726</v>
      </c>
      <c r="N41" s="92">
        <f>'13) X-factor &amp; tariefruimte'!P46</f>
        <v>16998494.581558984</v>
      </c>
      <c r="O41" s="92">
        <f>'13) X-factor &amp; tariefruimte'!Q46</f>
        <v>333679390.01793826</v>
      </c>
      <c r="P41" s="92">
        <f>'13) X-factor &amp; tariefruimte'!R46</f>
        <v>19658279.572520666</v>
      </c>
    </row>
    <row r="42" spans="1:16" x14ac:dyDescent="0.2">
      <c r="B42" s="58" t="s">
        <v>520</v>
      </c>
      <c r="D42" s="6" t="s">
        <v>182</v>
      </c>
      <c r="I42" s="36">
        <f t="shared" si="0"/>
        <v>1187661769.7341588</v>
      </c>
      <c r="K42" s="92">
        <f>'13) X-factor &amp; tariefruimte'!M47</f>
        <v>23294994.393610839</v>
      </c>
      <c r="L42" s="92">
        <f>'13) X-factor &amp; tariefruimte'!N47</f>
        <v>380003463.2388739</v>
      </c>
      <c r="M42" s="92">
        <f>'13) X-factor &amp; tariefruimte'!O47</f>
        <v>412539956.92536789</v>
      </c>
      <c r="N42" s="92">
        <f>'13) X-factor &amp; tariefruimte'!P47</f>
        <v>17066488.559885219</v>
      </c>
      <c r="O42" s="92">
        <f>'13) X-factor &amp; tariefruimte'!Q47</f>
        <v>335047475.51701182</v>
      </c>
      <c r="P42" s="92">
        <f>'13) X-factor &amp; tariefruimte'!R47</f>
        <v>19709391.099409219</v>
      </c>
    </row>
    <row r="43" spans="1:16" x14ac:dyDescent="0.2">
      <c r="B43" s="58" t="s">
        <v>521</v>
      </c>
      <c r="D43" s="6" t="s">
        <v>183</v>
      </c>
      <c r="I43" s="36">
        <f t="shared" si="0"/>
        <v>1192662598.7378948</v>
      </c>
      <c r="K43" s="92">
        <f>'13) X-factor &amp; tariefruimte'!M48</f>
        <v>23388174.37118528</v>
      </c>
      <c r="L43" s="92">
        <f>'13) X-factor &amp; tariefruimte'!N48</f>
        <v>381561477.43815327</v>
      </c>
      <c r="M43" s="92">
        <f>'13) X-factor &amp; tariefruimte'!O48</f>
        <v>414396386.73153204</v>
      </c>
      <c r="N43" s="92">
        <f>'13) X-factor &amp; tariefruimte'!P48</f>
        <v>17134754.514124759</v>
      </c>
      <c r="O43" s="92">
        <f>'13) X-factor &amp; tariefruimte'!Q48</f>
        <v>336421170.16663158</v>
      </c>
      <c r="P43" s="92">
        <f>'13) X-factor &amp; tariefruimte'!R48</f>
        <v>19760635.516267683</v>
      </c>
    </row>
    <row r="44" spans="1:16" x14ac:dyDescent="0.2">
      <c r="B44" s="58" t="s">
        <v>522</v>
      </c>
      <c r="D44" s="6" t="s">
        <v>184</v>
      </c>
      <c r="I44" s="36">
        <f t="shared" si="0"/>
        <v>1197684580.7012496</v>
      </c>
      <c r="K44" s="92">
        <f>'13) X-factor &amp; tariefruimte'!M49</f>
        <v>23481727.068670023</v>
      </c>
      <c r="L44" s="92">
        <f>'13) X-factor &amp; tariefruimte'!N49</f>
        <v>383125879.4956497</v>
      </c>
      <c r="M44" s="92">
        <f>'13) X-factor &amp; tariefruimte'!O49</f>
        <v>416261170.47182393</v>
      </c>
      <c r="N44" s="92">
        <f>'13) X-factor &amp; tariefruimte'!P49</f>
        <v>17203293.532181259</v>
      </c>
      <c r="O44" s="92">
        <f>'13) X-factor &amp; tariefruimte'!Q49</f>
        <v>337800496.96431476</v>
      </c>
      <c r="P44" s="92">
        <f>'13) X-factor &amp; tariefruimte'!R49</f>
        <v>19812013.168609977</v>
      </c>
    </row>
    <row r="46" spans="1:16" s="14" customFormat="1" x14ac:dyDescent="0.2">
      <c r="A46" s="59"/>
      <c r="B46" s="59"/>
      <c r="C46" s="59"/>
      <c r="E46" s="59"/>
      <c r="F46" s="60"/>
      <c r="G46" s="60"/>
      <c r="H46" s="60"/>
      <c r="I46" s="60"/>
    </row>
  </sheetData>
  <phoneticPr fontId="3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0">
    <tabColor theme="0" tint="-4.9989318521683403E-2"/>
  </sheetPr>
  <dimension ref="A1"/>
  <sheetViews>
    <sheetView showGridLines="0" zoomScale="85" zoomScaleNormal="85" workbookViewId="0"/>
  </sheetViews>
  <sheetFormatPr defaultRowHeight="12.75" x14ac:dyDescent="0.2"/>
  <cols>
    <col min="1" max="16384" width="9.140625" style="28"/>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tabColor rgb="FFE1FFE1"/>
  </sheetPr>
  <dimension ref="B2:Y44"/>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x14ac:dyDescent="0.2"/>
  <cols>
    <col min="1" max="1" width="2.7109375" style="6" customWidth="1"/>
    <col min="2" max="2" width="81.7109375" style="6" bestFit="1" customWidth="1"/>
    <col min="3" max="3" width="2.7109375" style="6" customWidth="1"/>
    <col min="4" max="4" width="15.28515625" style="6" bestFit="1" customWidth="1"/>
    <col min="5" max="5" width="2.7109375" style="6" customWidth="1"/>
    <col min="6" max="6" width="12.85546875" style="6" bestFit="1" customWidth="1"/>
    <col min="7" max="7" width="2.7109375" style="6" customWidth="1"/>
    <col min="8" max="8" width="21.42578125" style="6" customWidth="1"/>
    <col min="9" max="9" width="2.7109375" style="6" customWidth="1"/>
    <col min="10" max="10" width="3" style="6" customWidth="1"/>
    <col min="11" max="11" width="15" style="6" customWidth="1"/>
    <col min="12" max="12" width="3.5703125" style="6" customWidth="1"/>
    <col min="13" max="23" width="12.5703125" style="6" customWidth="1"/>
    <col min="24" max="24" width="2.7109375" style="6" customWidth="1"/>
    <col min="25" max="25" width="13.7109375" style="6" customWidth="1"/>
    <col min="26" max="26" width="6.42578125" style="6" bestFit="1" customWidth="1"/>
    <col min="27" max="41" width="13.7109375" style="6" customWidth="1"/>
    <col min="42" max="16384" width="9.140625" style="6"/>
  </cols>
  <sheetData>
    <row r="2" spans="2:25" s="26" customFormat="1" ht="18" x14ac:dyDescent="0.2">
      <c r="B2" s="26" t="s">
        <v>194</v>
      </c>
    </row>
    <row r="4" spans="2:25" x14ac:dyDescent="0.2">
      <c r="B4" s="33" t="s">
        <v>26</v>
      </c>
      <c r="N4"/>
    </row>
    <row r="5" spans="2:25" x14ac:dyDescent="0.2">
      <c r="B5" s="29" t="s">
        <v>342</v>
      </c>
    </row>
    <row r="6" spans="2:25" x14ac:dyDescent="0.2">
      <c r="B6" s="29"/>
    </row>
    <row r="8" spans="2:25" s="13" customFormat="1" x14ac:dyDescent="0.2">
      <c r="B8" s="13" t="s">
        <v>42</v>
      </c>
      <c r="D8" s="13" t="s">
        <v>71</v>
      </c>
      <c r="F8" s="13" t="s">
        <v>25</v>
      </c>
      <c r="H8" s="13" t="s">
        <v>302</v>
      </c>
      <c r="K8" s="13" t="s">
        <v>303</v>
      </c>
      <c r="M8" s="52">
        <v>2016</v>
      </c>
      <c r="N8" s="52">
        <v>2017</v>
      </c>
      <c r="O8" s="52">
        <v>2018</v>
      </c>
      <c r="P8" s="52">
        <v>2019</v>
      </c>
      <c r="Q8" s="52">
        <v>2020</v>
      </c>
      <c r="R8" s="52">
        <v>2021</v>
      </c>
      <c r="S8" s="52">
        <v>2022</v>
      </c>
      <c r="T8" s="52">
        <v>2023</v>
      </c>
      <c r="U8" s="52">
        <v>2024</v>
      </c>
      <c r="V8" s="52">
        <v>2025</v>
      </c>
      <c r="W8" s="52">
        <v>2026</v>
      </c>
      <c r="Y8" s="13" t="s">
        <v>297</v>
      </c>
    </row>
    <row r="10" spans="2:25" s="13" customFormat="1" x14ac:dyDescent="0.2">
      <c r="B10" s="13" t="s">
        <v>343</v>
      </c>
    </row>
    <row r="12" spans="2:25" x14ac:dyDescent="0.2">
      <c r="B12" s="5" t="s">
        <v>347</v>
      </c>
    </row>
    <row r="13" spans="2:25" x14ac:dyDescent="0.2">
      <c r="B13" s="6" t="s">
        <v>348</v>
      </c>
      <c r="F13" s="6" t="s">
        <v>110</v>
      </c>
      <c r="H13" s="70">
        <v>3.4000000000000002E-2</v>
      </c>
      <c r="Y13" s="83" t="s">
        <v>550</v>
      </c>
    </row>
    <row r="14" spans="2:25" x14ac:dyDescent="0.2">
      <c r="B14" s="6" t="s">
        <v>349</v>
      </c>
      <c r="F14" s="6" t="s">
        <v>110</v>
      </c>
      <c r="H14" s="70">
        <v>3.6999999999999998E-2</v>
      </c>
      <c r="Y14" s="83" t="s">
        <v>550</v>
      </c>
    </row>
    <row r="16" spans="2:25" x14ac:dyDescent="0.2">
      <c r="B16" s="5" t="s">
        <v>346</v>
      </c>
    </row>
    <row r="17" spans="2:25" x14ac:dyDescent="0.2">
      <c r="B17" s="6" t="s">
        <v>344</v>
      </c>
      <c r="F17" s="6" t="s">
        <v>110</v>
      </c>
      <c r="H17" s="70">
        <v>1.7000000000000001E-2</v>
      </c>
      <c r="Y17" s="83" t="s">
        <v>550</v>
      </c>
    </row>
    <row r="18" spans="2:25" x14ac:dyDescent="0.2">
      <c r="B18" s="6" t="s">
        <v>345</v>
      </c>
      <c r="F18" s="6" t="s">
        <v>110</v>
      </c>
      <c r="H18" s="70">
        <v>1.9E-2</v>
      </c>
      <c r="Y18" s="83" t="s">
        <v>550</v>
      </c>
    </row>
    <row r="20" spans="2:25" s="13" customFormat="1" x14ac:dyDescent="0.2">
      <c r="B20" s="13" t="s">
        <v>111</v>
      </c>
    </row>
    <row r="22" spans="2:25" x14ac:dyDescent="0.2">
      <c r="B22" s="33" t="s">
        <v>111</v>
      </c>
    </row>
    <row r="23" spans="2:25" x14ac:dyDescent="0.2">
      <c r="B23" s="6" t="s">
        <v>111</v>
      </c>
      <c r="F23" s="6" t="s">
        <v>110</v>
      </c>
      <c r="M23" s="86">
        <v>8.0000000000000002E-3</v>
      </c>
      <c r="N23" s="86">
        <v>2E-3</v>
      </c>
      <c r="O23" s="86">
        <v>1.4E-2</v>
      </c>
      <c r="P23" s="86">
        <v>2.1000000000000001E-2</v>
      </c>
      <c r="Q23" s="86">
        <v>2.8000000000000001E-2</v>
      </c>
      <c r="R23" s="86">
        <v>7.0000000000000001E-3</v>
      </c>
      <c r="Y23" s="6" t="s">
        <v>112</v>
      </c>
    </row>
    <row r="25" spans="2:25" x14ac:dyDescent="0.2">
      <c r="B25" s="5" t="s">
        <v>463</v>
      </c>
    </row>
    <row r="26" spans="2:25" x14ac:dyDescent="0.2">
      <c r="B26" s="6" t="s">
        <v>462</v>
      </c>
      <c r="F26" s="6" t="s">
        <v>110</v>
      </c>
      <c r="H26" s="4">
        <v>1.7999999999999999E-2</v>
      </c>
      <c r="Y26" s="83" t="s">
        <v>553</v>
      </c>
    </row>
    <row r="28" spans="2:25" s="13" customFormat="1" x14ac:dyDescent="0.2">
      <c r="B28" s="13" t="s">
        <v>222</v>
      </c>
    </row>
    <row r="30" spans="2:25" x14ac:dyDescent="0.2">
      <c r="B30" s="6" t="s">
        <v>242</v>
      </c>
      <c r="F30" s="14" t="s">
        <v>266</v>
      </c>
      <c r="S30" s="39">
        <v>172620647.74726528</v>
      </c>
      <c r="T30" s="39">
        <v>140678937.9720974</v>
      </c>
      <c r="U30" s="39">
        <v>109338789.46391147</v>
      </c>
      <c r="V30" s="39">
        <v>88830885.653209269</v>
      </c>
      <c r="W30" s="39">
        <v>77816375.827940822</v>
      </c>
      <c r="Y30" s="6" t="s">
        <v>554</v>
      </c>
    </row>
    <row r="31" spans="2:25" x14ac:dyDescent="0.2">
      <c r="B31" s="6" t="s">
        <v>245</v>
      </c>
      <c r="F31" s="14" t="s">
        <v>266</v>
      </c>
      <c r="S31" s="39">
        <v>44361415.463671952</v>
      </c>
      <c r="T31" s="39">
        <v>38948966.405964598</v>
      </c>
      <c r="U31" s="39">
        <v>33877302.408410132</v>
      </c>
      <c r="V31" s="39">
        <v>31081008.813953921</v>
      </c>
      <c r="W31" s="39">
        <v>28775973.441877425</v>
      </c>
      <c r="Y31" s="6" t="s">
        <v>555</v>
      </c>
    </row>
    <row r="32" spans="2:25" ht="13.5" customHeight="1" x14ac:dyDescent="0.2">
      <c r="F32" s="14"/>
    </row>
    <row r="33" spans="2:25" s="13" customFormat="1" x14ac:dyDescent="0.2">
      <c r="B33" s="13" t="s">
        <v>499</v>
      </c>
    </row>
    <row r="35" spans="2:25" x14ac:dyDescent="0.2">
      <c r="B35" s="6" t="s">
        <v>500</v>
      </c>
      <c r="F35" s="6" t="s">
        <v>110</v>
      </c>
      <c r="H35" s="4">
        <v>2.5444272186812E-3</v>
      </c>
      <c r="Y35" s="6" t="s">
        <v>556</v>
      </c>
    </row>
    <row r="36" spans="2:25" x14ac:dyDescent="0.2">
      <c r="B36" s="6" t="s">
        <v>501</v>
      </c>
      <c r="F36" s="6" t="s">
        <v>110</v>
      </c>
      <c r="H36" s="4">
        <v>-3.1175556579387642E-2</v>
      </c>
      <c r="Y36" s="6" t="s">
        <v>557</v>
      </c>
    </row>
    <row r="43" spans="2:25" x14ac:dyDescent="0.2">
      <c r="S43" s="186"/>
    </row>
    <row r="44" spans="2:25" x14ac:dyDescent="0.2">
      <c r="S44" s="186"/>
    </row>
  </sheetData>
  <phoneticPr fontId="33"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2">
    <tabColor rgb="FFE1FFE1"/>
  </sheetPr>
  <dimension ref="B2:X129"/>
  <sheetViews>
    <sheetView showGridLines="0" zoomScale="85" zoomScaleNormal="85" workbookViewId="0">
      <pane xSplit="6" ySplit="10" topLeftCell="G11" activePane="bottomRight" state="frozen"/>
      <selection pane="topRight" activeCell="G1" sqref="G1"/>
      <selection pane="bottomLeft" activeCell="A11" sqref="A11"/>
      <selection pane="bottomRight" activeCell="G11" sqref="G11"/>
    </sheetView>
  </sheetViews>
  <sheetFormatPr defaultRowHeight="12.75" x14ac:dyDescent="0.2"/>
  <cols>
    <col min="1" max="1" width="2.7109375" style="6" customWidth="1"/>
    <col min="2" max="2" width="51.5703125" style="6" customWidth="1"/>
    <col min="3" max="3" width="2.7109375" style="6" customWidth="1"/>
    <col min="4" max="4" width="18.5703125" style="6" customWidth="1"/>
    <col min="5" max="5" width="2.7109375" style="6" customWidth="1"/>
    <col min="6" max="6" width="14.7109375" style="6" customWidth="1"/>
    <col min="7" max="7" width="6" style="6" customWidth="1"/>
    <col min="8" max="8" width="14.7109375" style="6" customWidth="1"/>
    <col min="9" max="9" width="5.140625" style="6" customWidth="1"/>
    <col min="10" max="10" width="2.7109375" style="6" customWidth="1"/>
    <col min="11" max="11" width="16.7109375" style="6" customWidth="1"/>
    <col min="12" max="12" width="2.7109375" style="6" customWidth="1"/>
    <col min="13" max="18" width="12.5703125" style="6" customWidth="1"/>
    <col min="19" max="19" width="2.7109375" style="6" customWidth="1"/>
    <col min="20" max="20" width="13.7109375" style="6" customWidth="1"/>
    <col min="21" max="21" width="12.5703125" style="6" customWidth="1"/>
    <col min="22" max="22" width="2.7109375" style="6" customWidth="1"/>
    <col min="23" max="37" width="13.7109375" style="6" customWidth="1"/>
    <col min="38" max="16384" width="9.140625" style="6"/>
  </cols>
  <sheetData>
    <row r="2" spans="2:24" s="26" customFormat="1" ht="18" x14ac:dyDescent="0.2">
      <c r="B2" s="26" t="s">
        <v>195</v>
      </c>
    </row>
    <row r="3" spans="2:24" ht="12.75" customHeight="1" x14ac:dyDescent="0.2"/>
    <row r="4" spans="2:24" x14ac:dyDescent="0.2">
      <c r="B4" s="33" t="s">
        <v>53</v>
      </c>
    </row>
    <row r="5" spans="2:24" ht="52.5" customHeight="1" x14ac:dyDescent="0.2">
      <c r="B5" s="187" t="s">
        <v>350</v>
      </c>
      <c r="C5" s="187"/>
    </row>
    <row r="6" spans="2:24" ht="12.75" customHeight="1" x14ac:dyDescent="0.2">
      <c r="B6" s="29"/>
    </row>
    <row r="7" spans="2:24" ht="12.75" customHeight="1" x14ac:dyDescent="0.2">
      <c r="B7" s="34" t="s">
        <v>27</v>
      </c>
      <c r="C7" s="53"/>
    </row>
    <row r="8" spans="2:24" ht="79.5" customHeight="1" x14ac:dyDescent="0.2">
      <c r="B8" s="187" t="s">
        <v>351</v>
      </c>
      <c r="C8" s="187"/>
      <c r="D8" s="27"/>
    </row>
    <row r="9" spans="2:24" x14ac:dyDescent="0.2">
      <c r="B9" s="29"/>
      <c r="D9" s="27"/>
    </row>
    <row r="10" spans="2:24" s="13" customFormat="1" x14ac:dyDescent="0.2">
      <c r="B10" s="13" t="s">
        <v>42</v>
      </c>
      <c r="D10" s="13" t="s">
        <v>71</v>
      </c>
      <c r="F10" s="13" t="s">
        <v>25</v>
      </c>
      <c r="H10" s="13" t="s">
        <v>302</v>
      </c>
      <c r="K10" s="13" t="s">
        <v>303</v>
      </c>
      <c r="M10" s="13" t="s">
        <v>72</v>
      </c>
      <c r="N10" s="13" t="s">
        <v>73</v>
      </c>
      <c r="O10" s="13" t="s">
        <v>74</v>
      </c>
      <c r="P10" s="13" t="s">
        <v>75</v>
      </c>
      <c r="Q10" s="13" t="s">
        <v>76</v>
      </c>
      <c r="R10" s="13" t="s">
        <v>77</v>
      </c>
      <c r="T10" s="13" t="s">
        <v>321</v>
      </c>
      <c r="U10" s="13" t="s">
        <v>494</v>
      </c>
      <c r="W10" s="13" t="s">
        <v>297</v>
      </c>
      <c r="X10" s="13" t="s">
        <v>43</v>
      </c>
    </row>
    <row r="12" spans="2:24" s="13" customFormat="1" x14ac:dyDescent="0.2">
      <c r="B12" s="13" t="s">
        <v>78</v>
      </c>
    </row>
    <row r="14" spans="2:24" s="13" customFormat="1" x14ac:dyDescent="0.2">
      <c r="B14" s="13" t="s">
        <v>79</v>
      </c>
    </row>
    <row r="16" spans="2:24" x14ac:dyDescent="0.2">
      <c r="B16" s="5" t="s">
        <v>84</v>
      </c>
    </row>
    <row r="17" spans="2:23" x14ac:dyDescent="0.2">
      <c r="B17" s="6" t="s">
        <v>81</v>
      </c>
      <c r="F17" s="6" t="s">
        <v>82</v>
      </c>
      <c r="K17" s="43">
        <f>SUM(M17:R17)</f>
        <v>282537610.01299536</v>
      </c>
      <c r="M17" s="39">
        <v>6176784.590973869</v>
      </c>
      <c r="N17" s="39">
        <v>92200434.009124994</v>
      </c>
      <c r="O17" s="39">
        <v>100693952.63604385</v>
      </c>
      <c r="P17" s="39">
        <v>2600002.6199999996</v>
      </c>
      <c r="Q17" s="39">
        <v>75191397.257914767</v>
      </c>
      <c r="R17" s="39">
        <v>5675038.8989379015</v>
      </c>
      <c r="T17" s="44"/>
      <c r="U17" s="44"/>
      <c r="W17" s="6" t="s">
        <v>562</v>
      </c>
    </row>
    <row r="18" spans="2:23" x14ac:dyDescent="0.2">
      <c r="B18" s="6" t="s">
        <v>83</v>
      </c>
      <c r="D18" s="6" t="s">
        <v>201</v>
      </c>
      <c r="F18" s="6" t="s">
        <v>82</v>
      </c>
      <c r="K18" s="43">
        <f>SUM(M18:R18)</f>
        <v>500278133.25170583</v>
      </c>
      <c r="M18" s="39">
        <v>8084037.872840588</v>
      </c>
      <c r="N18" s="39">
        <v>148444791.37076974</v>
      </c>
      <c r="O18" s="39">
        <v>172790120.46188441</v>
      </c>
      <c r="P18" s="39">
        <v>12861153.023255788</v>
      </c>
      <c r="Q18" s="39">
        <v>145782894.88395038</v>
      </c>
      <c r="R18" s="39">
        <v>12315135.639004884</v>
      </c>
      <c r="T18" s="39">
        <v>158476563.14015028</v>
      </c>
      <c r="U18" s="39">
        <v>13126864.672760796</v>
      </c>
    </row>
    <row r="20" spans="2:23" s="13" customFormat="1" x14ac:dyDescent="0.2">
      <c r="B20" s="13" t="s">
        <v>85</v>
      </c>
    </row>
    <row r="22" spans="2:23" x14ac:dyDescent="0.2">
      <c r="B22" s="5" t="s">
        <v>84</v>
      </c>
    </row>
    <row r="23" spans="2:23" x14ac:dyDescent="0.2">
      <c r="B23" s="170" t="s">
        <v>246</v>
      </c>
      <c r="F23" s="6" t="s">
        <v>87</v>
      </c>
      <c r="K23" s="43">
        <f>SUM(M23:R23)</f>
        <v>257097360.87735882</v>
      </c>
      <c r="M23" s="39">
        <v>6941854.3154678587</v>
      </c>
      <c r="N23" s="39">
        <v>87579860.043338895</v>
      </c>
      <c r="O23" s="39">
        <v>89159817.473472208</v>
      </c>
      <c r="P23" s="39">
        <v>2199962.58</v>
      </c>
      <c r="Q23" s="39">
        <v>65999814.033992812</v>
      </c>
      <c r="R23" s="39">
        <v>5216052.4310870357</v>
      </c>
      <c r="T23" s="44"/>
      <c r="U23" s="44"/>
      <c r="W23" s="6" t="s">
        <v>562</v>
      </c>
    </row>
    <row r="24" spans="2:23" x14ac:dyDescent="0.2">
      <c r="B24" s="6" t="s">
        <v>88</v>
      </c>
      <c r="D24" s="6" t="s">
        <v>201</v>
      </c>
      <c r="F24" s="6" t="s">
        <v>87</v>
      </c>
      <c r="K24" s="43">
        <f>SUM(M24:R24)</f>
        <v>507952692.94629735</v>
      </c>
      <c r="M24" s="39">
        <v>8075055.8477739617</v>
      </c>
      <c r="N24" s="39">
        <v>152371746.12126285</v>
      </c>
      <c r="O24" s="39">
        <v>175218531.73587322</v>
      </c>
      <c r="P24" s="39">
        <v>12794169.254421353</v>
      </c>
      <c r="Q24" s="39">
        <v>147179364.15054569</v>
      </c>
      <c r="R24" s="39">
        <v>12313825.836420223</v>
      </c>
      <c r="T24" s="39">
        <v>163957287.11700988</v>
      </c>
      <c r="U24" s="39">
        <v>13117533.360657634</v>
      </c>
    </row>
    <row r="25" spans="2:23" x14ac:dyDescent="0.2">
      <c r="B25" s="6" t="s">
        <v>88</v>
      </c>
      <c r="D25" s="6" t="s">
        <v>202</v>
      </c>
      <c r="F25" s="6" t="s">
        <v>87</v>
      </c>
      <c r="K25" s="43">
        <f>SUM(M25:R25)</f>
        <v>526478146.54528672</v>
      </c>
      <c r="M25" s="39">
        <v>8353730.6496308427</v>
      </c>
      <c r="N25" s="39">
        <v>158076649.49278802</v>
      </c>
      <c r="O25" s="39">
        <v>181764040.8816821</v>
      </c>
      <c r="P25" s="39">
        <v>13221774.902596837</v>
      </c>
      <c r="Q25" s="39">
        <v>152382612.56308061</v>
      </c>
      <c r="R25" s="39">
        <v>12679338.055508319</v>
      </c>
      <c r="T25" s="39">
        <v>169754856.13584235</v>
      </c>
      <c r="U25" s="39">
        <v>13549278.508905917</v>
      </c>
    </row>
    <row r="27" spans="2:23" s="13" customFormat="1" x14ac:dyDescent="0.2">
      <c r="B27" s="13" t="s">
        <v>89</v>
      </c>
    </row>
    <row r="29" spans="2:23" x14ac:dyDescent="0.2">
      <c r="B29" s="5" t="s">
        <v>84</v>
      </c>
    </row>
    <row r="30" spans="2:23" x14ac:dyDescent="0.2">
      <c r="B30" s="6" t="s">
        <v>90</v>
      </c>
      <c r="F30" s="6" t="s">
        <v>91</v>
      </c>
      <c r="K30" s="43">
        <f>SUM(M30:R30)</f>
        <v>260029208.98624751</v>
      </c>
      <c r="M30" s="39">
        <v>7064863.1754109645</v>
      </c>
      <c r="N30" s="39">
        <v>99992789.014593199</v>
      </c>
      <c r="O30" s="39">
        <v>80933587.633506775</v>
      </c>
      <c r="P30" s="39">
        <v>2490556.77</v>
      </c>
      <c r="Q30" s="39">
        <v>63716626.830970347</v>
      </c>
      <c r="R30" s="39">
        <v>5830785.5617661998</v>
      </c>
      <c r="T30" s="44"/>
      <c r="U30" s="44"/>
      <c r="W30" s="6" t="s">
        <v>562</v>
      </c>
    </row>
    <row r="31" spans="2:23" x14ac:dyDescent="0.2">
      <c r="B31" s="6" t="s">
        <v>92</v>
      </c>
      <c r="D31" s="6" t="s">
        <v>202</v>
      </c>
      <c r="F31" s="6" t="s">
        <v>91</v>
      </c>
      <c r="K31" s="43">
        <f>SUM(M31:R31)</f>
        <v>531250906.71488857</v>
      </c>
      <c r="M31" s="39">
        <v>8292143.7433031108</v>
      </c>
      <c r="N31" s="39">
        <v>161768434.78822938</v>
      </c>
      <c r="O31" s="39">
        <v>183020099.37703043</v>
      </c>
      <c r="P31" s="39">
        <v>12974182.491632698</v>
      </c>
      <c r="Q31" s="39">
        <v>152732090.14900213</v>
      </c>
      <c r="R31" s="39">
        <v>12463956.165690865</v>
      </c>
      <c r="T31" s="39">
        <v>171903878.69908452</v>
      </c>
      <c r="U31" s="39">
        <v>13396868.530015409</v>
      </c>
    </row>
    <row r="32" spans="2:23" x14ac:dyDescent="0.2">
      <c r="B32" s="6" t="s">
        <v>92</v>
      </c>
      <c r="D32" s="6" t="s">
        <v>203</v>
      </c>
      <c r="F32" s="6" t="s">
        <v>91</v>
      </c>
      <c r="K32" s="43">
        <f>SUM(M32:R32)</f>
        <v>512722610.26824558</v>
      </c>
      <c r="M32" s="39">
        <v>8021383.0320107751</v>
      </c>
      <c r="N32" s="39">
        <v>155918112.84666714</v>
      </c>
      <c r="O32" s="39">
        <v>176512582.60796082</v>
      </c>
      <c r="P32" s="39">
        <v>12562039.177145572</v>
      </c>
      <c r="Q32" s="39">
        <v>147596872.79831836</v>
      </c>
      <c r="R32" s="39">
        <v>12111619.806142952</v>
      </c>
      <c r="T32" s="39">
        <v>165988272.23387426</v>
      </c>
      <c r="U32" s="39">
        <v>12979862.649811821</v>
      </c>
    </row>
    <row r="34" spans="2:23" s="13" customFormat="1" x14ac:dyDescent="0.2">
      <c r="B34" s="13" t="s">
        <v>93</v>
      </c>
    </row>
    <row r="36" spans="2:23" x14ac:dyDescent="0.2">
      <c r="B36" s="5" t="s">
        <v>80</v>
      </c>
    </row>
    <row r="37" spans="2:23" x14ac:dyDescent="0.2">
      <c r="B37" s="6" t="s">
        <v>94</v>
      </c>
      <c r="F37" s="6" t="s">
        <v>95</v>
      </c>
      <c r="K37" s="43">
        <f>SUM(M37:R37)</f>
        <v>257688653.65353355</v>
      </c>
      <c r="M37" s="39">
        <v>6758153</v>
      </c>
      <c r="N37" s="39">
        <v>95505435.700098172</v>
      </c>
      <c r="O37" s="39">
        <v>76958427.396647066</v>
      </c>
      <c r="P37" s="39">
        <v>2521152.6185145602</v>
      </c>
      <c r="Q37" s="39">
        <v>70298588.815699309</v>
      </c>
      <c r="R37" s="39">
        <v>5646896.12257443</v>
      </c>
      <c r="T37" s="44"/>
      <c r="U37" s="44"/>
      <c r="W37" s="6" t="s">
        <v>562</v>
      </c>
    </row>
    <row r="38" spans="2:23" x14ac:dyDescent="0.2">
      <c r="B38" s="6" t="s">
        <v>96</v>
      </c>
      <c r="D38" s="6" t="s">
        <v>159</v>
      </c>
      <c r="F38" s="6" t="s">
        <v>95</v>
      </c>
      <c r="K38" s="43">
        <f>SUM(M38:R38)</f>
        <v>377564491.51204342</v>
      </c>
      <c r="M38" s="39">
        <v>5980782.721283108</v>
      </c>
      <c r="N38" s="39">
        <v>114298308.38214783</v>
      </c>
      <c r="O38" s="39">
        <v>128974995.70487215</v>
      </c>
      <c r="P38" s="39">
        <v>8715036.3046902902</v>
      </c>
      <c r="Q38" s="39">
        <v>110181556.62985589</v>
      </c>
      <c r="R38" s="39">
        <v>9413811.7691941038</v>
      </c>
      <c r="T38" s="39">
        <v>121126472.11604382</v>
      </c>
      <c r="U38" s="39">
        <v>9208903.8400254585</v>
      </c>
    </row>
    <row r="39" spans="2:23" x14ac:dyDescent="0.2">
      <c r="B39" s="6" t="s">
        <v>96</v>
      </c>
      <c r="D39" s="6" t="s">
        <v>160</v>
      </c>
      <c r="F39" s="6" t="s">
        <v>95</v>
      </c>
      <c r="K39" s="43">
        <f>SUM(M39:R39)</f>
        <v>390155425.03045368</v>
      </c>
      <c r="M39" s="39">
        <v>6157995.6381635889</v>
      </c>
      <c r="N39" s="39">
        <v>118362169.24406151</v>
      </c>
      <c r="O39" s="39">
        <v>133360140.0526607</v>
      </c>
      <c r="P39" s="39">
        <v>8983506.4586200137</v>
      </c>
      <c r="Q39" s="39">
        <v>113647900.28841291</v>
      </c>
      <c r="R39" s="39">
        <v>9643713.3485349603</v>
      </c>
      <c r="T39" s="39">
        <v>125221336.04053968</v>
      </c>
      <c r="U39" s="39">
        <v>9481068.5905306209</v>
      </c>
    </row>
    <row r="41" spans="2:23" x14ac:dyDescent="0.2">
      <c r="B41" s="5" t="s">
        <v>84</v>
      </c>
    </row>
    <row r="42" spans="2:23" x14ac:dyDescent="0.2">
      <c r="B42" s="6" t="s">
        <v>96</v>
      </c>
      <c r="D42" s="6" t="s">
        <v>203</v>
      </c>
      <c r="F42" s="6" t="s">
        <v>95</v>
      </c>
      <c r="K42" s="43">
        <f>SUM(M42:R42)</f>
        <v>525507960.35336465</v>
      </c>
      <c r="M42" s="39">
        <v>8063034.4946287656</v>
      </c>
      <c r="N42" s="39">
        <v>162048673.50963363</v>
      </c>
      <c r="O42" s="39">
        <v>180500441.7913878</v>
      </c>
      <c r="P42" s="39">
        <v>11869560.613364521</v>
      </c>
      <c r="Q42" s="39">
        <v>150911094.61790079</v>
      </c>
      <c r="R42" s="39">
        <v>12115155.326449171</v>
      </c>
      <c r="T42" s="39">
        <v>169241123.22887009</v>
      </c>
      <c r="U42" s="39">
        <v>12406839.658461116</v>
      </c>
    </row>
    <row r="43" spans="2:23" x14ac:dyDescent="0.2">
      <c r="B43" s="6" t="s">
        <v>96</v>
      </c>
      <c r="D43" s="6" t="s">
        <v>204</v>
      </c>
      <c r="F43" s="6" t="s">
        <v>95</v>
      </c>
      <c r="K43" s="43">
        <f>SUM(M43:R43)</f>
        <v>506621560.07574916</v>
      </c>
      <c r="M43" s="39">
        <v>7797215.1193080433</v>
      </c>
      <c r="N43" s="39">
        <v>155952882.21676308</v>
      </c>
      <c r="O43" s="39">
        <v>173922725.26970494</v>
      </c>
      <c r="P43" s="39">
        <v>11466855.382469939</v>
      </c>
      <c r="Q43" s="39">
        <v>145711579.13006529</v>
      </c>
      <c r="R43" s="39">
        <v>11770302.957437884</v>
      </c>
      <c r="T43" s="39">
        <v>163098827.34212631</v>
      </c>
      <c r="U43" s="39">
        <v>11998592.532703374</v>
      </c>
    </row>
    <row r="45" spans="2:23" s="13" customFormat="1" x14ac:dyDescent="0.2">
      <c r="B45" s="13" t="s">
        <v>97</v>
      </c>
    </row>
    <row r="47" spans="2:23" x14ac:dyDescent="0.2">
      <c r="B47" s="5" t="s">
        <v>80</v>
      </c>
    </row>
    <row r="48" spans="2:23" x14ac:dyDescent="0.2">
      <c r="B48" s="6" t="s">
        <v>98</v>
      </c>
      <c r="F48" s="6" t="s">
        <v>99</v>
      </c>
      <c r="K48" s="43">
        <f>SUM(M48:R48)</f>
        <v>267983186.59538919</v>
      </c>
      <c r="M48" s="39">
        <v>6985264</v>
      </c>
      <c r="N48" s="39">
        <v>101694716.57557337</v>
      </c>
      <c r="O48" s="39">
        <v>76229768.175603509</v>
      </c>
      <c r="P48" s="39">
        <v>2544685.8400000003</v>
      </c>
      <c r="Q48" s="39">
        <v>75323852.599226594</v>
      </c>
      <c r="R48" s="39">
        <v>5204899.4049857026</v>
      </c>
      <c r="T48" s="44"/>
      <c r="U48" s="44"/>
      <c r="W48" s="6" t="s">
        <v>562</v>
      </c>
    </row>
    <row r="49" spans="2:23" x14ac:dyDescent="0.2">
      <c r="B49" s="6" t="s">
        <v>536</v>
      </c>
      <c r="F49" s="6" t="s">
        <v>99</v>
      </c>
      <c r="K49" s="43">
        <f>SUM(M49:R49)</f>
        <v>324659.82</v>
      </c>
      <c r="M49" s="176">
        <v>67838.039999999994</v>
      </c>
      <c r="N49" s="176">
        <v>0</v>
      </c>
      <c r="O49" s="176">
        <v>256821.78</v>
      </c>
      <c r="P49" s="176">
        <v>0</v>
      </c>
      <c r="Q49" s="176">
        <v>0</v>
      </c>
      <c r="R49" s="176">
        <v>0</v>
      </c>
      <c r="S49" s="29"/>
      <c r="T49" s="177"/>
      <c r="U49" s="177"/>
    </row>
    <row r="50" spans="2:23" x14ac:dyDescent="0.2">
      <c r="B50" s="6" t="s">
        <v>100</v>
      </c>
      <c r="D50" s="6" t="s">
        <v>159</v>
      </c>
      <c r="F50" s="6" t="s">
        <v>99</v>
      </c>
      <c r="K50" s="43">
        <f>SUM(M50:R50)</f>
        <v>392205182.15980887</v>
      </c>
      <c r="M50" s="39">
        <v>6091460.8548003556</v>
      </c>
      <c r="N50" s="39">
        <v>119648905.03027107</v>
      </c>
      <c r="O50" s="39">
        <v>132900880.04204233</v>
      </c>
      <c r="P50" s="39">
        <v>9438853.9398499448</v>
      </c>
      <c r="Q50" s="39">
        <v>114559043.45184913</v>
      </c>
      <c r="R50" s="39">
        <v>9566038.8409960121</v>
      </c>
      <c r="T50" s="39">
        <v>125201504.61420548</v>
      </c>
      <c r="U50" s="39">
        <v>9990376.5050572231</v>
      </c>
    </row>
    <row r="51" spans="2:23" x14ac:dyDescent="0.2">
      <c r="B51" s="6" t="s">
        <v>100</v>
      </c>
      <c r="D51" s="6" t="s">
        <v>160</v>
      </c>
      <c r="F51" s="6" t="s">
        <v>99</v>
      </c>
      <c r="K51" s="43">
        <f>SUM(M51:R51)</f>
        <v>405102078.12612069</v>
      </c>
      <c r="M51" s="39">
        <v>6265779.691448749</v>
      </c>
      <c r="N51" s="39">
        <v>123900072.4871698</v>
      </c>
      <c r="O51" s="39">
        <v>137318608.12038994</v>
      </c>
      <c r="P51" s="39">
        <v>9702167.6703713555</v>
      </c>
      <c r="Q51" s="39">
        <v>118120281.83544946</v>
      </c>
      <c r="R51" s="39">
        <v>9795168.3212913647</v>
      </c>
      <c r="T51" s="39">
        <v>129473576.37194706</v>
      </c>
      <c r="U51" s="39">
        <v>10257726.224828999</v>
      </c>
    </row>
    <row r="53" spans="2:23" x14ac:dyDescent="0.2">
      <c r="B53" s="5" t="s">
        <v>84</v>
      </c>
    </row>
    <row r="54" spans="2:23" x14ac:dyDescent="0.2">
      <c r="B54" s="6" t="s">
        <v>100</v>
      </c>
      <c r="D54" s="6" t="s">
        <v>204</v>
      </c>
      <c r="F54" s="6" t="s">
        <v>99</v>
      </c>
      <c r="K54" s="43">
        <f>SUM(M54:R54)</f>
        <v>524398365.81450504</v>
      </c>
      <c r="M54" s="39">
        <v>7878228.9304463891</v>
      </c>
      <c r="N54" s="39">
        <v>163223371.46348315</v>
      </c>
      <c r="O54" s="39">
        <v>178182592.84510538</v>
      </c>
      <c r="P54" s="39">
        <v>12137819.677694397</v>
      </c>
      <c r="Q54" s="39">
        <v>151061736.88375238</v>
      </c>
      <c r="R54" s="39">
        <v>11914616.014023378</v>
      </c>
      <c r="T54" s="39">
        <v>168990240.13105682</v>
      </c>
      <c r="U54" s="39">
        <v>12730711.132717932</v>
      </c>
    </row>
    <row r="55" spans="2:23" x14ac:dyDescent="0.2">
      <c r="B55" s="6" t="s">
        <v>100</v>
      </c>
      <c r="D55" s="6" t="s">
        <v>205</v>
      </c>
      <c r="F55" s="6" t="s">
        <v>99</v>
      </c>
      <c r="K55" s="43">
        <f>SUM(M55:R55)</f>
        <v>505053021.86503738</v>
      </c>
      <c r="M55" s="39">
        <v>7616750.6754737981</v>
      </c>
      <c r="N55" s="39">
        <v>156846620.27813506</v>
      </c>
      <c r="O55" s="39">
        <v>171556000.72758394</v>
      </c>
      <c r="P55" s="39">
        <v>11742849.081912283</v>
      </c>
      <c r="Q55" s="39">
        <v>145719879.3083519</v>
      </c>
      <c r="R55" s="39">
        <v>11570921.79358035</v>
      </c>
      <c r="T55" s="39">
        <v>162582132.49444443</v>
      </c>
      <c r="U55" s="39">
        <v>12329686.553060267</v>
      </c>
    </row>
    <row r="57" spans="2:23" s="13" customFormat="1" x14ac:dyDescent="0.2">
      <c r="B57" s="13" t="s">
        <v>101</v>
      </c>
    </row>
    <row r="59" spans="2:23" x14ac:dyDescent="0.2">
      <c r="B59" s="5" t="s">
        <v>80</v>
      </c>
    </row>
    <row r="60" spans="2:23" x14ac:dyDescent="0.2">
      <c r="B60" s="6" t="s">
        <v>102</v>
      </c>
      <c r="F60" s="6" t="s">
        <v>103</v>
      </c>
      <c r="K60" s="43">
        <f>SUM(M60:R60)</f>
        <v>292078192.98913848</v>
      </c>
      <c r="M60" s="176">
        <v>7525527.46</v>
      </c>
      <c r="N60" s="176">
        <v>121097628.68580702</v>
      </c>
      <c r="O60" s="176">
        <v>76942076.716958866</v>
      </c>
      <c r="P60" s="176">
        <v>2833672.8800000004</v>
      </c>
      <c r="Q60" s="176">
        <v>77954482.163886607</v>
      </c>
      <c r="R60" s="176">
        <v>5724805.08248604</v>
      </c>
      <c r="S60" s="29"/>
      <c r="T60" s="177"/>
      <c r="U60" s="177"/>
      <c r="W60" s="6" t="s">
        <v>562</v>
      </c>
    </row>
    <row r="61" spans="2:23" x14ac:dyDescent="0.2">
      <c r="B61" s="6" t="s">
        <v>537</v>
      </c>
      <c r="F61" s="6" t="s">
        <v>103</v>
      </c>
      <c r="K61" s="178">
        <f t="shared" ref="K61" si="0">SUM(M61:R61)</f>
        <v>620603.32999999996</v>
      </c>
      <c r="M61" s="176">
        <v>31952.7</v>
      </c>
      <c r="N61" s="176">
        <v>0</v>
      </c>
      <c r="O61" s="176">
        <v>588650.63</v>
      </c>
      <c r="P61" s="176">
        <v>0</v>
      </c>
      <c r="Q61" s="176">
        <v>0</v>
      </c>
      <c r="R61" s="176">
        <v>0</v>
      </c>
      <c r="S61" s="29"/>
      <c r="T61" s="177"/>
      <c r="U61" s="177"/>
    </row>
    <row r="62" spans="2:23" x14ac:dyDescent="0.2">
      <c r="B62" s="6" t="s">
        <v>104</v>
      </c>
      <c r="D62" s="6" t="s">
        <v>159</v>
      </c>
      <c r="F62" s="6" t="s">
        <v>103</v>
      </c>
      <c r="K62" s="43">
        <f>SUM(M62:R62)</f>
        <v>408654413.31279683</v>
      </c>
      <c r="M62" s="176">
        <v>6233245.9329605512</v>
      </c>
      <c r="N62" s="176">
        <v>126131076.89215556</v>
      </c>
      <c r="O62" s="176">
        <v>137725982.73308158</v>
      </c>
      <c r="P62" s="176">
        <v>9670764.5167159047</v>
      </c>
      <c r="Q62" s="176">
        <v>119184054.00413287</v>
      </c>
      <c r="R62" s="176">
        <v>9709289.2337503992</v>
      </c>
      <c r="S62" s="29"/>
      <c r="T62" s="176">
        <v>130281135.97233859</v>
      </c>
      <c r="U62" s="176">
        <v>10195697.134995164</v>
      </c>
    </row>
    <row r="63" spans="2:23" x14ac:dyDescent="0.2">
      <c r="B63" s="6" t="s">
        <v>104</v>
      </c>
      <c r="D63" s="6" t="s">
        <v>160</v>
      </c>
      <c r="F63" s="6" t="s">
        <v>103</v>
      </c>
      <c r="K63" s="43">
        <f>SUM(M63:R63)</f>
        <v>421871301.3662008</v>
      </c>
      <c r="M63" s="176">
        <v>6405105.5079438956</v>
      </c>
      <c r="N63" s="176">
        <v>130585612.29125953</v>
      </c>
      <c r="O63" s="176">
        <v>142211151.86130756</v>
      </c>
      <c r="P63" s="176">
        <v>9931951.5587124228</v>
      </c>
      <c r="Q63" s="176">
        <v>122803796.9366657</v>
      </c>
      <c r="R63" s="176">
        <v>9933683.2103116624</v>
      </c>
      <c r="S63" s="29"/>
      <c r="T63" s="176">
        <v>134749088.9737885</v>
      </c>
      <c r="U63" s="176">
        <v>10460036.905082038</v>
      </c>
    </row>
    <row r="64" spans="2:23" x14ac:dyDescent="0.2">
      <c r="M64" s="29"/>
      <c r="N64" s="29"/>
      <c r="O64" s="29"/>
      <c r="P64" s="29"/>
      <c r="Q64" s="29"/>
      <c r="R64" s="29"/>
      <c r="S64" s="29"/>
      <c r="T64" s="29"/>
      <c r="U64" s="29"/>
    </row>
    <row r="65" spans="2:23" x14ac:dyDescent="0.2">
      <c r="B65" s="5" t="s">
        <v>84</v>
      </c>
      <c r="M65" s="29"/>
      <c r="N65" s="29"/>
      <c r="O65" s="29"/>
      <c r="P65" s="29"/>
      <c r="Q65" s="29"/>
      <c r="R65" s="29"/>
      <c r="S65" s="29"/>
      <c r="T65" s="29"/>
      <c r="U65" s="29"/>
    </row>
    <row r="66" spans="2:23" x14ac:dyDescent="0.2">
      <c r="B66" s="6" t="s">
        <v>104</v>
      </c>
      <c r="D66" s="6" t="s">
        <v>205</v>
      </c>
      <c r="F66" s="6" t="s">
        <v>103</v>
      </c>
      <c r="K66" s="43">
        <f>SUM(M66:R66)</f>
        <v>524302183.78008103</v>
      </c>
      <c r="M66" s="176">
        <v>7737017.2140648114</v>
      </c>
      <c r="N66" s="176">
        <v>165108261.63431513</v>
      </c>
      <c r="O66" s="176">
        <v>176971212.60505921</v>
      </c>
      <c r="P66" s="176">
        <v>11956151.134185441</v>
      </c>
      <c r="Q66" s="176">
        <v>150856804.66379505</v>
      </c>
      <c r="R66" s="176">
        <v>11672736.528661452</v>
      </c>
      <c r="S66" s="29"/>
      <c r="T66" s="176">
        <v>169375724.73502541</v>
      </c>
      <c r="U66" s="176">
        <v>12508670.123255301</v>
      </c>
    </row>
    <row r="67" spans="2:23" x14ac:dyDescent="0.2">
      <c r="M67" s="29"/>
      <c r="N67" s="29"/>
      <c r="O67" s="29"/>
      <c r="P67" s="29"/>
      <c r="Q67" s="29"/>
      <c r="R67" s="29"/>
      <c r="S67" s="29"/>
      <c r="T67" s="29"/>
      <c r="U67" s="29"/>
    </row>
    <row r="68" spans="2:23" s="13" customFormat="1" x14ac:dyDescent="0.2">
      <c r="B68" s="13" t="s">
        <v>105</v>
      </c>
      <c r="M68" s="157"/>
      <c r="N68" s="157"/>
      <c r="O68" s="157"/>
      <c r="P68" s="157"/>
      <c r="Q68" s="157"/>
      <c r="R68" s="157"/>
      <c r="S68" s="157"/>
      <c r="T68" s="157"/>
      <c r="U68" s="157"/>
    </row>
    <row r="69" spans="2:23" x14ac:dyDescent="0.2">
      <c r="M69" s="29"/>
      <c r="N69" s="29"/>
      <c r="O69" s="29"/>
      <c r="P69" s="29"/>
      <c r="Q69" s="29"/>
      <c r="R69" s="29"/>
      <c r="S69" s="29"/>
      <c r="T69" s="29"/>
      <c r="U69" s="29"/>
    </row>
    <row r="70" spans="2:23" s="13" customFormat="1" x14ac:dyDescent="0.2">
      <c r="B70" s="13" t="s">
        <v>79</v>
      </c>
      <c r="M70" s="157"/>
      <c r="N70" s="157"/>
      <c r="O70" s="157"/>
      <c r="P70" s="157"/>
      <c r="Q70" s="157"/>
      <c r="R70" s="157"/>
      <c r="S70" s="157"/>
      <c r="T70" s="157"/>
      <c r="U70" s="157"/>
    </row>
    <row r="71" spans="2:23" x14ac:dyDescent="0.2">
      <c r="M71" s="29"/>
      <c r="N71" s="29"/>
      <c r="O71" s="29"/>
      <c r="P71" s="29"/>
      <c r="Q71" s="29"/>
      <c r="R71" s="29"/>
      <c r="S71" s="29"/>
      <c r="T71" s="29"/>
      <c r="U71" s="29"/>
    </row>
    <row r="72" spans="2:23" x14ac:dyDescent="0.2">
      <c r="B72" s="5" t="s">
        <v>84</v>
      </c>
      <c r="M72" s="29"/>
      <c r="N72" s="29"/>
      <c r="O72" s="29"/>
      <c r="P72" s="29"/>
      <c r="Q72" s="29"/>
      <c r="R72" s="29"/>
      <c r="S72" s="29"/>
      <c r="T72" s="29"/>
      <c r="U72" s="29"/>
    </row>
    <row r="73" spans="2:23" x14ac:dyDescent="0.2">
      <c r="B73" s="6" t="s">
        <v>81</v>
      </c>
      <c r="F73" s="6" t="s">
        <v>82</v>
      </c>
      <c r="K73" s="43">
        <f>SUM(M73:R73)</f>
        <v>87159955.278369233</v>
      </c>
      <c r="M73" s="176">
        <v>1263658.9734415459</v>
      </c>
      <c r="N73" s="176">
        <v>18305855.826902691</v>
      </c>
      <c r="O73" s="176">
        <v>44695823.4841929</v>
      </c>
      <c r="P73" s="176">
        <v>830451.15000000014</v>
      </c>
      <c r="Q73" s="176">
        <v>21193646.576103337</v>
      </c>
      <c r="R73" s="176">
        <v>870519.26772876526</v>
      </c>
      <c r="S73" s="29"/>
      <c r="T73" s="177"/>
      <c r="U73" s="177"/>
      <c r="W73" s="6" t="s">
        <v>562</v>
      </c>
    </row>
    <row r="74" spans="2:23" x14ac:dyDescent="0.2">
      <c r="B74" s="6" t="s">
        <v>83</v>
      </c>
      <c r="D74" s="6" t="s">
        <v>201</v>
      </c>
      <c r="F74" s="6" t="s">
        <v>82</v>
      </c>
      <c r="K74" s="43">
        <f>SUM(M74:R74)</f>
        <v>99660699.417225838</v>
      </c>
      <c r="M74" s="176">
        <v>1938362.5647298521</v>
      </c>
      <c r="N74" s="176">
        <v>25310348.52487212</v>
      </c>
      <c r="O74" s="176">
        <v>30203401.333362792</v>
      </c>
      <c r="P74" s="176">
        <v>1146386.2175000249</v>
      </c>
      <c r="Q74" s="176">
        <v>40785662.360332221</v>
      </c>
      <c r="R74" s="176">
        <v>276538.41642883548</v>
      </c>
      <c r="S74" s="29"/>
      <c r="T74" s="176">
        <v>25310348.52487212</v>
      </c>
      <c r="U74" s="176">
        <v>1146386.2175000249</v>
      </c>
    </row>
    <row r="75" spans="2:23" x14ac:dyDescent="0.2">
      <c r="M75" s="29"/>
      <c r="N75" s="29"/>
      <c r="O75" s="29"/>
      <c r="P75" s="29"/>
      <c r="Q75" s="29"/>
      <c r="R75" s="29"/>
      <c r="S75" s="29"/>
      <c r="T75" s="29"/>
      <c r="U75" s="29"/>
    </row>
    <row r="76" spans="2:23" s="13" customFormat="1" x14ac:dyDescent="0.2">
      <c r="B76" s="13" t="s">
        <v>85</v>
      </c>
      <c r="M76" s="157"/>
      <c r="N76" s="157"/>
      <c r="O76" s="157"/>
      <c r="P76" s="157"/>
      <c r="Q76" s="157"/>
      <c r="R76" s="157"/>
      <c r="S76" s="157"/>
      <c r="T76" s="157"/>
      <c r="U76" s="157"/>
    </row>
    <row r="77" spans="2:23" x14ac:dyDescent="0.2">
      <c r="M77" s="29"/>
      <c r="N77" s="29"/>
      <c r="O77" s="29"/>
      <c r="P77" s="29"/>
      <c r="Q77" s="29"/>
      <c r="R77" s="29"/>
      <c r="S77" s="29"/>
      <c r="T77" s="29"/>
      <c r="U77" s="29"/>
    </row>
    <row r="78" spans="2:23" x14ac:dyDescent="0.2">
      <c r="B78" s="5" t="s">
        <v>84</v>
      </c>
      <c r="M78" s="29"/>
      <c r="N78" s="29"/>
      <c r="O78" s="29"/>
      <c r="P78" s="29"/>
      <c r="Q78" s="29"/>
      <c r="R78" s="29"/>
      <c r="S78" s="29"/>
      <c r="T78" s="29"/>
      <c r="U78" s="29"/>
    </row>
    <row r="79" spans="2:23" x14ac:dyDescent="0.2">
      <c r="B79" s="6" t="s">
        <v>86</v>
      </c>
      <c r="F79" s="6" t="s">
        <v>87</v>
      </c>
      <c r="K79" s="43">
        <f>SUM(M79:R79)</f>
        <v>92511800.358009115</v>
      </c>
      <c r="M79" s="176">
        <v>2009421.4727545243</v>
      </c>
      <c r="N79" s="176">
        <v>18886354.908453114</v>
      </c>
      <c r="O79" s="176">
        <v>42301471.552886836</v>
      </c>
      <c r="P79" s="176">
        <v>859500.21</v>
      </c>
      <c r="Q79" s="176">
        <v>27204113.63537591</v>
      </c>
      <c r="R79" s="176">
        <v>1250938.5785387307</v>
      </c>
      <c r="S79" s="29"/>
      <c r="T79" s="177"/>
      <c r="U79" s="177"/>
      <c r="W79" s="6" t="s">
        <v>562</v>
      </c>
    </row>
    <row r="80" spans="2:23" x14ac:dyDescent="0.2">
      <c r="B80" s="6" t="s">
        <v>88</v>
      </c>
      <c r="D80" s="6" t="s">
        <v>201</v>
      </c>
      <c r="F80" s="6" t="s">
        <v>87</v>
      </c>
      <c r="K80" s="43">
        <f>SUM(M80:R80)</f>
        <v>104942186.99352141</v>
      </c>
      <c r="M80" s="176">
        <v>2068305.3771877543</v>
      </c>
      <c r="N80" s="176">
        <v>27103120.018821366</v>
      </c>
      <c r="O80" s="176">
        <v>32044275.14535892</v>
      </c>
      <c r="P80" s="176">
        <v>1172078.7629885573</v>
      </c>
      <c r="Q80" s="176">
        <v>42246661.634500489</v>
      </c>
      <c r="R80" s="176">
        <v>307746.05466433254</v>
      </c>
      <c r="S80" s="29"/>
      <c r="T80" s="176">
        <v>27103120.018821366</v>
      </c>
      <c r="U80" s="176">
        <v>1172078.7629885573</v>
      </c>
    </row>
    <row r="81" spans="2:23" x14ac:dyDescent="0.2">
      <c r="B81" s="6" t="s">
        <v>88</v>
      </c>
      <c r="D81" s="6" t="s">
        <v>202</v>
      </c>
      <c r="F81" s="6" t="s">
        <v>87</v>
      </c>
      <c r="K81" s="43">
        <f>SUM(M81:R81)</f>
        <v>109008341.01833449</v>
      </c>
      <c r="M81" s="176">
        <v>2150393.7902563815</v>
      </c>
      <c r="N81" s="176">
        <v>28159252.588511415</v>
      </c>
      <c r="O81" s="176">
        <v>33313601.484337956</v>
      </c>
      <c r="P81" s="176">
        <v>1212676.9737715374</v>
      </c>
      <c r="Q81" s="176">
        <v>43854144.49450814</v>
      </c>
      <c r="R81" s="176">
        <v>318271.68694905378</v>
      </c>
      <c r="S81" s="29"/>
      <c r="T81" s="176">
        <v>28159252.588511415</v>
      </c>
      <c r="U81" s="176">
        <v>1212676.9737715374</v>
      </c>
    </row>
    <row r="82" spans="2:23" x14ac:dyDescent="0.2">
      <c r="M82" s="29"/>
      <c r="N82" s="29"/>
      <c r="O82" s="29"/>
      <c r="P82" s="29"/>
      <c r="Q82" s="29"/>
      <c r="R82" s="29"/>
      <c r="S82" s="29"/>
      <c r="T82" s="29"/>
      <c r="U82" s="29"/>
    </row>
    <row r="83" spans="2:23" s="13" customFormat="1" x14ac:dyDescent="0.2">
      <c r="B83" s="13" t="s">
        <v>89</v>
      </c>
      <c r="M83" s="157"/>
      <c r="N83" s="157"/>
      <c r="O83" s="157"/>
      <c r="P83" s="157"/>
      <c r="Q83" s="157"/>
      <c r="R83" s="157"/>
      <c r="S83" s="157"/>
      <c r="T83" s="157"/>
      <c r="U83" s="157"/>
    </row>
    <row r="84" spans="2:23" x14ac:dyDescent="0.2">
      <c r="M84" s="29"/>
      <c r="N84" s="29"/>
      <c r="O84" s="29"/>
      <c r="P84" s="29"/>
      <c r="Q84" s="29"/>
      <c r="R84" s="29"/>
      <c r="S84" s="29"/>
      <c r="T84" s="29"/>
      <c r="U84" s="29"/>
    </row>
    <row r="85" spans="2:23" x14ac:dyDescent="0.2">
      <c r="B85" s="5" t="s">
        <v>84</v>
      </c>
      <c r="M85" s="29"/>
      <c r="N85" s="29"/>
      <c r="O85" s="29"/>
      <c r="P85" s="29"/>
      <c r="Q85" s="29"/>
      <c r="R85" s="29"/>
      <c r="S85" s="29"/>
      <c r="T85" s="29"/>
      <c r="U85" s="29"/>
    </row>
    <row r="86" spans="2:23" x14ac:dyDescent="0.2">
      <c r="B86" s="6" t="s">
        <v>90</v>
      </c>
      <c r="F86" s="6" t="s">
        <v>91</v>
      </c>
      <c r="K86" s="43">
        <f>SUM(M86:R86)</f>
        <v>84685511.157834291</v>
      </c>
      <c r="M86" s="176">
        <v>2338384.1548490357</v>
      </c>
      <c r="N86" s="176">
        <v>9962700.3414179944</v>
      </c>
      <c r="O86" s="176">
        <v>44306660.717254832</v>
      </c>
      <c r="P86" s="176">
        <v>1230911.75</v>
      </c>
      <c r="Q86" s="176">
        <v>26054234.175138362</v>
      </c>
      <c r="R86" s="176">
        <v>792620.01917406532</v>
      </c>
      <c r="S86" s="29"/>
      <c r="T86" s="177"/>
      <c r="U86" s="177"/>
      <c r="W86" s="6" t="s">
        <v>562</v>
      </c>
    </row>
    <row r="87" spans="2:23" x14ac:dyDescent="0.2">
      <c r="B87" s="6" t="s">
        <v>92</v>
      </c>
      <c r="D87" s="6" t="s">
        <v>202</v>
      </c>
      <c r="F87" s="6" t="s">
        <v>91</v>
      </c>
      <c r="K87" s="43">
        <f>SUM(M87:R87)</f>
        <v>113008459.04853667</v>
      </c>
      <c r="M87" s="176">
        <v>2286589.4343200354</v>
      </c>
      <c r="N87" s="176">
        <v>29913215.681299388</v>
      </c>
      <c r="O87" s="176">
        <v>35076433.058630392</v>
      </c>
      <c r="P87" s="176">
        <v>1220495.3698303227</v>
      </c>
      <c r="Q87" s="176">
        <v>44156339.702917024</v>
      </c>
      <c r="R87" s="176">
        <v>355385.80153950967</v>
      </c>
      <c r="S87" s="29"/>
      <c r="T87" s="176">
        <v>29913215.681299388</v>
      </c>
      <c r="U87" s="176">
        <v>1220495.3698303227</v>
      </c>
    </row>
    <row r="88" spans="2:23" x14ac:dyDescent="0.2">
      <c r="B88" s="6" t="s">
        <v>92</v>
      </c>
      <c r="D88" s="6" t="s">
        <v>203</v>
      </c>
      <c r="F88" s="6" t="s">
        <v>91</v>
      </c>
      <c r="K88" s="43">
        <f>SUM(M88:R88)</f>
        <v>108835292.77963816</v>
      </c>
      <c r="M88" s="176">
        <v>2199660.4276875956</v>
      </c>
      <c r="N88" s="176">
        <v>28795901.290663362</v>
      </c>
      <c r="O88" s="176">
        <v>33746267.739355408</v>
      </c>
      <c r="P88" s="176">
        <v>1180398.1680477245</v>
      </c>
      <c r="Q88" s="176">
        <v>42569706.242057778</v>
      </c>
      <c r="R88" s="176">
        <v>343358.9118263016</v>
      </c>
      <c r="S88" s="29"/>
      <c r="T88" s="176">
        <v>28795901.290663362</v>
      </c>
      <c r="U88" s="176">
        <v>1180398.1680477245</v>
      </c>
    </row>
    <row r="89" spans="2:23" x14ac:dyDescent="0.2">
      <c r="M89" s="29"/>
      <c r="N89" s="29"/>
      <c r="O89" s="29"/>
      <c r="P89" s="29"/>
      <c r="Q89" s="29"/>
      <c r="R89" s="29"/>
      <c r="S89" s="29"/>
      <c r="T89" s="29"/>
      <c r="U89" s="29"/>
    </row>
    <row r="90" spans="2:23" s="13" customFormat="1" x14ac:dyDescent="0.2">
      <c r="B90" s="13" t="s">
        <v>93</v>
      </c>
      <c r="M90" s="157"/>
      <c r="N90" s="157"/>
      <c r="O90" s="157"/>
      <c r="P90" s="157"/>
      <c r="Q90" s="157"/>
      <c r="R90" s="157"/>
      <c r="S90" s="157"/>
      <c r="T90" s="157"/>
      <c r="U90" s="157"/>
    </row>
    <row r="91" spans="2:23" x14ac:dyDescent="0.2">
      <c r="M91" s="29"/>
      <c r="N91" s="29"/>
      <c r="O91" s="29"/>
      <c r="P91" s="29"/>
      <c r="Q91" s="29"/>
      <c r="R91" s="29"/>
      <c r="S91" s="29"/>
      <c r="T91" s="29"/>
      <c r="U91" s="29"/>
    </row>
    <row r="92" spans="2:23" x14ac:dyDescent="0.2">
      <c r="B92" s="5" t="s">
        <v>80</v>
      </c>
      <c r="M92" s="29"/>
      <c r="N92" s="29"/>
      <c r="O92" s="29"/>
      <c r="P92" s="29"/>
      <c r="Q92" s="29"/>
      <c r="R92" s="29"/>
      <c r="S92" s="29"/>
      <c r="T92" s="29"/>
      <c r="U92" s="29"/>
    </row>
    <row r="93" spans="2:23" x14ac:dyDescent="0.2">
      <c r="B93" s="6" t="s">
        <v>94</v>
      </c>
      <c r="F93" s="6" t="s">
        <v>95</v>
      </c>
      <c r="K93" s="43">
        <f>SUM(M93:R93)</f>
        <v>88444609.187141314</v>
      </c>
      <c r="M93" s="176">
        <v>1986265</v>
      </c>
      <c r="N93" s="176">
        <v>13869765.794395093</v>
      </c>
      <c r="O93" s="176">
        <v>43927482.767497882</v>
      </c>
      <c r="P93" s="176">
        <v>1394469.6214854394</v>
      </c>
      <c r="Q93" s="176">
        <v>26459706.662269812</v>
      </c>
      <c r="R93" s="176">
        <v>806919.3414930834</v>
      </c>
      <c r="S93" s="29"/>
      <c r="T93" s="177"/>
      <c r="U93" s="177"/>
      <c r="W93" s="6" t="s">
        <v>562</v>
      </c>
    </row>
    <row r="94" spans="2:23" x14ac:dyDescent="0.2">
      <c r="B94" s="6" t="s">
        <v>96</v>
      </c>
      <c r="D94" s="6" t="s">
        <v>159</v>
      </c>
      <c r="F94" s="6" t="s">
        <v>95</v>
      </c>
      <c r="K94" s="43">
        <f>SUM(M94:R94)</f>
        <v>80667563.94299233</v>
      </c>
      <c r="M94" s="176">
        <v>1625629.5755087456</v>
      </c>
      <c r="N94" s="176">
        <v>21442518.123755328</v>
      </c>
      <c r="O94" s="176">
        <v>25082939.528972723</v>
      </c>
      <c r="P94" s="176">
        <v>892647.39841258852</v>
      </c>
      <c r="Q94" s="176">
        <v>31348511.526315644</v>
      </c>
      <c r="R94" s="176">
        <v>275317.7900273003</v>
      </c>
      <c r="S94" s="29"/>
      <c r="T94" s="176">
        <v>21442518.123755328</v>
      </c>
      <c r="U94" s="176">
        <v>892647.39841258852</v>
      </c>
    </row>
    <row r="95" spans="2:23" x14ac:dyDescent="0.2">
      <c r="B95" s="6" t="s">
        <v>96</v>
      </c>
      <c r="D95" s="6" t="s">
        <v>160</v>
      </c>
      <c r="F95" s="6" t="s">
        <v>95</v>
      </c>
      <c r="K95" s="43">
        <f>SUM(M95:R95)</f>
        <v>83597960.315494254</v>
      </c>
      <c r="M95" s="176">
        <v>1686934.5361408689</v>
      </c>
      <c r="N95" s="176">
        <v>22231027.954583857</v>
      </c>
      <c r="O95" s="176">
        <v>26032684.179272432</v>
      </c>
      <c r="P95" s="176">
        <v>919749.06206285418</v>
      </c>
      <c r="Q95" s="176">
        <v>32443355.15958238</v>
      </c>
      <c r="R95" s="176">
        <v>284209.42385185551</v>
      </c>
      <c r="S95" s="29"/>
      <c r="T95" s="176">
        <v>22231027.954583857</v>
      </c>
      <c r="U95" s="176">
        <v>919749.06206285418</v>
      </c>
    </row>
    <row r="96" spans="2:23" x14ac:dyDescent="0.2">
      <c r="M96" s="29"/>
      <c r="N96" s="29"/>
      <c r="O96" s="29"/>
      <c r="P96" s="29"/>
      <c r="Q96" s="29"/>
      <c r="R96" s="29"/>
      <c r="S96" s="29"/>
      <c r="T96" s="29"/>
      <c r="U96" s="29"/>
    </row>
    <row r="97" spans="2:23" x14ac:dyDescent="0.2">
      <c r="B97" s="5" t="s">
        <v>84</v>
      </c>
      <c r="M97" s="29"/>
      <c r="N97" s="29"/>
      <c r="O97" s="29"/>
      <c r="P97" s="29"/>
      <c r="Q97" s="29"/>
      <c r="R97" s="29"/>
      <c r="S97" s="29"/>
      <c r="T97" s="29"/>
      <c r="U97" s="29"/>
    </row>
    <row r="98" spans="2:23" x14ac:dyDescent="0.2">
      <c r="B98" s="6" t="s">
        <v>96</v>
      </c>
      <c r="D98" s="6" t="s">
        <v>203</v>
      </c>
      <c r="F98" s="6" t="s">
        <v>95</v>
      </c>
      <c r="K98" s="43">
        <f>SUM(M98:R98)</f>
        <v>115099721.31988993</v>
      </c>
      <c r="M98" s="176">
        <v>2345962.8629361968</v>
      </c>
      <c r="N98" s="176">
        <v>30707508.635990538</v>
      </c>
      <c r="O98" s="176">
        <v>36242439.169994332</v>
      </c>
      <c r="P98" s="176">
        <v>1211091.9463032098</v>
      </c>
      <c r="Q98" s="176">
        <v>44212924.217199832</v>
      </c>
      <c r="R98" s="176">
        <v>379794.48746582423</v>
      </c>
      <c r="S98" s="29"/>
      <c r="T98" s="176">
        <v>30707508.635990538</v>
      </c>
      <c r="U98" s="176">
        <v>1211091.9463032098</v>
      </c>
    </row>
    <row r="99" spans="2:23" x14ac:dyDescent="0.2">
      <c r="B99" s="6" t="s">
        <v>96</v>
      </c>
      <c r="D99" s="6" t="s">
        <v>204</v>
      </c>
      <c r="F99" s="6" t="s">
        <v>95</v>
      </c>
      <c r="K99" s="43">
        <f>SUM(M99:R99)</f>
        <v>110704126.76113704</v>
      </c>
      <c r="M99" s="176">
        <v>2254005.4219880113</v>
      </c>
      <c r="N99" s="176">
        <v>29524743.889747743</v>
      </c>
      <c r="O99" s="176">
        <v>34817822.194544762</v>
      </c>
      <c r="P99" s="176">
        <v>1170439.4508278111</v>
      </c>
      <c r="Q99" s="176">
        <v>42570658.767299727</v>
      </c>
      <c r="R99" s="176">
        <v>366457.03672899143</v>
      </c>
      <c r="S99" s="29"/>
      <c r="T99" s="176">
        <v>29524743.889747743</v>
      </c>
      <c r="U99" s="176">
        <v>1170439.4508278111</v>
      </c>
    </row>
    <row r="100" spans="2:23" x14ac:dyDescent="0.2">
      <c r="M100" s="29"/>
      <c r="N100" s="29"/>
      <c r="O100" s="29"/>
      <c r="P100" s="29"/>
      <c r="Q100" s="29"/>
      <c r="R100" s="29"/>
      <c r="S100" s="29"/>
      <c r="T100" s="29"/>
      <c r="U100" s="29"/>
    </row>
    <row r="101" spans="2:23" s="13" customFormat="1" x14ac:dyDescent="0.2">
      <c r="B101" s="13" t="s">
        <v>97</v>
      </c>
      <c r="M101" s="157"/>
      <c r="N101" s="157"/>
      <c r="O101" s="157"/>
      <c r="P101" s="157"/>
      <c r="Q101" s="157"/>
      <c r="R101" s="157"/>
      <c r="S101" s="157"/>
      <c r="T101" s="157"/>
      <c r="U101" s="157"/>
    </row>
    <row r="102" spans="2:23" x14ac:dyDescent="0.2">
      <c r="M102" s="29"/>
      <c r="N102" s="29"/>
      <c r="O102" s="29"/>
      <c r="P102" s="29"/>
      <c r="Q102" s="29"/>
      <c r="R102" s="29"/>
      <c r="S102" s="29"/>
      <c r="T102" s="29"/>
      <c r="U102" s="29"/>
    </row>
    <row r="103" spans="2:23" x14ac:dyDescent="0.2">
      <c r="B103" s="5" t="s">
        <v>80</v>
      </c>
      <c r="M103" s="29"/>
      <c r="N103" s="29"/>
      <c r="O103" s="29"/>
      <c r="P103" s="29"/>
      <c r="Q103" s="29"/>
      <c r="R103" s="29"/>
      <c r="S103" s="29"/>
      <c r="T103" s="29"/>
      <c r="U103" s="29"/>
    </row>
    <row r="104" spans="2:23" x14ac:dyDescent="0.2">
      <c r="B104" s="6" t="s">
        <v>98</v>
      </c>
      <c r="F104" s="6" t="s">
        <v>99</v>
      </c>
      <c r="K104" s="43">
        <f>SUM(M104:R104)</f>
        <v>97048998.011170924</v>
      </c>
      <c r="M104" s="176">
        <v>1708762</v>
      </c>
      <c r="N104" s="176">
        <v>14506435.082167657</v>
      </c>
      <c r="O104" s="176">
        <v>48327439.791518927</v>
      </c>
      <c r="P104" s="176">
        <v>1463878.18</v>
      </c>
      <c r="Q104" s="176">
        <v>30107457.794053108</v>
      </c>
      <c r="R104" s="176">
        <v>935025.16343122057</v>
      </c>
      <c r="S104" s="29"/>
      <c r="T104" s="177"/>
      <c r="U104" s="177"/>
      <c r="W104" s="6" t="s">
        <v>562</v>
      </c>
    </row>
    <row r="105" spans="2:23" x14ac:dyDescent="0.2">
      <c r="B105" s="6" t="s">
        <v>529</v>
      </c>
      <c r="F105" s="6" t="s">
        <v>99</v>
      </c>
      <c r="K105" s="43">
        <f>SUM(M105:R105)</f>
        <v>6595297.2500000186</v>
      </c>
      <c r="M105" s="176">
        <v>139755.76</v>
      </c>
      <c r="N105" s="176">
        <v>1844855.54</v>
      </c>
      <c r="O105" s="176">
        <v>3411656.2400000184</v>
      </c>
      <c r="P105" s="176">
        <v>0</v>
      </c>
      <c r="Q105" s="176">
        <v>1097680.5</v>
      </c>
      <c r="R105" s="176">
        <v>101349.21000000033</v>
      </c>
      <c r="S105" s="29"/>
      <c r="T105" s="177"/>
      <c r="U105" s="177"/>
    </row>
    <row r="106" spans="2:23" x14ac:dyDescent="0.2">
      <c r="B106" s="6" t="s">
        <v>100</v>
      </c>
      <c r="D106" s="6" t="s">
        <v>159</v>
      </c>
      <c r="F106" s="6" t="s">
        <v>99</v>
      </c>
      <c r="K106" s="43">
        <f>SUM(M106:R106)</f>
        <v>86506445.782231987</v>
      </c>
      <c r="M106" s="176">
        <v>1738458.0111439698</v>
      </c>
      <c r="N106" s="176">
        <v>23352190.08457531</v>
      </c>
      <c r="O106" s="176">
        <v>26796315.644955598</v>
      </c>
      <c r="P106" s="176">
        <v>930185.45306422398</v>
      </c>
      <c r="Q106" s="176">
        <v>33374849.658997957</v>
      </c>
      <c r="R106" s="176">
        <v>314446.92949492484</v>
      </c>
      <c r="S106" s="29"/>
      <c r="T106" s="176">
        <v>23352190.08457531</v>
      </c>
      <c r="U106" s="176">
        <v>930185.45306422398</v>
      </c>
    </row>
    <row r="107" spans="2:23" x14ac:dyDescent="0.2">
      <c r="B107" s="6" t="s">
        <v>100</v>
      </c>
      <c r="D107" s="6" t="s">
        <v>160</v>
      </c>
      <c r="F107" s="6" t="s">
        <v>99</v>
      </c>
      <c r="K107" s="43">
        <f>SUM(M107:R107)</f>
        <v>89627854.848321423</v>
      </c>
      <c r="M107" s="176">
        <v>1803221.4673802557</v>
      </c>
      <c r="N107" s="176">
        <v>24213838.461819842</v>
      </c>
      <c r="O107" s="176">
        <v>27792708.224780444</v>
      </c>
      <c r="P107" s="176">
        <v>957940.01241396228</v>
      </c>
      <c r="Q107" s="176">
        <v>34535087.254364334</v>
      </c>
      <c r="R107" s="176">
        <v>325059.4275625833</v>
      </c>
      <c r="S107" s="29"/>
      <c r="T107" s="176">
        <v>24213838.461819842</v>
      </c>
      <c r="U107" s="176">
        <v>957940.01241396228</v>
      </c>
    </row>
    <row r="108" spans="2:23" x14ac:dyDescent="0.2">
      <c r="M108" s="29"/>
      <c r="N108" s="29"/>
      <c r="O108" s="29"/>
      <c r="P108" s="29"/>
      <c r="Q108" s="29"/>
      <c r="R108" s="29"/>
      <c r="S108" s="29"/>
      <c r="T108" s="29"/>
      <c r="U108" s="29"/>
    </row>
    <row r="109" spans="2:23" x14ac:dyDescent="0.2">
      <c r="B109" s="5" t="s">
        <v>84</v>
      </c>
      <c r="M109" s="29"/>
      <c r="N109" s="29"/>
      <c r="O109" s="29"/>
      <c r="P109" s="29"/>
      <c r="Q109" s="29"/>
      <c r="R109" s="29"/>
      <c r="S109" s="29"/>
      <c r="T109" s="29"/>
      <c r="U109" s="29"/>
    </row>
    <row r="110" spans="2:23" x14ac:dyDescent="0.2">
      <c r="B110" s="6" t="s">
        <v>100</v>
      </c>
      <c r="D110" s="6" t="s">
        <v>204</v>
      </c>
      <c r="F110" s="6" t="s">
        <v>99</v>
      </c>
      <c r="K110" s="43">
        <f>SUM(M110:R110)</f>
        <v>118500888.70964874</v>
      </c>
      <c r="M110" s="176">
        <v>2402283.4375659004</v>
      </c>
      <c r="N110" s="176">
        <v>32184085.951331779</v>
      </c>
      <c r="O110" s="176">
        <v>37009339.588160269</v>
      </c>
      <c r="P110" s="176">
        <v>1214669.6863990414</v>
      </c>
      <c r="Q110" s="176">
        <v>45267285.011503316</v>
      </c>
      <c r="R110" s="176">
        <v>423225.03468842397</v>
      </c>
      <c r="S110" s="29"/>
      <c r="T110" s="176">
        <v>32184085.951331779</v>
      </c>
      <c r="U110" s="176">
        <v>1214669.6863990414</v>
      </c>
    </row>
    <row r="111" spans="2:23" x14ac:dyDescent="0.2">
      <c r="B111" s="6" t="s">
        <v>100</v>
      </c>
      <c r="D111" s="6" t="s">
        <v>205</v>
      </c>
      <c r="F111" s="6" t="s">
        <v>99</v>
      </c>
      <c r="K111" s="43">
        <f>SUM(M111:R111)</f>
        <v>113818775.11051457</v>
      </c>
      <c r="M111" s="176">
        <v>2305138.2532114713</v>
      </c>
      <c r="N111" s="176">
        <v>30891613.385464974</v>
      </c>
      <c r="O111" s="176">
        <v>35514750.718423001</v>
      </c>
      <c r="P111" s="176">
        <v>1173037.8473744341</v>
      </c>
      <c r="Q111" s="176">
        <v>43526928.618453749</v>
      </c>
      <c r="R111" s="176">
        <v>407306.28758693632</v>
      </c>
      <c r="S111" s="29"/>
      <c r="T111" s="176">
        <v>30891613.385464974</v>
      </c>
      <c r="U111" s="176">
        <v>1173037.8473744341</v>
      </c>
    </row>
    <row r="112" spans="2:23" x14ac:dyDescent="0.2">
      <c r="M112" s="29"/>
      <c r="N112" s="29"/>
      <c r="O112" s="29"/>
      <c r="P112" s="29"/>
      <c r="Q112" s="29"/>
      <c r="R112" s="29"/>
      <c r="S112" s="29"/>
      <c r="T112" s="29"/>
      <c r="U112" s="29"/>
    </row>
    <row r="113" spans="2:23" s="13" customFormat="1" x14ac:dyDescent="0.2">
      <c r="B113" s="13" t="s">
        <v>101</v>
      </c>
      <c r="M113" s="157"/>
      <c r="N113" s="157"/>
      <c r="O113" s="157"/>
      <c r="P113" s="157"/>
      <c r="Q113" s="157"/>
      <c r="R113" s="157"/>
      <c r="S113" s="157"/>
      <c r="T113" s="157"/>
      <c r="U113" s="157"/>
    </row>
    <row r="114" spans="2:23" x14ac:dyDescent="0.2">
      <c r="M114" s="29"/>
      <c r="N114" s="29"/>
      <c r="O114" s="29"/>
      <c r="P114" s="29"/>
      <c r="Q114" s="29"/>
      <c r="R114" s="29"/>
      <c r="S114" s="29"/>
      <c r="T114" s="29"/>
      <c r="U114" s="29"/>
    </row>
    <row r="115" spans="2:23" x14ac:dyDescent="0.2">
      <c r="B115" s="5" t="s">
        <v>80</v>
      </c>
      <c r="M115" s="29"/>
      <c r="N115" s="29"/>
      <c r="O115" s="29"/>
      <c r="P115" s="29"/>
      <c r="Q115" s="29"/>
      <c r="R115" s="29"/>
      <c r="S115" s="29"/>
      <c r="T115" s="29"/>
      <c r="U115" s="29"/>
    </row>
    <row r="116" spans="2:23" x14ac:dyDescent="0.2">
      <c r="B116" s="6" t="s">
        <v>102</v>
      </c>
      <c r="F116" s="6" t="s">
        <v>103</v>
      </c>
      <c r="K116" s="178">
        <f>SUM(M116:R116)</f>
        <v>109967145.95587528</v>
      </c>
      <c r="M116" s="176">
        <v>3664892.8376599997</v>
      </c>
      <c r="N116" s="176">
        <v>15788414.84487447</v>
      </c>
      <c r="O116" s="176">
        <v>53486724.457184203</v>
      </c>
      <c r="P116" s="176">
        <v>1311717.5399999998</v>
      </c>
      <c r="Q116" s="176">
        <v>34924488.05018957</v>
      </c>
      <c r="R116" s="176">
        <v>790908.22596702247</v>
      </c>
      <c r="S116" s="29"/>
      <c r="T116" s="177"/>
      <c r="U116" s="177"/>
      <c r="W116" s="6" t="s">
        <v>562</v>
      </c>
    </row>
    <row r="117" spans="2:23" x14ac:dyDescent="0.2">
      <c r="B117" s="6" t="s">
        <v>534</v>
      </c>
      <c r="F117" s="6" t="s">
        <v>103</v>
      </c>
      <c r="K117" s="178">
        <f t="shared" ref="K117:K119" si="1">SUM(M117:R117)</f>
        <v>6797075.870000015</v>
      </c>
      <c r="M117" s="176">
        <v>161487.28</v>
      </c>
      <c r="N117" s="176">
        <v>2093303.1400000001</v>
      </c>
      <c r="O117" s="176">
        <v>3197631.4300000146</v>
      </c>
      <c r="P117" s="176">
        <v>140755.22</v>
      </c>
      <c r="Q117" s="176">
        <v>1139921.8599999999</v>
      </c>
      <c r="R117" s="176">
        <v>63976.940000000104</v>
      </c>
      <c r="S117" s="29"/>
      <c r="T117" s="177"/>
      <c r="U117" s="177"/>
    </row>
    <row r="118" spans="2:23" x14ac:dyDescent="0.2">
      <c r="B118" s="6" t="s">
        <v>104</v>
      </c>
      <c r="D118" s="6" t="s">
        <v>159</v>
      </c>
      <c r="F118" s="6" t="s">
        <v>103</v>
      </c>
      <c r="K118" s="178">
        <f t="shared" si="1"/>
        <v>92846830.631111339</v>
      </c>
      <c r="M118" s="176">
        <v>1844344.7362077332</v>
      </c>
      <c r="N118" s="176">
        <v>25645204.931330353</v>
      </c>
      <c r="O118" s="176">
        <v>28310587.358932044</v>
      </c>
      <c r="P118" s="176">
        <v>982632.43108389876</v>
      </c>
      <c r="Q118" s="176">
        <v>35703896.341763094</v>
      </c>
      <c r="R118" s="176">
        <v>360164.83179421048</v>
      </c>
      <c r="S118" s="29"/>
      <c r="T118" s="176">
        <v>25645204.931330353</v>
      </c>
      <c r="U118" s="176">
        <v>982632.43108389876</v>
      </c>
    </row>
    <row r="119" spans="2:23" x14ac:dyDescent="0.2">
      <c r="B119" s="6" t="s">
        <v>104</v>
      </c>
      <c r="D119" s="6" t="s">
        <v>160</v>
      </c>
      <c r="F119" s="6" t="s">
        <v>103</v>
      </c>
      <c r="K119" s="178">
        <f t="shared" si="1"/>
        <v>96152516.069638312</v>
      </c>
      <c r="M119" s="176">
        <v>1911655.0104076178</v>
      </c>
      <c r="N119" s="176">
        <v>26586569.630189069</v>
      </c>
      <c r="O119" s="176">
        <v>29341306.220021062</v>
      </c>
      <c r="P119" s="176">
        <v>1011651.3089367605</v>
      </c>
      <c r="Q119" s="176">
        <v>36928879.823826678</v>
      </c>
      <c r="R119" s="176">
        <v>372454.07625712664</v>
      </c>
      <c r="S119" s="29"/>
      <c r="T119" s="176">
        <v>26586569.630189069</v>
      </c>
      <c r="U119" s="176">
        <v>1011651.3089367605</v>
      </c>
    </row>
    <row r="120" spans="2:23" x14ac:dyDescent="0.2">
      <c r="K120" s="29"/>
      <c r="M120" s="29"/>
      <c r="N120" s="29"/>
      <c r="O120" s="29"/>
      <c r="P120" s="29"/>
      <c r="Q120" s="29"/>
      <c r="R120" s="29"/>
      <c r="S120" s="29"/>
      <c r="T120" s="29"/>
      <c r="U120" s="29"/>
    </row>
    <row r="121" spans="2:23" x14ac:dyDescent="0.2">
      <c r="B121" s="5" t="s">
        <v>84</v>
      </c>
      <c r="K121" s="29"/>
      <c r="M121" s="29"/>
      <c r="N121" s="29"/>
      <c r="O121" s="29"/>
      <c r="P121" s="29"/>
      <c r="Q121" s="29"/>
      <c r="R121" s="29"/>
      <c r="S121" s="29"/>
      <c r="T121" s="29"/>
      <c r="U121" s="29"/>
    </row>
    <row r="122" spans="2:23" x14ac:dyDescent="0.2">
      <c r="B122" s="6" t="s">
        <v>104</v>
      </c>
      <c r="D122" s="6" t="s">
        <v>205</v>
      </c>
      <c r="F122" s="6" t="s">
        <v>103</v>
      </c>
      <c r="K122" s="178">
        <f>SUM(M122:R122)</f>
        <v>121771578.21822238</v>
      </c>
      <c r="M122" s="176">
        <v>2433309.6354567222</v>
      </c>
      <c r="N122" s="176">
        <v>33882146.046344131</v>
      </c>
      <c r="O122" s="176">
        <v>37329377.393460944</v>
      </c>
      <c r="P122" s="176">
        <v>1236547.6122964395</v>
      </c>
      <c r="Q122" s="176">
        <v>46422501.809819415</v>
      </c>
      <c r="R122" s="176">
        <v>467695.72084472736</v>
      </c>
      <c r="S122" s="29"/>
      <c r="T122" s="176">
        <v>33882146.046344131</v>
      </c>
      <c r="U122" s="176">
        <v>1236547.6122964395</v>
      </c>
    </row>
    <row r="123" spans="2:23" x14ac:dyDescent="0.2">
      <c r="K123" s="29"/>
      <c r="M123" s="29"/>
      <c r="N123" s="29"/>
      <c r="O123" s="29"/>
      <c r="P123" s="29"/>
      <c r="Q123" s="29"/>
      <c r="R123" s="29"/>
      <c r="S123" s="29"/>
      <c r="T123" s="29"/>
      <c r="U123" s="29"/>
    </row>
    <row r="124" spans="2:23" s="13" customFormat="1" x14ac:dyDescent="0.2">
      <c r="B124" s="13" t="s">
        <v>301</v>
      </c>
      <c r="M124" s="157"/>
      <c r="N124" s="157"/>
      <c r="O124" s="157"/>
      <c r="P124" s="157"/>
      <c r="Q124" s="157"/>
      <c r="R124" s="157"/>
      <c r="S124" s="157"/>
      <c r="T124" s="157"/>
      <c r="U124" s="157"/>
    </row>
    <row r="125" spans="2:23" x14ac:dyDescent="0.2">
      <c r="M125" s="29"/>
      <c r="N125" s="29"/>
      <c r="O125" s="29"/>
      <c r="P125" s="29"/>
      <c r="Q125" s="29"/>
      <c r="R125" s="29"/>
      <c r="S125" s="29"/>
      <c r="T125" s="29"/>
      <c r="U125" s="29"/>
    </row>
    <row r="126" spans="2:23" x14ac:dyDescent="0.2">
      <c r="B126" s="6" t="s">
        <v>130</v>
      </c>
      <c r="F126" s="6" t="s">
        <v>95</v>
      </c>
      <c r="K126" s="43">
        <f>SUM(M126:R126)</f>
        <v>50134932.007732578</v>
      </c>
      <c r="M126" s="176">
        <v>769242.18</v>
      </c>
      <c r="N126" s="176">
        <v>15016039.463333836</v>
      </c>
      <c r="O126" s="176">
        <v>14569319.921730017</v>
      </c>
      <c r="P126" s="176">
        <v>467099.73</v>
      </c>
      <c r="Q126" s="176">
        <v>18469509.922668725</v>
      </c>
      <c r="R126" s="176">
        <v>843720.79000000015</v>
      </c>
      <c r="S126" s="29"/>
      <c r="T126" s="177"/>
      <c r="U126" s="177"/>
      <c r="W126" s="6" t="s">
        <v>563</v>
      </c>
    </row>
    <row r="127" spans="2:23" x14ac:dyDescent="0.2">
      <c r="B127" s="6" t="s">
        <v>131</v>
      </c>
      <c r="F127" s="6" t="s">
        <v>99</v>
      </c>
      <c r="K127" s="43">
        <f>SUM(M127:R127)</f>
        <v>40355682.18570964</v>
      </c>
      <c r="M127" s="176">
        <v>861614.67</v>
      </c>
      <c r="N127" s="176">
        <v>11062617.670001786</v>
      </c>
      <c r="O127" s="176">
        <v>14310881.359999999</v>
      </c>
      <c r="P127" s="176">
        <v>410165.5</v>
      </c>
      <c r="Q127" s="176">
        <v>12631235.475707857</v>
      </c>
      <c r="R127" s="176">
        <v>1079167.51</v>
      </c>
      <c r="S127" s="29"/>
      <c r="T127" s="177"/>
      <c r="U127" s="177"/>
    </row>
    <row r="128" spans="2:23" x14ac:dyDescent="0.2">
      <c r="B128" s="6" t="s">
        <v>132</v>
      </c>
      <c r="F128" s="6" t="s">
        <v>103</v>
      </c>
      <c r="K128" s="43">
        <f>SUM(M128:R128)</f>
        <v>23099824.644724157</v>
      </c>
      <c r="M128" s="176">
        <v>411570.22000000003</v>
      </c>
      <c r="N128" s="176">
        <v>6661906.4299997473</v>
      </c>
      <c r="O128" s="176">
        <v>9287762.9469170291</v>
      </c>
      <c r="P128" s="176">
        <v>194478.21000000002</v>
      </c>
      <c r="Q128" s="176">
        <v>5870595.3378073797</v>
      </c>
      <c r="R128" s="176">
        <v>673511.5</v>
      </c>
      <c r="S128" s="29"/>
      <c r="T128" s="177"/>
      <c r="U128" s="177"/>
    </row>
    <row r="129" spans="13:21" x14ac:dyDescent="0.2">
      <c r="M129" s="29"/>
      <c r="N129" s="29"/>
      <c r="O129" s="29"/>
      <c r="P129" s="29"/>
      <c r="Q129" s="29"/>
      <c r="R129" s="29"/>
      <c r="S129" s="29"/>
      <c r="T129" s="29"/>
      <c r="U129" s="29"/>
    </row>
  </sheetData>
  <mergeCells count="2">
    <mergeCell ref="B5:C5"/>
    <mergeCell ref="B8:C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3">
    <tabColor rgb="FFE1FFE1"/>
  </sheetPr>
  <dimension ref="B2:V54"/>
  <sheetViews>
    <sheetView showGridLines="0" zoomScale="85" zoomScaleNormal="85" workbookViewId="0">
      <pane xSplit="6" ySplit="7" topLeftCell="G8" activePane="bottomRight" state="frozen"/>
      <selection pane="topRight" activeCell="G1" sqref="G1"/>
      <selection pane="bottomLeft" activeCell="A11" sqref="A11"/>
      <selection pane="bottomRight" activeCell="G8" sqref="G8"/>
    </sheetView>
  </sheetViews>
  <sheetFormatPr defaultRowHeight="12.75" x14ac:dyDescent="0.2"/>
  <cols>
    <col min="1" max="1" width="4.7109375" style="6" customWidth="1"/>
    <col min="2" max="2" width="70.140625" style="6" customWidth="1"/>
    <col min="3" max="3" width="2.7109375" style="6" customWidth="1"/>
    <col min="4" max="4" width="16.85546875" style="6" customWidth="1"/>
    <col min="5" max="5" width="2.7109375" style="6" customWidth="1"/>
    <col min="6" max="6" width="13.7109375" style="6" customWidth="1"/>
    <col min="7" max="7" width="2.7109375" style="6" customWidth="1"/>
    <col min="8" max="8" width="18.85546875" style="6" customWidth="1"/>
    <col min="9" max="9" width="5.85546875" style="6" customWidth="1"/>
    <col min="10" max="10" width="1.5703125" style="6" customWidth="1"/>
    <col min="11" max="11" width="16.5703125" style="6" customWidth="1"/>
    <col min="12" max="12" width="2.7109375" style="6" customWidth="1"/>
    <col min="13" max="18" width="12.5703125" style="6" customWidth="1"/>
    <col min="19" max="19" width="4.42578125" style="6" customWidth="1"/>
    <col min="20" max="20" width="13.7109375" style="6" customWidth="1"/>
    <col min="21" max="21" width="2.7109375" style="6" customWidth="1"/>
    <col min="22" max="36" width="13.7109375" style="6" customWidth="1"/>
    <col min="37" max="16384" width="9.140625" style="6"/>
  </cols>
  <sheetData>
    <row r="2" spans="2:22" s="26" customFormat="1" ht="18" x14ac:dyDescent="0.2">
      <c r="B2" s="26" t="s">
        <v>197</v>
      </c>
    </row>
    <row r="4" spans="2:22" x14ac:dyDescent="0.2">
      <c r="B4" s="33" t="s">
        <v>26</v>
      </c>
      <c r="M4"/>
    </row>
    <row r="5" spans="2:22" x14ac:dyDescent="0.2">
      <c r="B5" s="29" t="s">
        <v>196</v>
      </c>
      <c r="D5" s="27"/>
    </row>
    <row r="6" spans="2:22" x14ac:dyDescent="0.2">
      <c r="B6" s="29"/>
      <c r="D6" s="27"/>
    </row>
    <row r="7" spans="2:22" s="13" customFormat="1" x14ac:dyDescent="0.2">
      <c r="B7" s="13" t="s">
        <v>42</v>
      </c>
      <c r="D7" s="13" t="s">
        <v>71</v>
      </c>
      <c r="F7" s="13" t="s">
        <v>25</v>
      </c>
      <c r="H7" s="13" t="s">
        <v>302</v>
      </c>
      <c r="K7" s="13" t="s">
        <v>303</v>
      </c>
      <c r="M7" s="13" t="s">
        <v>72</v>
      </c>
      <c r="N7" s="13" t="s">
        <v>73</v>
      </c>
      <c r="O7" s="13" t="s">
        <v>74</v>
      </c>
      <c r="P7" s="13" t="s">
        <v>75</v>
      </c>
      <c r="Q7" s="13" t="s">
        <v>76</v>
      </c>
      <c r="R7" s="13" t="s">
        <v>77</v>
      </c>
      <c r="T7" s="13" t="s">
        <v>297</v>
      </c>
      <c r="V7" s="13" t="s">
        <v>43</v>
      </c>
    </row>
    <row r="9" spans="2:22" s="13" customFormat="1" x14ac:dyDescent="0.2">
      <c r="B9" s="13" t="s">
        <v>78</v>
      </c>
    </row>
    <row r="11" spans="2:22" x14ac:dyDescent="0.2">
      <c r="B11" s="33" t="s">
        <v>208</v>
      </c>
    </row>
    <row r="12" spans="2:22" x14ac:dyDescent="0.2">
      <c r="B12" s="6" t="s">
        <v>149</v>
      </c>
      <c r="F12" s="6" t="s">
        <v>109</v>
      </c>
      <c r="K12" s="43">
        <f>SUM(M12:R12)</f>
        <v>829798182.34168494</v>
      </c>
      <c r="M12" s="39">
        <v>16401680.494385676</v>
      </c>
      <c r="N12" s="39">
        <v>266533758.56356135</v>
      </c>
      <c r="O12" s="39">
        <v>285455588.10709691</v>
      </c>
      <c r="P12" s="39">
        <v>12040239.024494292</v>
      </c>
      <c r="Q12" s="39">
        <v>235138144.63941851</v>
      </c>
      <c r="R12" s="39">
        <v>14228771.512728186</v>
      </c>
      <c r="T12" s="6" t="s">
        <v>564</v>
      </c>
    </row>
    <row r="14" spans="2:22" x14ac:dyDescent="0.2">
      <c r="B14" s="5" t="s">
        <v>209</v>
      </c>
    </row>
    <row r="15" spans="2:22" x14ac:dyDescent="0.2">
      <c r="B15" s="6" t="s">
        <v>255</v>
      </c>
      <c r="F15" s="6" t="s">
        <v>109</v>
      </c>
      <c r="H15" s="39">
        <v>828126228.52419913</v>
      </c>
      <c r="T15" s="6" t="s">
        <v>565</v>
      </c>
    </row>
    <row r="16" spans="2:22" x14ac:dyDescent="0.2">
      <c r="B16" s="6" t="s">
        <v>256</v>
      </c>
      <c r="F16" s="6" t="s">
        <v>109</v>
      </c>
      <c r="H16" s="39">
        <v>828046337.09112048</v>
      </c>
      <c r="T16" s="6" t="s">
        <v>566</v>
      </c>
    </row>
    <row r="17" spans="2:20" x14ac:dyDescent="0.2">
      <c r="B17" s="6" t="s">
        <v>257</v>
      </c>
      <c r="F17" s="6" t="s">
        <v>109</v>
      </c>
      <c r="H17" s="39">
        <v>829170310.1796813</v>
      </c>
      <c r="T17" s="6" t="s">
        <v>567</v>
      </c>
    </row>
    <row r="18" spans="2:20" x14ac:dyDescent="0.2">
      <c r="B18" s="6" t="s">
        <v>258</v>
      </c>
      <c r="F18" s="6" t="s">
        <v>109</v>
      </c>
      <c r="H18" s="39">
        <v>831657948.4402467</v>
      </c>
      <c r="T18" s="6" t="s">
        <v>568</v>
      </c>
    </row>
    <row r="19" spans="2:20" x14ac:dyDescent="0.2">
      <c r="B19" s="6" t="s">
        <v>259</v>
      </c>
      <c r="F19" s="6" t="s">
        <v>109</v>
      </c>
      <c r="H19" s="39">
        <v>830603751.79622507</v>
      </c>
      <c r="T19" s="6" t="s">
        <v>569</v>
      </c>
    </row>
    <row r="20" spans="2:20" x14ac:dyDescent="0.2">
      <c r="B20" s="6" t="s">
        <v>260</v>
      </c>
      <c r="F20" s="6" t="s">
        <v>109</v>
      </c>
      <c r="H20" s="39">
        <v>827132846.78858292</v>
      </c>
      <c r="T20" s="6" t="s">
        <v>570</v>
      </c>
    </row>
    <row r="22" spans="2:20" x14ac:dyDescent="0.2">
      <c r="B22" s="5" t="s">
        <v>107</v>
      </c>
    </row>
    <row r="23" spans="2:20" x14ac:dyDescent="0.2">
      <c r="B23" s="6" t="s">
        <v>108</v>
      </c>
      <c r="D23" s="6" t="s">
        <v>150</v>
      </c>
      <c r="F23" s="6" t="s">
        <v>147</v>
      </c>
      <c r="K23" s="43">
        <f>SUM(M23:R23)</f>
        <v>829172327.42095506</v>
      </c>
      <c r="M23" s="39">
        <v>15674283.814238409</v>
      </c>
      <c r="N23" s="39">
        <v>257086926.65498912</v>
      </c>
      <c r="O23" s="39">
        <v>291001989.31349891</v>
      </c>
      <c r="P23" s="39">
        <v>14160276.78982985</v>
      </c>
      <c r="Q23" s="39">
        <v>236866214.711034</v>
      </c>
      <c r="R23" s="39">
        <v>14382636.137364771</v>
      </c>
      <c r="T23" s="6" t="s">
        <v>571</v>
      </c>
    </row>
    <row r="25" spans="2:20" s="13" customFormat="1" x14ac:dyDescent="0.2">
      <c r="B25" s="13" t="s">
        <v>105</v>
      </c>
    </row>
    <row r="27" spans="2:20" x14ac:dyDescent="0.2">
      <c r="B27" s="33" t="s">
        <v>106</v>
      </c>
    </row>
    <row r="28" spans="2:20" x14ac:dyDescent="0.2">
      <c r="B28" s="6" t="s">
        <v>261</v>
      </c>
      <c r="F28" s="6" t="s">
        <v>109</v>
      </c>
      <c r="K28" s="43">
        <f>SUM(M28:R28)</f>
        <v>264524640.82615989</v>
      </c>
      <c r="M28" s="39">
        <v>5120838.4661773751</v>
      </c>
      <c r="N28" s="39">
        <v>83821433.468037471</v>
      </c>
      <c r="O28" s="39">
        <v>94615610.206328645</v>
      </c>
      <c r="P28" s="39">
        <v>3719013.8211027142</v>
      </c>
      <c r="Q28" s="39">
        <v>73837318.031333953</v>
      </c>
      <c r="R28" s="39">
        <v>3410426.8331797407</v>
      </c>
      <c r="T28" s="6" t="s">
        <v>572</v>
      </c>
    </row>
    <row r="29" spans="2:20" x14ac:dyDescent="0.2">
      <c r="B29" s="6" t="s">
        <v>547</v>
      </c>
      <c r="F29" s="6" t="s">
        <v>109</v>
      </c>
      <c r="K29" s="43">
        <f>SUM(M29:R29)</f>
        <v>280366757.95199353</v>
      </c>
      <c r="M29" s="39">
        <v>5505982.2846343154</v>
      </c>
      <c r="N29" s="39">
        <v>89278102.858918875</v>
      </c>
      <c r="O29" s="39">
        <v>99477334.853988722</v>
      </c>
      <c r="P29" s="39">
        <v>3971361.9924819255</v>
      </c>
      <c r="Q29" s="39">
        <v>78559150.739823759</v>
      </c>
      <c r="R29" s="39">
        <v>3574825.2221459462</v>
      </c>
      <c r="T29" s="6" t="s">
        <v>573</v>
      </c>
    </row>
    <row r="31" spans="2:20" x14ac:dyDescent="0.2">
      <c r="B31" s="5" t="s">
        <v>209</v>
      </c>
    </row>
    <row r="32" spans="2:20" x14ac:dyDescent="0.2">
      <c r="B32" s="6" t="s">
        <v>255</v>
      </c>
      <c r="F32" s="6" t="s">
        <v>109</v>
      </c>
      <c r="H32" s="39">
        <v>237239739.27047077</v>
      </c>
      <c r="T32" s="6" t="s">
        <v>574</v>
      </c>
    </row>
    <row r="33" spans="2:20" x14ac:dyDescent="0.2">
      <c r="B33" s="6" t="s">
        <v>256</v>
      </c>
      <c r="F33" s="6" t="s">
        <v>109</v>
      </c>
      <c r="H33" s="39">
        <v>238180027.2957063</v>
      </c>
      <c r="T33" s="6" t="s">
        <v>575</v>
      </c>
    </row>
    <row r="34" spans="2:20" x14ac:dyDescent="0.2">
      <c r="B34" s="6" t="s">
        <v>257</v>
      </c>
      <c r="F34" s="6" t="s">
        <v>109</v>
      </c>
      <c r="H34" s="39">
        <v>239003631.14149135</v>
      </c>
      <c r="T34" s="6" t="s">
        <v>576</v>
      </c>
    </row>
    <row r="35" spans="2:20" x14ac:dyDescent="0.2">
      <c r="B35" s="6" t="s">
        <v>258</v>
      </c>
      <c r="F35" s="6" t="s">
        <v>109</v>
      </c>
      <c r="H35" s="39">
        <v>239589665.09752646</v>
      </c>
      <c r="T35" s="6" t="s">
        <v>577</v>
      </c>
    </row>
    <row r="36" spans="2:20" x14ac:dyDescent="0.2">
      <c r="B36" s="6" t="s">
        <v>259</v>
      </c>
      <c r="F36" s="6" t="s">
        <v>109</v>
      </c>
      <c r="H36" s="39">
        <v>240062275.10425314</v>
      </c>
      <c r="T36" s="6" t="s">
        <v>578</v>
      </c>
    </row>
    <row r="37" spans="2:20" x14ac:dyDescent="0.2">
      <c r="B37" s="6" t="s">
        <v>260</v>
      </c>
      <c r="F37" s="6" t="s">
        <v>109</v>
      </c>
      <c r="H37" s="39">
        <v>240105087.3025412</v>
      </c>
      <c r="T37" s="6" t="s">
        <v>579</v>
      </c>
    </row>
    <row r="39" spans="2:20" x14ac:dyDescent="0.2">
      <c r="B39" s="5" t="s">
        <v>107</v>
      </c>
    </row>
    <row r="40" spans="2:20" x14ac:dyDescent="0.2">
      <c r="B40" s="6" t="s">
        <v>108</v>
      </c>
      <c r="D40" s="6" t="s">
        <v>150</v>
      </c>
      <c r="F40" s="6" t="s">
        <v>147</v>
      </c>
      <c r="K40" s="43">
        <f>SUM(M40:R40)</f>
        <v>263817492.32884002</v>
      </c>
      <c r="M40" s="39">
        <v>5018772.5801394312</v>
      </c>
      <c r="N40" s="39">
        <v>81673149.479024291</v>
      </c>
      <c r="O40" s="39">
        <v>98560769.971494347</v>
      </c>
      <c r="P40" s="39">
        <v>3217257.1382329287</v>
      </c>
      <c r="Q40" s="39">
        <v>72080560.820200607</v>
      </c>
      <c r="R40" s="39">
        <v>3266982.3397484501</v>
      </c>
      <c r="T40" s="6" t="s">
        <v>580</v>
      </c>
    </row>
    <row r="42" spans="2:20" s="13" customFormat="1" x14ac:dyDescent="0.2">
      <c r="B42" s="13" t="s">
        <v>299</v>
      </c>
    </row>
    <row r="44" spans="2:20" x14ac:dyDescent="0.2">
      <c r="B44" s="5" t="s">
        <v>298</v>
      </c>
    </row>
    <row r="45" spans="2:20" x14ac:dyDescent="0.2">
      <c r="B45" s="6" t="s">
        <v>114</v>
      </c>
      <c r="F45" s="6" t="s">
        <v>110</v>
      </c>
      <c r="H45" s="70">
        <v>3.4336984622197176E-3</v>
      </c>
      <c r="T45" s="6" t="s">
        <v>355</v>
      </c>
    </row>
    <row r="46" spans="2:20" x14ac:dyDescent="0.2">
      <c r="B46" s="6" t="s">
        <v>115</v>
      </c>
      <c r="F46" s="6" t="s">
        <v>110</v>
      </c>
      <c r="H46" s="70">
        <v>-9.6159535007804657E-3</v>
      </c>
      <c r="T46" s="6" t="s">
        <v>356</v>
      </c>
    </row>
    <row r="47" spans="2:20" x14ac:dyDescent="0.2">
      <c r="B47" s="6" t="s">
        <v>116</v>
      </c>
      <c r="F47" s="6" t="s">
        <v>110</v>
      </c>
      <c r="H47" s="70">
        <v>5.669638437281856E-3</v>
      </c>
      <c r="T47" s="6" t="s">
        <v>357</v>
      </c>
    </row>
    <row r="48" spans="2:20" x14ac:dyDescent="0.2">
      <c r="B48" s="6" t="s">
        <v>117</v>
      </c>
      <c r="F48" s="6" t="s">
        <v>110</v>
      </c>
      <c r="H48" s="70">
        <v>2.2718773518675534E-2</v>
      </c>
      <c r="T48" s="6" t="s">
        <v>358</v>
      </c>
    </row>
    <row r="49" spans="2:20" x14ac:dyDescent="0.2">
      <c r="B49" s="6" t="s">
        <v>118</v>
      </c>
      <c r="F49" s="6" t="s">
        <v>110</v>
      </c>
      <c r="H49" s="70">
        <v>4.0933998445390918E-2</v>
      </c>
      <c r="T49" s="6" t="s">
        <v>359</v>
      </c>
    </row>
    <row r="50" spans="2:20" x14ac:dyDescent="0.2">
      <c r="B50" s="6" t="s">
        <v>119</v>
      </c>
      <c r="F50" s="6" t="s">
        <v>110</v>
      </c>
      <c r="H50" s="70">
        <v>-5.0751527634833593E-3</v>
      </c>
      <c r="T50" s="6" t="s">
        <v>360</v>
      </c>
    </row>
    <row r="51" spans="2:20" x14ac:dyDescent="0.2">
      <c r="B51" s="6" t="s">
        <v>120</v>
      </c>
      <c r="F51" s="6" t="s">
        <v>110</v>
      </c>
      <c r="H51" s="70">
        <v>-3.1143448211270464E-3</v>
      </c>
      <c r="T51" s="6" t="s">
        <v>361</v>
      </c>
    </row>
    <row r="52" spans="2:20" x14ac:dyDescent="0.2">
      <c r="B52" s="6" t="s">
        <v>121</v>
      </c>
      <c r="F52" s="6" t="s">
        <v>110</v>
      </c>
      <c r="H52" s="70">
        <v>-2.6459138527593851E-2</v>
      </c>
      <c r="T52" s="6" t="s">
        <v>362</v>
      </c>
    </row>
    <row r="53" spans="2:20" x14ac:dyDescent="0.2">
      <c r="B53" s="6" t="s">
        <v>122</v>
      </c>
      <c r="F53" s="6" t="s">
        <v>110</v>
      </c>
      <c r="H53" s="70">
        <v>-5.8304049177015926E-4</v>
      </c>
      <c r="T53" s="6" t="s">
        <v>363</v>
      </c>
    </row>
    <row r="54" spans="2:20" x14ac:dyDescent="0.2">
      <c r="B54" s="6" t="s">
        <v>123</v>
      </c>
      <c r="F54" s="6" t="s">
        <v>110</v>
      </c>
      <c r="H54" s="70">
        <v>-2.8324624737395165E-2</v>
      </c>
      <c r="T54" s="6" t="s">
        <v>364</v>
      </c>
    </row>
  </sheetData>
  <phoneticPr fontId="33"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20">
    <tabColor rgb="FFE1FFE1"/>
  </sheetPr>
  <dimension ref="B2:V42"/>
  <sheetViews>
    <sheetView showGridLines="0" zoomScale="85" zoomScaleNormal="85" workbookViewId="0">
      <pane xSplit="4" ySplit="9" topLeftCell="E10" activePane="bottomRight" state="frozen"/>
      <selection activeCell="R6" sqref="R6"/>
      <selection pane="topRight" activeCell="R6" sqref="R6"/>
      <selection pane="bottomLeft" activeCell="R6" sqref="R6"/>
      <selection pane="bottomRight" activeCell="E10" sqref="E10"/>
    </sheetView>
  </sheetViews>
  <sheetFormatPr defaultRowHeight="12.75" x14ac:dyDescent="0.2"/>
  <cols>
    <col min="1" max="1" width="2.7109375" style="6" customWidth="1"/>
    <col min="2" max="2" width="82.28515625" style="6" bestFit="1" customWidth="1"/>
    <col min="3" max="3" width="2.7109375" style="6" customWidth="1"/>
    <col min="4" max="4" width="13.7109375" style="6" customWidth="1"/>
    <col min="5" max="5" width="2.7109375" style="6" customWidth="1"/>
    <col min="6" max="6" width="18.42578125" style="6" bestFit="1" customWidth="1"/>
    <col min="7" max="7" width="2.7109375" style="6" customWidth="1"/>
    <col min="8" max="8" width="14.7109375" style="6" customWidth="1"/>
    <col min="9" max="10" width="16" style="6" bestFit="1" customWidth="1"/>
    <col min="11" max="11" width="14.7109375" style="6" customWidth="1"/>
    <col min="12" max="12" width="16" style="6" bestFit="1" customWidth="1"/>
    <col min="13" max="13" width="14.7109375" style="6" customWidth="1"/>
    <col min="14" max="14" width="2.7109375" style="6" customWidth="1"/>
    <col min="15" max="15" width="14.7109375" style="6" customWidth="1"/>
    <col min="16" max="16" width="2.7109375" style="6" customWidth="1"/>
    <col min="17" max="17" width="35.140625" style="6" bestFit="1" customWidth="1"/>
    <col min="18" max="19" width="2.7109375" style="6" customWidth="1"/>
    <col min="20" max="20" width="13.7109375" style="6" customWidth="1"/>
    <col min="21" max="21" width="2.7109375" style="6" customWidth="1"/>
    <col min="22" max="36" width="13.7109375" style="6" customWidth="1"/>
    <col min="37" max="16384" width="9.140625" style="6"/>
  </cols>
  <sheetData>
    <row r="2" spans="2:21" s="26" customFormat="1" ht="18" x14ac:dyDescent="0.2">
      <c r="B2" s="26" t="s">
        <v>415</v>
      </c>
    </row>
    <row r="4" spans="2:21" x14ac:dyDescent="0.2">
      <c r="B4" s="33" t="s">
        <v>26</v>
      </c>
      <c r="H4" s="79"/>
    </row>
    <row r="5" spans="2:21" ht="30" customHeight="1" x14ac:dyDescent="0.2">
      <c r="B5" s="187" t="s">
        <v>542</v>
      </c>
      <c r="C5" s="187"/>
      <c r="D5" s="187"/>
      <c r="F5" s="27"/>
    </row>
    <row r="6" spans="2:21" x14ac:dyDescent="0.2">
      <c r="B6" s="29"/>
      <c r="F6" s="27"/>
    </row>
    <row r="8" spans="2:21" s="13" customFormat="1" x14ac:dyDescent="0.2">
      <c r="B8" s="13" t="s">
        <v>42</v>
      </c>
      <c r="D8" s="13" t="s">
        <v>25</v>
      </c>
      <c r="F8" s="13" t="s">
        <v>414</v>
      </c>
      <c r="H8" s="13" t="s">
        <v>72</v>
      </c>
      <c r="I8" s="13" t="s">
        <v>73</v>
      </c>
      <c r="J8" s="13" t="s">
        <v>74</v>
      </c>
      <c r="K8" s="13" t="s">
        <v>75</v>
      </c>
      <c r="L8" s="13" t="s">
        <v>76</v>
      </c>
      <c r="M8" s="13" t="s">
        <v>77</v>
      </c>
      <c r="O8" s="13" t="s">
        <v>413</v>
      </c>
      <c r="Q8" s="13" t="s">
        <v>412</v>
      </c>
      <c r="S8" s="13" t="s">
        <v>43</v>
      </c>
    </row>
    <row r="11" spans="2:21" s="13" customFormat="1" ht="12" customHeight="1" x14ac:dyDescent="0.2">
      <c r="B11" s="13" t="s">
        <v>411</v>
      </c>
    </row>
    <row r="13" spans="2:21" x14ac:dyDescent="0.2">
      <c r="B13" s="150" t="s">
        <v>410</v>
      </c>
      <c r="C13" s="151"/>
      <c r="D13" s="151"/>
      <c r="E13" s="79"/>
      <c r="F13" s="79"/>
      <c r="G13" s="79"/>
      <c r="H13" s="152"/>
      <c r="I13" s="79"/>
      <c r="J13" s="79"/>
      <c r="K13" s="79"/>
      <c r="L13" s="79"/>
      <c r="M13" s="79"/>
      <c r="N13" s="79"/>
      <c r="O13" s="79"/>
      <c r="P13" s="79"/>
      <c r="Q13" s="79"/>
      <c r="R13" s="79"/>
      <c r="S13" s="79"/>
      <c r="T13" s="79"/>
      <c r="U13" s="79"/>
    </row>
    <row r="14" spans="2:21" x14ac:dyDescent="0.2">
      <c r="B14" s="149" t="s">
        <v>406</v>
      </c>
      <c r="C14" s="151"/>
      <c r="D14" s="149" t="s">
        <v>403</v>
      </c>
      <c r="E14" s="79"/>
      <c r="F14" s="146">
        <f>SUM(H14:M14,O14)</f>
        <v>450139824268.89893</v>
      </c>
      <c r="G14" s="79"/>
      <c r="H14" s="145">
        <v>10597241574.301731</v>
      </c>
      <c r="I14" s="145">
        <v>154068987873.90161</v>
      </c>
      <c r="J14" s="145">
        <v>154999171754.80731</v>
      </c>
      <c r="K14" s="145">
        <v>7538502493.4682274</v>
      </c>
      <c r="L14" s="145">
        <v>107810301581.22597</v>
      </c>
      <c r="M14" s="145">
        <v>3874526545.0359936</v>
      </c>
      <c r="N14" s="79"/>
      <c r="O14" s="145">
        <v>11251092446.158127</v>
      </c>
      <c r="P14" s="79"/>
      <c r="Q14" s="6" t="s">
        <v>409</v>
      </c>
      <c r="R14" s="79"/>
      <c r="S14" s="79"/>
    </row>
    <row r="15" spans="2:21" x14ac:dyDescent="0.2">
      <c r="B15" s="149" t="s">
        <v>404</v>
      </c>
      <c r="C15" s="151"/>
      <c r="D15" s="149" t="s">
        <v>403</v>
      </c>
      <c r="E15" s="79"/>
      <c r="F15" s="146">
        <f>SUM(H15:M15,O15)</f>
        <v>233655940070</v>
      </c>
      <c r="G15" s="79"/>
      <c r="H15" s="145">
        <v>2241703724</v>
      </c>
      <c r="I15" s="145">
        <v>69289270656</v>
      </c>
      <c r="J15" s="145">
        <v>65499119323</v>
      </c>
      <c r="K15" s="145">
        <v>2520191486</v>
      </c>
      <c r="L15" s="145">
        <v>52341842907</v>
      </c>
      <c r="M15" s="145">
        <v>36485373047</v>
      </c>
      <c r="N15" s="79"/>
      <c r="O15" s="145">
        <v>5278438927</v>
      </c>
      <c r="P15" s="79"/>
      <c r="Q15" s="79"/>
      <c r="R15" s="79"/>
      <c r="S15" s="79"/>
    </row>
    <row r="16" spans="2:21" x14ac:dyDescent="0.2">
      <c r="B16" s="151"/>
      <c r="C16" s="151"/>
      <c r="D16" s="151"/>
      <c r="E16" s="79"/>
      <c r="F16" s="79"/>
      <c r="G16" s="79"/>
      <c r="H16" s="79"/>
      <c r="I16" s="79"/>
      <c r="J16" s="79"/>
      <c r="K16" s="79"/>
      <c r="L16" s="79"/>
      <c r="M16" s="79"/>
      <c r="N16" s="79"/>
      <c r="O16" s="79"/>
      <c r="P16" s="79"/>
      <c r="Q16" s="79"/>
      <c r="R16" s="79"/>
    </row>
    <row r="17" spans="2:21" x14ac:dyDescent="0.2">
      <c r="B17" s="150" t="s">
        <v>408</v>
      </c>
      <c r="C17" s="151"/>
      <c r="D17" s="153"/>
      <c r="E17" s="79"/>
      <c r="F17" s="79"/>
      <c r="G17" s="79"/>
      <c r="H17" s="79"/>
      <c r="I17" s="79"/>
      <c r="J17" s="79"/>
      <c r="K17" s="79"/>
      <c r="L17" s="79"/>
      <c r="M17" s="79"/>
      <c r="N17" s="79"/>
      <c r="O17" s="79"/>
      <c r="P17" s="79"/>
      <c r="Q17" s="79"/>
      <c r="R17" s="79"/>
    </row>
    <row r="18" spans="2:21" x14ac:dyDescent="0.2">
      <c r="B18" s="149" t="s">
        <v>406</v>
      </c>
      <c r="C18" s="151"/>
      <c r="D18" s="149" t="s">
        <v>403</v>
      </c>
      <c r="E18" s="79"/>
      <c r="F18" s="146">
        <f>SUM(H18:M18,O18)</f>
        <v>435755643581.26282</v>
      </c>
      <c r="G18" s="79"/>
      <c r="H18" s="145">
        <v>10341665458.664619</v>
      </c>
      <c r="I18" s="145">
        <v>148892180381.54041</v>
      </c>
      <c r="J18" s="145">
        <v>151069257280.01251</v>
      </c>
      <c r="K18" s="145">
        <v>7330257697.5670252</v>
      </c>
      <c r="L18" s="145">
        <v>102966867862.25459</v>
      </c>
      <c r="M18" s="145">
        <v>3955080992.0000038</v>
      </c>
      <c r="N18" s="79"/>
      <c r="O18" s="145">
        <v>11200333909.22369</v>
      </c>
      <c r="P18" s="79"/>
      <c r="Q18" s="79"/>
      <c r="R18" s="79"/>
    </row>
    <row r="19" spans="2:21" x14ac:dyDescent="0.2">
      <c r="B19" s="149" t="s">
        <v>404</v>
      </c>
      <c r="C19" s="151"/>
      <c r="D19" s="149" t="s">
        <v>403</v>
      </c>
      <c r="E19" s="79"/>
      <c r="F19" s="146">
        <f>SUM(H19:M19,O19)</f>
        <v>231002802561</v>
      </c>
      <c r="G19" s="79"/>
      <c r="H19" s="145">
        <v>2243599134</v>
      </c>
      <c r="I19" s="145">
        <v>69374481056</v>
      </c>
      <c r="J19" s="145">
        <v>65646095495</v>
      </c>
      <c r="K19" s="145">
        <v>2448919770</v>
      </c>
      <c r="L19" s="145">
        <v>50058186676</v>
      </c>
      <c r="M19" s="145">
        <v>37267579590</v>
      </c>
      <c r="N19" s="79"/>
      <c r="O19" s="145">
        <v>3963940840</v>
      </c>
      <c r="P19" s="79"/>
      <c r="Q19" s="79"/>
      <c r="R19" s="79"/>
    </row>
    <row r="20" spans="2:21" x14ac:dyDescent="0.2">
      <c r="B20" s="149"/>
      <c r="C20" s="151"/>
      <c r="D20" s="149"/>
      <c r="E20" s="79"/>
      <c r="F20" s="79"/>
      <c r="G20" s="79"/>
      <c r="H20" s="79"/>
      <c r="I20" s="79"/>
      <c r="J20" s="79"/>
      <c r="K20" s="79"/>
      <c r="L20" s="79"/>
      <c r="M20" s="79"/>
      <c r="N20" s="79"/>
      <c r="O20" s="79"/>
      <c r="P20" s="79"/>
      <c r="Q20" s="79"/>
      <c r="R20" s="79"/>
    </row>
    <row r="21" spans="2:21" x14ac:dyDescent="0.2">
      <c r="B21" s="150" t="s">
        <v>407</v>
      </c>
      <c r="C21" s="151"/>
      <c r="D21" s="149"/>
      <c r="E21" s="79"/>
      <c r="F21" s="152"/>
      <c r="G21" s="79"/>
      <c r="H21" s="79"/>
      <c r="I21" s="79"/>
      <c r="J21" s="79"/>
      <c r="K21" s="79"/>
      <c r="L21" s="79"/>
      <c r="M21" s="79"/>
      <c r="N21" s="79"/>
      <c r="O21" s="79"/>
      <c r="P21" s="79"/>
      <c r="Q21" s="79"/>
      <c r="R21" s="79"/>
    </row>
    <row r="22" spans="2:21" x14ac:dyDescent="0.2">
      <c r="B22" s="149" t="s">
        <v>406</v>
      </c>
      <c r="C22" s="151"/>
      <c r="D22" s="149" t="s">
        <v>403</v>
      </c>
      <c r="E22" s="79"/>
      <c r="F22" s="146">
        <f>SUM(H22:M22,O22)</f>
        <v>436499849690.16272</v>
      </c>
      <c r="G22" s="79"/>
      <c r="H22" s="39">
        <v>10228283820.5362</v>
      </c>
      <c r="I22" s="39">
        <v>148224075031.23599</v>
      </c>
      <c r="J22" s="39">
        <v>150617883583.08401</v>
      </c>
      <c r="K22" s="39">
        <v>7275256181.0672998</v>
      </c>
      <c r="L22" s="39">
        <v>105026379930.588</v>
      </c>
      <c r="M22" s="39">
        <v>3938641890.000001</v>
      </c>
      <c r="N22" s="174"/>
      <c r="O22" s="39">
        <v>11189329253.651199</v>
      </c>
      <c r="P22" s="79"/>
      <c r="Q22" s="6" t="s">
        <v>405</v>
      </c>
      <c r="R22" s="79"/>
    </row>
    <row r="23" spans="2:21" x14ac:dyDescent="0.2">
      <c r="B23" s="149" t="s">
        <v>404</v>
      </c>
      <c r="C23" s="151"/>
      <c r="D23" s="149" t="s">
        <v>403</v>
      </c>
      <c r="E23" s="79"/>
      <c r="F23" s="146">
        <f>SUM(H23:M23,O23)</f>
        <v>228759779600</v>
      </c>
      <c r="G23" s="79"/>
      <c r="H23" s="39">
        <v>2289495944</v>
      </c>
      <c r="I23" s="39">
        <v>68784960106</v>
      </c>
      <c r="J23" s="39">
        <v>64747353480</v>
      </c>
      <c r="K23" s="39">
        <v>2248726764</v>
      </c>
      <c r="L23" s="39">
        <v>49644421813</v>
      </c>
      <c r="M23" s="39">
        <v>35687459149</v>
      </c>
      <c r="N23" s="174"/>
      <c r="O23" s="39">
        <v>5357362344</v>
      </c>
      <c r="P23" s="79"/>
      <c r="Q23" s="79"/>
      <c r="R23" s="79"/>
    </row>
    <row r="24" spans="2:21" x14ac:dyDescent="0.2">
      <c r="B24" s="149"/>
      <c r="C24" s="151"/>
      <c r="D24" s="79"/>
      <c r="E24" s="79"/>
      <c r="F24" s="149"/>
      <c r="G24" s="79"/>
      <c r="H24" s="79"/>
      <c r="I24" s="79"/>
      <c r="J24" s="79"/>
      <c r="K24" s="79"/>
      <c r="L24" s="79"/>
      <c r="M24" s="79"/>
      <c r="N24" s="79"/>
      <c r="O24" s="79"/>
      <c r="P24" s="79"/>
      <c r="Q24" s="79"/>
      <c r="R24" s="79"/>
      <c r="S24" s="79"/>
    </row>
    <row r="25" spans="2:21" s="13" customFormat="1" ht="12" customHeight="1" x14ac:dyDescent="0.2">
      <c r="B25" s="13" t="s">
        <v>402</v>
      </c>
    </row>
    <row r="27" spans="2:21" x14ac:dyDescent="0.2">
      <c r="B27" s="150" t="s">
        <v>523</v>
      </c>
      <c r="C27" s="79"/>
      <c r="D27" s="79"/>
      <c r="E27" s="79"/>
      <c r="F27" s="79"/>
      <c r="G27" s="79"/>
      <c r="H27" s="79"/>
      <c r="I27" s="79"/>
      <c r="J27" s="79"/>
      <c r="K27" s="79"/>
      <c r="L27" s="79"/>
      <c r="M27" s="79"/>
      <c r="N27" s="79"/>
      <c r="O27" s="79"/>
      <c r="P27" s="79"/>
      <c r="R27" s="79"/>
      <c r="S27" s="79"/>
      <c r="U27" s="79"/>
    </row>
    <row r="28" spans="2:21" x14ac:dyDescent="0.2">
      <c r="B28" s="149" t="s">
        <v>401</v>
      </c>
      <c r="C28" s="79"/>
      <c r="D28" s="6" t="s">
        <v>95</v>
      </c>
      <c r="E28" s="79"/>
      <c r="F28" s="39">
        <v>23292836</v>
      </c>
      <c r="H28" s="79"/>
      <c r="I28" s="79"/>
      <c r="J28" s="79"/>
      <c r="K28" s="79"/>
      <c r="L28" s="79"/>
      <c r="M28" s="79"/>
      <c r="N28" s="79"/>
      <c r="O28" s="79"/>
      <c r="P28" s="79"/>
      <c r="Q28" s="6" t="s">
        <v>398</v>
      </c>
      <c r="R28" s="79"/>
      <c r="S28" s="79"/>
    </row>
    <row r="29" spans="2:21" x14ac:dyDescent="0.2">
      <c r="B29" s="149" t="s">
        <v>400</v>
      </c>
      <c r="C29" s="79"/>
      <c r="D29" s="6" t="s">
        <v>99</v>
      </c>
      <c r="E29" s="79"/>
      <c r="F29" s="39">
        <v>22948179</v>
      </c>
      <c r="I29" s="79"/>
      <c r="J29" s="79"/>
      <c r="K29" s="79"/>
      <c r="L29" s="79"/>
      <c r="M29" s="79"/>
      <c r="N29" s="79"/>
      <c r="O29" s="79"/>
      <c r="P29" s="79"/>
      <c r="Q29" s="6" t="s">
        <v>398</v>
      </c>
      <c r="R29" s="79"/>
      <c r="S29" s="79"/>
      <c r="U29" s="79"/>
    </row>
    <row r="30" spans="2:21" x14ac:dyDescent="0.2">
      <c r="B30" s="149" t="s">
        <v>399</v>
      </c>
      <c r="C30" s="79"/>
      <c r="D30" s="6" t="s">
        <v>103</v>
      </c>
      <c r="E30" s="79"/>
      <c r="F30" s="39">
        <v>17444072</v>
      </c>
      <c r="I30" s="79"/>
      <c r="J30" s="79"/>
      <c r="K30" s="79"/>
      <c r="L30" s="79"/>
      <c r="M30" s="79"/>
      <c r="N30" s="79"/>
      <c r="O30" s="79"/>
      <c r="P30" s="79"/>
      <c r="Q30" s="6" t="s">
        <v>398</v>
      </c>
      <c r="R30" s="79"/>
      <c r="S30" s="79"/>
      <c r="U30" s="79"/>
    </row>
    <row r="32" spans="2:21" s="13" customFormat="1" x14ac:dyDescent="0.2">
      <c r="B32" s="13" t="s">
        <v>397</v>
      </c>
    </row>
    <row r="34" spans="2:22" x14ac:dyDescent="0.2">
      <c r="B34" s="148" t="s">
        <v>396</v>
      </c>
      <c r="C34" s="79"/>
      <c r="D34" s="79"/>
      <c r="E34" s="79"/>
      <c r="F34" s="79"/>
      <c r="G34" s="79"/>
      <c r="H34" s="79"/>
      <c r="I34" s="79"/>
      <c r="J34" s="79"/>
      <c r="K34" s="79"/>
      <c r="L34" s="79"/>
      <c r="M34" s="79"/>
      <c r="N34" s="79"/>
      <c r="O34" s="79"/>
      <c r="P34" s="79"/>
      <c r="Q34" s="79"/>
      <c r="R34" s="79"/>
      <c r="S34" s="79"/>
      <c r="T34" s="79"/>
      <c r="U34" s="79"/>
      <c r="V34" s="79"/>
    </row>
    <row r="35" spans="2:22" x14ac:dyDescent="0.2">
      <c r="B35" s="58" t="s">
        <v>395</v>
      </c>
      <c r="C35" s="79"/>
      <c r="D35" s="147" t="s">
        <v>109</v>
      </c>
      <c r="E35" s="79"/>
      <c r="F35" s="146">
        <f>SUM(H35:M35,O35)</f>
        <v>22572280.033821385</v>
      </c>
      <c r="G35" s="79"/>
      <c r="H35" s="145">
        <v>467889.15918032784</v>
      </c>
      <c r="I35" s="145">
        <v>7328171.9287251653</v>
      </c>
      <c r="J35" s="145">
        <v>7874376.5576156462</v>
      </c>
      <c r="K35" s="145">
        <v>340514.64999999997</v>
      </c>
      <c r="L35" s="145">
        <v>5785667.2366107479</v>
      </c>
      <c r="M35" s="145">
        <v>169231.35329768088</v>
      </c>
      <c r="N35" s="79"/>
      <c r="O35" s="145">
        <v>606429.14839181781</v>
      </c>
      <c r="P35" s="79"/>
      <c r="Q35" s="6" t="s">
        <v>581</v>
      </c>
      <c r="R35" s="79"/>
      <c r="S35" s="79"/>
      <c r="U35" s="79"/>
      <c r="V35" s="79"/>
    </row>
    <row r="36" spans="2:22" x14ac:dyDescent="0.2">
      <c r="B36" s="53"/>
      <c r="C36" s="79"/>
      <c r="D36" s="79"/>
      <c r="E36" s="79"/>
      <c r="F36" s="79"/>
      <c r="G36" s="79"/>
      <c r="H36" s="79"/>
      <c r="I36" s="79"/>
      <c r="J36" s="79"/>
      <c r="K36" s="79"/>
      <c r="L36" s="79"/>
      <c r="M36" s="79"/>
      <c r="N36" s="79"/>
      <c r="O36" s="79"/>
      <c r="P36" s="79"/>
      <c r="R36" s="79"/>
      <c r="S36" s="79"/>
      <c r="U36" s="79"/>
      <c r="V36" s="79"/>
    </row>
    <row r="37" spans="2:22" x14ac:dyDescent="0.2">
      <c r="B37" s="148" t="s">
        <v>394</v>
      </c>
      <c r="C37" s="79"/>
      <c r="D37" s="79"/>
      <c r="E37" s="79"/>
      <c r="F37" s="79"/>
      <c r="G37" s="79"/>
      <c r="H37" s="79"/>
      <c r="I37" s="79"/>
      <c r="J37" s="79"/>
      <c r="K37" s="79"/>
      <c r="L37" s="79"/>
      <c r="M37" s="79"/>
      <c r="N37" s="79"/>
      <c r="O37" s="79"/>
      <c r="P37" s="79"/>
      <c r="R37" s="79"/>
      <c r="S37" s="79"/>
      <c r="U37" s="79"/>
      <c r="V37" s="79"/>
    </row>
    <row r="38" spans="2:22" x14ac:dyDescent="0.2">
      <c r="B38" s="58" t="s">
        <v>393</v>
      </c>
      <c r="C38" s="79"/>
      <c r="D38" s="147" t="s">
        <v>109</v>
      </c>
      <c r="E38" s="79"/>
      <c r="F38" s="146">
        <f>SUM(H38:M38,O38)</f>
        <v>1833014.5441086765</v>
      </c>
      <c r="G38" s="79"/>
      <c r="H38" s="145">
        <v>32998.333333333336</v>
      </c>
      <c r="I38" s="145">
        <v>580645.73452814098</v>
      </c>
      <c r="J38" s="145">
        <v>600697.86502657167</v>
      </c>
      <c r="K38" s="145">
        <v>20660.583333333332</v>
      </c>
      <c r="L38" s="145">
        <v>508818.58796296298</v>
      </c>
      <c r="M38" s="145">
        <v>54764.278978184528</v>
      </c>
      <c r="N38" s="79"/>
      <c r="O38" s="145">
        <v>34429.160946149896</v>
      </c>
      <c r="P38" s="79"/>
      <c r="Q38" s="6" t="s">
        <v>582</v>
      </c>
      <c r="R38" s="79"/>
      <c r="S38" s="79"/>
      <c r="T38" s="79"/>
      <c r="U38" s="79"/>
      <c r="V38" s="79"/>
    </row>
    <row r="39" spans="2:22" x14ac:dyDescent="0.2">
      <c r="B39" s="53"/>
      <c r="C39" s="79"/>
      <c r="D39" s="79"/>
      <c r="E39" s="79"/>
      <c r="F39" s="79"/>
      <c r="G39" s="79"/>
      <c r="H39" s="79"/>
      <c r="I39" s="79"/>
      <c r="J39" s="79"/>
      <c r="K39" s="79"/>
      <c r="L39" s="79"/>
      <c r="M39" s="79"/>
      <c r="N39" s="79"/>
      <c r="O39" s="79"/>
      <c r="P39" s="79"/>
      <c r="R39" s="79"/>
      <c r="S39" s="79"/>
      <c r="T39" s="79"/>
      <c r="U39" s="79"/>
      <c r="V39" s="79"/>
    </row>
    <row r="40" spans="2:22" x14ac:dyDescent="0.2">
      <c r="B40" s="148" t="s">
        <v>392</v>
      </c>
      <c r="C40" s="79"/>
      <c r="D40" s="79"/>
      <c r="E40" s="79"/>
      <c r="F40" s="79"/>
      <c r="G40" s="79"/>
      <c r="H40" s="79"/>
      <c r="I40" s="79"/>
      <c r="J40" s="79"/>
      <c r="K40" s="79"/>
      <c r="L40" s="79"/>
      <c r="M40" s="79"/>
      <c r="N40" s="79"/>
      <c r="O40" s="79"/>
      <c r="P40" s="79"/>
      <c r="R40" s="79"/>
      <c r="S40" s="79"/>
      <c r="T40" s="79"/>
      <c r="U40" s="79"/>
      <c r="V40" s="79"/>
    </row>
    <row r="41" spans="2:22" x14ac:dyDescent="0.2">
      <c r="B41" s="58" t="s">
        <v>391</v>
      </c>
      <c r="C41" s="79"/>
      <c r="D41" s="147" t="s">
        <v>109</v>
      </c>
      <c r="E41" s="79"/>
      <c r="F41" s="146">
        <f>SUM(H41:M41,O41)</f>
        <v>2593760.9394599902</v>
      </c>
      <c r="G41" s="79"/>
      <c r="H41" s="145">
        <v>31224.111111111109</v>
      </c>
      <c r="I41" s="145">
        <v>783519.48312986642</v>
      </c>
      <c r="J41" s="145">
        <v>767972.55111111107</v>
      </c>
      <c r="K41" s="145">
        <v>27504.899999999998</v>
      </c>
      <c r="L41" s="145">
        <v>597934.14928815875</v>
      </c>
      <c r="M41" s="145">
        <v>308891.46780625609</v>
      </c>
      <c r="N41" s="79"/>
      <c r="O41" s="145">
        <v>76714.277013487284</v>
      </c>
      <c r="P41" s="79"/>
      <c r="Q41" s="6" t="s">
        <v>583</v>
      </c>
      <c r="R41" s="79"/>
      <c r="S41" s="79"/>
      <c r="T41" s="79"/>
      <c r="U41" s="79"/>
      <c r="V41" s="79"/>
    </row>
    <row r="42" spans="2:22" x14ac:dyDescent="0.2">
      <c r="B42" s="53"/>
      <c r="C42" s="79"/>
      <c r="D42" s="79"/>
      <c r="E42" s="79"/>
      <c r="F42" s="79"/>
      <c r="G42" s="79"/>
      <c r="H42" s="79"/>
      <c r="I42" s="79"/>
      <c r="J42" s="79"/>
      <c r="K42" s="79"/>
      <c r="L42" s="79"/>
      <c r="M42" s="79"/>
      <c r="N42" s="79"/>
      <c r="O42" s="79"/>
      <c r="P42" s="79"/>
      <c r="Q42" s="79"/>
      <c r="R42" s="79"/>
      <c r="S42" s="79"/>
      <c r="T42" s="79"/>
      <c r="U42" s="79"/>
      <c r="V42" s="79"/>
    </row>
  </sheetData>
  <mergeCells count="1">
    <mergeCell ref="B5:D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20B76403CB6F24694D915B3C168C0E6" ma:contentTypeVersion="0" ma:contentTypeDescription="Een nieuw document maken." ma:contentTypeScope="" ma:versionID="bf02a18621bcb6325d2ad5de47f96fac">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2.xml><?xml version="1.0" encoding="utf-8"?>
<ds:datastoreItem xmlns:ds="http://schemas.openxmlformats.org/officeDocument/2006/customXml" ds:itemID="{9CDAB9D1-B815-4B0E-93E7-4496A7FE99F6}">
  <ds:schemaRefs>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http://purl.org/dc/terms/"/>
    <ds:schemaRef ds:uri="http://purl.org/dc/dcmitype/"/>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61BDC70D-3516-47CA-A74A-26D77D0F6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20</vt:i4>
      </vt:variant>
    </vt:vector>
  </HeadingPairs>
  <TitlesOfParts>
    <vt:vector size="20" baseType="lpstr">
      <vt:lpstr>Titelblad</vt:lpstr>
      <vt:lpstr>Toelichting</vt:lpstr>
      <vt:lpstr>Bronnen en toepassingen</vt:lpstr>
      <vt:lpstr>Resultaat</vt:lpstr>
      <vt:lpstr>Input --&gt;</vt:lpstr>
      <vt:lpstr>1) Reguleringsparameters</vt:lpstr>
      <vt:lpstr>2) Kosten 2015-2020</vt:lpstr>
      <vt:lpstr>3)  SO, BI &amp; PV</vt:lpstr>
      <vt:lpstr>4) Netverliezen</vt:lpstr>
      <vt:lpstr>Berekeningen --&gt;</vt:lpstr>
      <vt:lpstr>4) Berekeningen op parameters</vt:lpstr>
      <vt:lpstr>5) PV TD</vt:lpstr>
      <vt:lpstr>6) PV AD</vt:lpstr>
      <vt:lpstr>7) Totale kosten TD maatstaf</vt:lpstr>
      <vt:lpstr>8) Totale kosten AD maatstaf</vt:lpstr>
      <vt:lpstr>9) Kosten netverliezen</vt:lpstr>
      <vt:lpstr>10) Toetsen toepassing one-off</vt:lpstr>
      <vt:lpstr>11) BI &amp; EI TD</vt:lpstr>
      <vt:lpstr>12) BI &amp; EI AD</vt:lpstr>
      <vt:lpstr>13) X-factor &amp; tariefruimte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2024-04-09T09:29:55Z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0x010100E20B76403CB6F24694D915B3C168C0E6</vt:lpwstr>
  </property>
</Properties>
</file>