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24226"/>
  <xr:revisionPtr revIDLastSave="0" documentId="8_{BA43A280-19C0-4AF1-9ECB-2F98788F383A}" xr6:coauthVersionLast="47" xr6:coauthVersionMax="47" xr10:uidLastSave="{00000000-0000-0000-0000-000000000000}"/>
  <bookViews>
    <workbookView xWindow="28680" yWindow="-120" windowWidth="29040" windowHeight="15840" tabRatio="743" xr2:uid="{00000000-000D-0000-FFFF-FFFF00000000}"/>
  </bookViews>
  <sheets>
    <sheet name="Titelblad" sheetId="9" r:id="rId1"/>
    <sheet name="Toelichting" sheetId="38" r:id="rId2"/>
    <sheet name="Bronnen en toepassingen" sheetId="11" r:id="rId3"/>
    <sheet name="1. Resultaat" sheetId="37" r:id="rId4"/>
    <sheet name="Input --&gt;" sheetId="13" r:id="rId5"/>
    <sheet name="2. Reguleringsparameters" sheetId="18" r:id="rId6"/>
    <sheet name="3. GAW model" sheetId="26" r:id="rId7"/>
    <sheet name="4. Operationele kosten" sheetId="25" r:id="rId8"/>
    <sheet name="Berekeningen --&gt;" sheetId="15" r:id="rId9"/>
    <sheet name="5. Berekening op parameters" sheetId="31" r:id="rId10"/>
    <sheet name="6. Berekening doorrollen " sheetId="33" r:id="rId11"/>
    <sheet name="7. Berekening bijschatten " sheetId="35" r:id="rId12"/>
    <sheet name="8. Berekening oper. kosten" sheetId="27" r:id="rId13"/>
    <sheet name="9. Berekening x-factor" sheetId="3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olver_adj" localSheetId="13" hidden="1">'9. Berekening x-factor'!$F$53</definedName>
    <definedName name="solver_cvg" localSheetId="13" hidden="1">0.000001</definedName>
    <definedName name="solver_drv" localSheetId="13" hidden="1">1</definedName>
    <definedName name="solver_eng" localSheetId="12" hidden="1">1</definedName>
    <definedName name="solver_eng" localSheetId="13" hidden="1">1</definedName>
    <definedName name="solver_est" localSheetId="13" hidden="1">1</definedName>
    <definedName name="solver_itr" localSheetId="13" hidden="1">2147483647</definedName>
    <definedName name="solver_lhs0" localSheetId="13" hidden="1">'9. Berekening x-factor'!#REF!</definedName>
    <definedName name="solver_lhs1" localSheetId="13" hidden="1">'9. Berekening x-factor'!$F$58</definedName>
    <definedName name="solver_lhs2" localSheetId="13" hidden="1">'9. Berekening x-factor'!$F$58</definedName>
    <definedName name="solver_lhs3" localSheetId="13" hidden="1">'9. Berekening x-factor'!#REF!</definedName>
    <definedName name="solver_lhs4" localSheetId="13" hidden="1">'9. Berekening x-factor'!#REF!</definedName>
    <definedName name="solver_lhs5" localSheetId="13" hidden="1">'9. Berekening x-factor'!#REF!</definedName>
    <definedName name="solver_lhs6" localSheetId="13" hidden="1">'9. Berekening x-factor'!#REF!</definedName>
    <definedName name="solver_mip" localSheetId="13" hidden="1">2147483647</definedName>
    <definedName name="solver_mni" localSheetId="13" hidden="1">30</definedName>
    <definedName name="solver_mrt" localSheetId="13" hidden="1">0.075</definedName>
    <definedName name="solver_msl" localSheetId="13" hidden="1">2</definedName>
    <definedName name="solver_neg" localSheetId="12" hidden="1">1</definedName>
    <definedName name="solver_neg" localSheetId="13" hidden="1">2</definedName>
    <definedName name="solver_nod" localSheetId="13" hidden="1">2147483647</definedName>
    <definedName name="solver_num" localSheetId="12" hidden="1">0</definedName>
    <definedName name="solver_num" localSheetId="13" hidden="1">1</definedName>
    <definedName name="solver_nwt" localSheetId="13" hidden="1">1</definedName>
    <definedName name="solver_opt" localSheetId="12" hidden="1">'8. Berekening oper. kosten'!$B$54</definedName>
    <definedName name="solver_opt" localSheetId="13" hidden="1">'9. Berekening x-factor'!$F$58</definedName>
    <definedName name="solver_pre" localSheetId="13" hidden="1">0.00000000001</definedName>
    <definedName name="solver_rbv" localSheetId="13" hidden="1">1</definedName>
    <definedName name="solver_rel0" localSheetId="13" hidden="1">2</definedName>
    <definedName name="solver_rel1" localSheetId="13" hidden="1">2</definedName>
    <definedName name="solver_rel2" localSheetId="13" hidden="1">2</definedName>
    <definedName name="solver_rel3" localSheetId="13" hidden="1">2</definedName>
    <definedName name="solver_rel4" localSheetId="13" hidden="1">2</definedName>
    <definedName name="solver_rel5" localSheetId="13" hidden="1">2</definedName>
    <definedName name="solver_rel6" localSheetId="13" hidden="1">2</definedName>
    <definedName name="solver_rhs0" localSheetId="13" hidden="1">'9. Berekening x-factor'!#REF!</definedName>
    <definedName name="solver_rhs1" localSheetId="13" hidden="1">'9. Berekening x-factor'!$F$48</definedName>
    <definedName name="solver_rhs2" localSheetId="13" hidden="1">'9. Berekening x-factor'!$F$38</definedName>
    <definedName name="solver_rhs3" localSheetId="13" hidden="1">'9. Berekening x-factor'!#REF!</definedName>
    <definedName name="solver_rhs4" localSheetId="13" hidden="1">'9. Berekening x-factor'!#REF!</definedName>
    <definedName name="solver_rhs5" localSheetId="13" hidden="1">'9. Berekening x-factor'!#REF!</definedName>
    <definedName name="solver_rhs6" localSheetId="13" hidden="1">'9. Berekening x-factor'!#REF!</definedName>
    <definedName name="solver_rlx" localSheetId="13" hidden="1">2</definedName>
    <definedName name="solver_rsd" localSheetId="13" hidden="1">0</definedName>
    <definedName name="solver_scl" localSheetId="13" hidden="1">1</definedName>
    <definedName name="solver_sho" localSheetId="13" hidden="1">2</definedName>
    <definedName name="solver_ssz" localSheetId="13" hidden="1">100</definedName>
    <definedName name="solver_tim" localSheetId="13" hidden="1">2147483647</definedName>
    <definedName name="solver_tol" localSheetId="13" hidden="1">0.01</definedName>
    <definedName name="solver_typ" localSheetId="12" hidden="1">1</definedName>
    <definedName name="solver_typ" localSheetId="13" hidden="1">1</definedName>
    <definedName name="solver_val" localSheetId="12" hidden="1">0</definedName>
    <definedName name="solver_val" localSheetId="13" hidden="1">0</definedName>
    <definedName name="solver_ver" localSheetId="12" hidden="1">3</definedName>
    <definedName name="solver_ver" localSheetId="13" hidden="1">3</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4" i="35" l="1"/>
  <c r="L24" i="35"/>
  <c r="M24" i="35"/>
  <c r="N24" i="35"/>
  <c r="J24" i="35"/>
  <c r="K23" i="35"/>
  <c r="L23" i="35"/>
  <c r="M23" i="35"/>
  <c r="N23" i="35"/>
  <c r="J23" i="35"/>
  <c r="H20" i="33" l="1"/>
  <c r="I20" i="33"/>
  <c r="J20" i="33"/>
  <c r="K20" i="33"/>
  <c r="L20" i="33"/>
  <c r="H21" i="33"/>
  <c r="I21" i="33"/>
  <c r="J21" i="33"/>
  <c r="K21" i="33"/>
  <c r="L21" i="33"/>
  <c r="H22" i="33"/>
  <c r="I22" i="33"/>
  <c r="J22" i="33"/>
  <c r="K22" i="33"/>
  <c r="L22" i="33"/>
  <c r="H23" i="33"/>
  <c r="I23" i="33"/>
  <c r="J23" i="33"/>
  <c r="K23" i="33"/>
  <c r="L23" i="33"/>
  <c r="H24" i="33"/>
  <c r="I24" i="33"/>
  <c r="J24" i="33"/>
  <c r="K24" i="33"/>
  <c r="L24" i="33"/>
  <c r="I19" i="33"/>
  <c r="J19" i="33"/>
  <c r="K19" i="33"/>
  <c r="L19" i="33"/>
  <c r="H19" i="33"/>
  <c r="I73" i="27" l="1"/>
  <c r="J73" i="27"/>
  <c r="K73" i="27"/>
  <c r="L73" i="27"/>
  <c r="M73" i="27"/>
  <c r="N73" i="27"/>
  <c r="O73" i="27"/>
  <c r="P73" i="27"/>
  <c r="K74" i="27"/>
  <c r="L74" i="27"/>
  <c r="M74" i="27"/>
  <c r="N74" i="27"/>
  <c r="O74" i="27"/>
  <c r="P74" i="27"/>
  <c r="L75" i="27"/>
  <c r="M75" i="27"/>
  <c r="N75" i="27"/>
  <c r="O75" i="27"/>
  <c r="P75" i="27"/>
  <c r="M76" i="27"/>
  <c r="N76" i="27"/>
  <c r="O76" i="27"/>
  <c r="P76" i="27"/>
  <c r="N77" i="27"/>
  <c r="O77" i="27"/>
  <c r="P77" i="27"/>
  <c r="O78" i="27"/>
  <c r="P78" i="27"/>
  <c r="P79" i="27"/>
  <c r="H73" i="27"/>
  <c r="K66" i="27"/>
  <c r="L66" i="27"/>
  <c r="M66" i="27"/>
  <c r="N66" i="27"/>
  <c r="O66" i="27"/>
  <c r="P66" i="27"/>
  <c r="L67" i="27"/>
  <c r="M67" i="27"/>
  <c r="N67" i="27"/>
  <c r="O67" i="27"/>
  <c r="P67" i="27"/>
  <c r="M68" i="27"/>
  <c r="N68" i="27"/>
  <c r="O68" i="27"/>
  <c r="P68" i="27"/>
  <c r="N69" i="27"/>
  <c r="O69" i="27"/>
  <c r="P69" i="27"/>
  <c r="O70" i="27"/>
  <c r="P70" i="27"/>
  <c r="P71" i="27"/>
  <c r="I65" i="27"/>
  <c r="J65" i="27"/>
  <c r="K65" i="27"/>
  <c r="L65" i="27"/>
  <c r="M65" i="27"/>
  <c r="N65" i="27"/>
  <c r="O65" i="27"/>
  <c r="P65" i="27"/>
  <c r="H65" i="27"/>
  <c r="F48" i="27" l="1"/>
  <c r="F47" i="27"/>
  <c r="L31" i="27"/>
  <c r="M32" i="27"/>
  <c r="N33" i="27"/>
  <c r="O34" i="27"/>
  <c r="P35" i="27"/>
  <c r="L20" i="27"/>
  <c r="M21" i="27"/>
  <c r="N22" i="27"/>
  <c r="O23" i="27"/>
  <c r="P24" i="27"/>
  <c r="J58" i="27" l="1"/>
  <c r="H62" i="27"/>
  <c r="I62" i="27"/>
  <c r="J62" i="27"/>
  <c r="I61" i="27"/>
  <c r="J61" i="27"/>
  <c r="H61" i="27"/>
  <c r="F44" i="27"/>
  <c r="F43" i="27"/>
  <c r="F42" i="27"/>
  <c r="F41" i="27"/>
  <c r="K32" i="35" l="1"/>
  <c r="L32" i="35"/>
  <c r="M32" i="35"/>
  <c r="N32" i="35"/>
  <c r="K31" i="35"/>
  <c r="L31" i="35"/>
  <c r="M31" i="35"/>
  <c r="N31" i="35"/>
  <c r="J32" i="35"/>
  <c r="J31" i="35"/>
  <c r="K28" i="35"/>
  <c r="L28" i="35"/>
  <c r="M28" i="35"/>
  <c r="N28" i="35"/>
  <c r="K29" i="35"/>
  <c r="L29" i="35"/>
  <c r="M29" i="35"/>
  <c r="N29" i="35"/>
  <c r="J29" i="35"/>
  <c r="J28" i="35"/>
  <c r="H30" i="35"/>
  <c r="H30" i="33"/>
  <c r="I30" i="33"/>
  <c r="J30" i="33"/>
  <c r="K30" i="33"/>
  <c r="L30" i="33"/>
  <c r="H28" i="33"/>
  <c r="I28" i="33"/>
  <c r="J28" i="33"/>
  <c r="K28" i="33"/>
  <c r="L28" i="33"/>
  <c r="H29" i="33"/>
  <c r="I29" i="33"/>
  <c r="J29" i="33"/>
  <c r="K29" i="33"/>
  <c r="L29" i="33"/>
  <c r="I27" i="33"/>
  <c r="J27" i="33"/>
  <c r="K27" i="33"/>
  <c r="L27" i="33"/>
  <c r="H27" i="33"/>
  <c r="F38" i="27" l="1"/>
  <c r="L118" i="27" l="1"/>
  <c r="O121" i="27"/>
  <c r="M119" i="27"/>
  <c r="N120" i="27"/>
  <c r="P122" i="27"/>
  <c r="L98" i="27"/>
  <c r="O101" i="27"/>
  <c r="M99" i="27"/>
  <c r="N100" i="27"/>
  <c r="P102" i="27"/>
  <c r="I55" i="27"/>
  <c r="J55" i="27"/>
  <c r="H55" i="27"/>
  <c r="K16" i="35" l="1"/>
  <c r="L16" i="35"/>
  <c r="M16" i="35"/>
  <c r="N16" i="35"/>
  <c r="J16" i="35"/>
  <c r="K25" i="35" l="1"/>
  <c r="K37" i="35" s="1"/>
  <c r="L25" i="35"/>
  <c r="L37" i="35" s="1"/>
  <c r="M25" i="35"/>
  <c r="M37" i="35" s="1"/>
  <c r="N25" i="35"/>
  <c r="N37" i="35" s="1"/>
  <c r="J25" i="35"/>
  <c r="J37" i="35" s="1"/>
  <c r="F16" i="33"/>
  <c r="I19" i="36" l="1"/>
  <c r="J19" i="36"/>
  <c r="K19" i="36"/>
  <c r="L19" i="36"/>
  <c r="H19" i="36"/>
  <c r="M19" i="31" l="1"/>
  <c r="F56" i="31" s="1"/>
  <c r="N19" i="31"/>
  <c r="F57" i="31" s="1"/>
  <c r="O19" i="31"/>
  <c r="F58" i="31" s="1"/>
  <c r="P19" i="31"/>
  <c r="F59" i="31" s="1"/>
  <c r="L19" i="31"/>
  <c r="F55" i="31" s="1"/>
  <c r="P59" i="31"/>
  <c r="O58" i="31"/>
  <c r="N57" i="31"/>
  <c r="M56" i="31"/>
  <c r="L55" i="31"/>
  <c r="H16" i="36" s="1"/>
  <c r="N56" i="31" l="1"/>
  <c r="M55" i="31"/>
  <c r="I16" i="36" s="1"/>
  <c r="J17" i="35"/>
  <c r="K17" i="35"/>
  <c r="L17" i="35"/>
  <c r="M17" i="35"/>
  <c r="N17" i="35"/>
  <c r="B64" i="38" l="1"/>
  <c r="B52" i="38"/>
  <c r="B53" i="38" s="1"/>
  <c r="B54" i="38" l="1"/>
  <c r="B58" i="38" s="1"/>
  <c r="B59" i="38"/>
  <c r="I13" i="33" l="1"/>
  <c r="I36" i="33" s="1"/>
  <c r="J13" i="33"/>
  <c r="J36" i="33" s="1"/>
  <c r="K13" i="33"/>
  <c r="K36" i="33" s="1"/>
  <c r="L13" i="33"/>
  <c r="L36" i="33" s="1"/>
  <c r="H13" i="33"/>
  <c r="H36" i="33" l="1"/>
  <c r="H35" i="33"/>
  <c r="H40" i="33"/>
  <c r="H23" i="36" s="1"/>
  <c r="H47" i="33"/>
  <c r="H51" i="33" s="1"/>
  <c r="H30" i="36" s="1"/>
  <c r="H46" i="33"/>
  <c r="H50" i="33" s="1"/>
  <c r="H29" i="36" s="1"/>
  <c r="H37" i="33"/>
  <c r="L37" i="33"/>
  <c r="L46" i="33"/>
  <c r="L50" i="33" s="1"/>
  <c r="L29" i="36" s="1"/>
  <c r="L47" i="33"/>
  <c r="L51" i="33" s="1"/>
  <c r="L30" i="36" s="1"/>
  <c r="L35" i="33"/>
  <c r="L40" i="33" s="1"/>
  <c r="K37" i="33"/>
  <c r="K41" i="33" s="1"/>
  <c r="K24" i="36" s="1"/>
  <c r="K47" i="33"/>
  <c r="K51" i="33" s="1"/>
  <c r="K30" i="36" s="1"/>
  <c r="K35" i="33"/>
  <c r="K40" i="33" s="1"/>
  <c r="K46" i="33"/>
  <c r="K50" i="33" s="1"/>
  <c r="K29" i="36" s="1"/>
  <c r="J46" i="33"/>
  <c r="J50" i="33" s="1"/>
  <c r="J29" i="36" s="1"/>
  <c r="J47" i="33"/>
  <c r="J51" i="33" s="1"/>
  <c r="J30" i="36" s="1"/>
  <c r="J35" i="33"/>
  <c r="J40" i="33" s="1"/>
  <c r="J37" i="33"/>
  <c r="J41" i="33" s="1"/>
  <c r="J24" i="36" s="1"/>
  <c r="I47" i="33"/>
  <c r="I51" i="33" s="1"/>
  <c r="I30" i="36" s="1"/>
  <c r="I35" i="33"/>
  <c r="I40" i="33" s="1"/>
  <c r="I37" i="33"/>
  <c r="I41" i="33" s="1"/>
  <c r="I24" i="36" s="1"/>
  <c r="I46" i="33"/>
  <c r="I50" i="33" s="1"/>
  <c r="I29" i="36" s="1"/>
  <c r="L41" i="33"/>
  <c r="L24" i="36" s="1"/>
  <c r="H22" i="35"/>
  <c r="H36" i="35" s="1"/>
  <c r="K20" i="35"/>
  <c r="L20" i="35"/>
  <c r="M20" i="35"/>
  <c r="N20" i="35"/>
  <c r="K21" i="35"/>
  <c r="K38" i="35" s="1"/>
  <c r="L21" i="35"/>
  <c r="L38" i="35" s="1"/>
  <c r="M21" i="35"/>
  <c r="M38" i="35" s="1"/>
  <c r="N21" i="35"/>
  <c r="N38" i="35" s="1"/>
  <c r="N39" i="35" s="1"/>
  <c r="N40" i="35" s="1"/>
  <c r="J20" i="35"/>
  <c r="J21" i="35"/>
  <c r="H41" i="33" l="1"/>
  <c r="H24" i="36" s="1"/>
  <c r="K39" i="35"/>
  <c r="K40" i="35" s="1"/>
  <c r="M39" i="35"/>
  <c r="M40" i="35" s="1"/>
  <c r="M41" i="35" s="1"/>
  <c r="J38" i="35"/>
  <c r="J39" i="35" s="1"/>
  <c r="J40" i="35" s="1"/>
  <c r="L39" i="35"/>
  <c r="L40" i="35" s="1"/>
  <c r="L41" i="35" s="1"/>
  <c r="K23" i="36"/>
  <c r="I23" i="36"/>
  <c r="J23" i="36"/>
  <c r="L23" i="36"/>
  <c r="N41" i="35"/>
  <c r="J41" i="35" l="1"/>
  <c r="J46" i="35" s="1"/>
  <c r="J49" i="35" s="1"/>
  <c r="H25" i="36" s="1"/>
  <c r="L54" i="35"/>
  <c r="L57" i="35" s="1"/>
  <c r="J31" i="36" s="1"/>
  <c r="L46" i="35"/>
  <c r="L49" i="35" s="1"/>
  <c r="J25" i="36" s="1"/>
  <c r="M54" i="35"/>
  <c r="M57" i="35" s="1"/>
  <c r="K31" i="36" s="1"/>
  <c r="M46" i="35"/>
  <c r="M49" i="35" s="1"/>
  <c r="K25" i="36" s="1"/>
  <c r="N54" i="35"/>
  <c r="N57" i="35" s="1"/>
  <c r="L31" i="36" s="1"/>
  <c r="N46" i="35"/>
  <c r="K41" i="35"/>
  <c r="J54" i="35" l="1"/>
  <c r="J57" i="35" s="1"/>
  <c r="H31" i="36" s="1"/>
  <c r="K54" i="35"/>
  <c r="K57" i="35" s="1"/>
  <c r="I31" i="36" s="1"/>
  <c r="K46" i="35"/>
  <c r="K49" i="35" s="1"/>
  <c r="I25" i="36" s="1"/>
  <c r="N49" i="35"/>
  <c r="L25" i="36" s="1"/>
  <c r="H13" i="31" l="1"/>
  <c r="F25" i="31" s="1"/>
  <c r="I13" i="31"/>
  <c r="F26" i="31" s="1"/>
  <c r="J13" i="31"/>
  <c r="F27" i="31" s="1"/>
  <c r="K13" i="31"/>
  <c r="F28" i="31" s="1"/>
  <c r="L13" i="31"/>
  <c r="M13" i="31"/>
  <c r="N13" i="31"/>
  <c r="O13" i="31"/>
  <c r="P13" i="31"/>
  <c r="H16" i="31"/>
  <c r="F40" i="31" s="1"/>
  <c r="I16" i="31"/>
  <c r="F41" i="31" s="1"/>
  <c r="I40" i="31" s="1"/>
  <c r="J16" i="31"/>
  <c r="F42" i="31" s="1"/>
  <c r="J41" i="31" s="1"/>
  <c r="K16" i="31"/>
  <c r="L16" i="31"/>
  <c r="M16" i="31"/>
  <c r="N16" i="31"/>
  <c r="O16" i="31"/>
  <c r="P16" i="31"/>
  <c r="F48" i="31" s="1"/>
  <c r="P47" i="31" s="1"/>
  <c r="P34" i="27" s="1"/>
  <c r="P101" i="27" l="1"/>
  <c r="P121" i="27"/>
  <c r="F32" i="31"/>
  <c r="K20" i="37"/>
  <c r="F31" i="31"/>
  <c r="J20" i="37"/>
  <c r="F30" i="31"/>
  <c r="I20" i="37"/>
  <c r="F33" i="31"/>
  <c r="L20" i="37"/>
  <c r="F29" i="31"/>
  <c r="H20" i="37"/>
  <c r="F45" i="31"/>
  <c r="M44" i="31" s="1"/>
  <c r="M31" i="27" s="1"/>
  <c r="F44" i="31"/>
  <c r="L43" i="31" s="1"/>
  <c r="L30" i="27" s="1"/>
  <c r="F47" i="31"/>
  <c r="O46" i="31" s="1"/>
  <c r="O33" i="27" s="1"/>
  <c r="P58" i="31"/>
  <c r="P57" i="31" s="1"/>
  <c r="P56" i="31" s="1"/>
  <c r="F43" i="31"/>
  <c r="K42" i="31" s="1"/>
  <c r="K41" i="31" s="1"/>
  <c r="K40" i="31" s="1"/>
  <c r="F46" i="31"/>
  <c r="N45" i="31" s="1"/>
  <c r="N32" i="27" s="1"/>
  <c r="O57" i="31"/>
  <c r="J40" i="31"/>
  <c r="O120" i="27" l="1"/>
  <c r="O100" i="27"/>
  <c r="N99" i="27"/>
  <c r="N119" i="27"/>
  <c r="L97" i="27"/>
  <c r="L117" i="27"/>
  <c r="M98" i="27"/>
  <c r="M118" i="27"/>
  <c r="P46" i="31"/>
  <c r="N44" i="31"/>
  <c r="L42" i="31"/>
  <c r="L41" i="31" s="1"/>
  <c r="O45" i="31"/>
  <c r="M43" i="31"/>
  <c r="O56" i="31"/>
  <c r="N55" i="31"/>
  <c r="J16" i="36" s="1"/>
  <c r="J26" i="31"/>
  <c r="K27" i="31"/>
  <c r="N30" i="31"/>
  <c r="N21" i="27" s="1"/>
  <c r="O31" i="31"/>
  <c r="O22" i="27" s="1"/>
  <c r="P32" i="31"/>
  <c r="P23" i="27" s="1"/>
  <c r="M29" i="31"/>
  <c r="M20" i="27" s="1"/>
  <c r="L28" i="31"/>
  <c r="L19" i="27" s="1"/>
  <c r="I25" i="31"/>
  <c r="O44" i="31" l="1"/>
  <c r="O31" i="27" s="1"/>
  <c r="O32" i="27"/>
  <c r="N43" i="31"/>
  <c r="N30" i="27" s="1"/>
  <c r="N31" i="27"/>
  <c r="M42" i="31"/>
  <c r="M30" i="27"/>
  <c r="P45" i="31"/>
  <c r="P32" i="27" s="1"/>
  <c r="P33" i="27"/>
  <c r="O55" i="31"/>
  <c r="K16" i="36" s="1"/>
  <c r="L29" i="27"/>
  <c r="O43" i="31"/>
  <c r="O30" i="27" s="1"/>
  <c r="M41" i="31"/>
  <c r="M29" i="27"/>
  <c r="L40" i="31"/>
  <c r="L28" i="27"/>
  <c r="K26" i="31"/>
  <c r="K25" i="31" s="1"/>
  <c r="O30" i="31"/>
  <c r="O21" i="27" s="1"/>
  <c r="M28" i="31"/>
  <c r="M19" i="27" s="1"/>
  <c r="J25" i="31"/>
  <c r="N29" i="31"/>
  <c r="N20" i="27" s="1"/>
  <c r="L27" i="31"/>
  <c r="P31" i="31"/>
  <c r="P22" i="27" s="1"/>
  <c r="P44" i="31" l="1"/>
  <c r="P31" i="27" s="1"/>
  <c r="N42" i="31"/>
  <c r="N29" i="27" s="1"/>
  <c r="P119" i="27"/>
  <c r="P99" i="27"/>
  <c r="N117" i="27"/>
  <c r="N97" i="27"/>
  <c r="N118" i="27"/>
  <c r="N98" i="27"/>
  <c r="O97" i="27"/>
  <c r="O117" i="27"/>
  <c r="P120" i="27"/>
  <c r="P100" i="27"/>
  <c r="P98" i="27"/>
  <c r="P118" i="27"/>
  <c r="M117" i="27"/>
  <c r="M97" i="27"/>
  <c r="O99" i="27"/>
  <c r="O119" i="27"/>
  <c r="O118" i="27"/>
  <c r="O98" i="27"/>
  <c r="P55" i="31"/>
  <c r="L16" i="36" s="1"/>
  <c r="P30" i="31"/>
  <c r="L26" i="31"/>
  <c r="L18" i="27"/>
  <c r="L87" i="27" s="1"/>
  <c r="M27" i="31"/>
  <c r="M18" i="27" s="1"/>
  <c r="M87" i="27" s="1"/>
  <c r="L27" i="27"/>
  <c r="M40" i="31"/>
  <c r="M28" i="27"/>
  <c r="O42" i="31"/>
  <c r="N28" i="31"/>
  <c r="N19" i="27" s="1"/>
  <c r="P43" i="31"/>
  <c r="P30" i="27" s="1"/>
  <c r="N41" i="31"/>
  <c r="O29" i="31"/>
  <c r="O20" i="27" s="1"/>
  <c r="P29" i="31" l="1"/>
  <c r="P20" i="27" s="1"/>
  <c r="P21" i="27"/>
  <c r="P97" i="27"/>
  <c r="P117" i="27"/>
  <c r="O28" i="31"/>
  <c r="O19" i="27" s="1"/>
  <c r="P42" i="31"/>
  <c r="O41" i="31"/>
  <c r="O29" i="27"/>
  <c r="L25" i="31"/>
  <c r="L17" i="27"/>
  <c r="P28" i="31"/>
  <c r="N40" i="31"/>
  <c r="N28" i="27"/>
  <c r="N27" i="31"/>
  <c r="N18" i="27" s="1"/>
  <c r="N87" i="27" s="1"/>
  <c r="M27" i="27"/>
  <c r="M26" i="31"/>
  <c r="M17" i="27" s="1"/>
  <c r="M110" i="27" l="1"/>
  <c r="F20" i="36"/>
  <c r="P19" i="27"/>
  <c r="N27" i="27"/>
  <c r="P41" i="31"/>
  <c r="P29" i="27"/>
  <c r="L16" i="27"/>
  <c r="M25" i="31"/>
  <c r="M16" i="27" s="1"/>
  <c r="M84" i="27" s="1"/>
  <c r="N26" i="31"/>
  <c r="N17" i="27" s="1"/>
  <c r="P27" i="31"/>
  <c r="P18" i="27" s="1"/>
  <c r="P87" i="27" s="1"/>
  <c r="O40" i="31"/>
  <c r="O28" i="27"/>
  <c r="O27" i="31"/>
  <c r="O18" i="27" s="1"/>
  <c r="O87" i="27" s="1"/>
  <c r="L116" i="27" l="1"/>
  <c r="L84" i="27"/>
  <c r="L110" i="27"/>
  <c r="M96" i="27"/>
  <c r="M116" i="27"/>
  <c r="M125" i="27" s="1"/>
  <c r="L96" i="27"/>
  <c r="M113" i="27"/>
  <c r="L113" i="27"/>
  <c r="L93" i="27"/>
  <c r="P40" i="31"/>
  <c r="P28" i="27"/>
  <c r="P26" i="31"/>
  <c r="P17" i="27" s="1"/>
  <c r="O26" i="31"/>
  <c r="O17" i="27" s="1"/>
  <c r="O27" i="27"/>
  <c r="N25" i="31"/>
  <c r="N16" i="27" s="1"/>
  <c r="N84" i="27" s="1"/>
  <c r="N110" i="27" l="1"/>
  <c r="H26" i="36"/>
  <c r="H37" i="36" s="1"/>
  <c r="L125" i="27"/>
  <c r="H32" i="36" s="1"/>
  <c r="H41" i="36" s="1"/>
  <c r="N96" i="27"/>
  <c r="N116" i="27"/>
  <c r="N113" i="27"/>
  <c r="I32" i="36"/>
  <c r="I41" i="36" s="1"/>
  <c r="M93" i="27"/>
  <c r="P27" i="27"/>
  <c r="P25" i="31"/>
  <c r="P16" i="27" s="1"/>
  <c r="O25" i="31"/>
  <c r="O16" i="27" s="1"/>
  <c r="O84" i="27" s="1"/>
  <c r="O110" i="27" l="1"/>
  <c r="P110" i="27"/>
  <c r="P84" i="27"/>
  <c r="H45" i="36"/>
  <c r="N125" i="27"/>
  <c r="J32" i="36" s="1"/>
  <c r="J41" i="36" s="1"/>
  <c r="O96" i="27"/>
  <c r="O116" i="27"/>
  <c r="P96" i="27"/>
  <c r="P116" i="27"/>
  <c r="O113" i="27"/>
  <c r="P113" i="27"/>
  <c r="N93" i="27"/>
  <c r="O125" i="27" l="1"/>
  <c r="K32" i="36" s="1"/>
  <c r="K41" i="36" s="1"/>
  <c r="P125" i="27"/>
  <c r="L32" i="36" s="1"/>
  <c r="L41" i="36" s="1"/>
  <c r="O93" i="27"/>
  <c r="P93" i="27"/>
  <c r="F42" i="36" l="1"/>
  <c r="I26" i="36"/>
  <c r="I37" i="36" s="1"/>
  <c r="I45" i="36" s="1"/>
  <c r="J26" i="36" l="1"/>
  <c r="J37" i="36" s="1"/>
  <c r="J45" i="36" s="1"/>
  <c r="K26" i="36" l="1"/>
  <c r="L26" i="36"/>
  <c r="L37" i="36" s="1"/>
  <c r="L45" i="36" l="1"/>
  <c r="F54" i="36" s="1"/>
  <c r="F55" i="36" s="1"/>
  <c r="K37" i="36"/>
  <c r="K45" i="36" s="1"/>
  <c r="F48" i="36" l="1"/>
  <c r="F38" i="36"/>
  <c r="H57" i="36"/>
  <c r="I57" i="36" l="1"/>
  <c r="J57" i="36" s="1"/>
  <c r="K57" i="36" s="1"/>
  <c r="L57" i="36" s="1"/>
  <c r="F58" i="36" l="1"/>
  <c r="F62" i="36" l="1"/>
  <c r="F63" i="36" s="1"/>
  <c r="F16" i="37" s="1"/>
  <c r="F61" i="36"/>
  <c r="F68" i="36" s="1"/>
  <c r="F13" i="37" s="1"/>
  <c r="H64" i="36" l="1"/>
  <c r="I64" i="36" s="1"/>
  <c r="I24" i="37" s="1"/>
  <c r="H69" i="36"/>
  <c r="I69" i="36" s="1"/>
  <c r="F71" i="36"/>
  <c r="F14" i="37" s="1"/>
  <c r="F12" i="37"/>
  <c r="H72" i="36" l="1"/>
  <c r="I72" i="36" s="1"/>
  <c r="J72" i="36" s="1"/>
  <c r="K72" i="36" s="1"/>
  <c r="L72" i="36" s="1"/>
  <c r="J64" i="36"/>
  <c r="J24" i="37" s="1"/>
  <c r="H24" i="37"/>
  <c r="J69" i="36"/>
  <c r="K64" i="36" l="1"/>
  <c r="K24" i="37" s="1"/>
  <c r="K69" i="36"/>
  <c r="L69" i="36" s="1"/>
  <c r="L64" i="36" l="1"/>
  <c r="L24"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58" authorId="0" shapeId="0" xr:uid="{00000000-0006-0000-04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<sst xmlns="http://schemas.openxmlformats.org/spreadsheetml/2006/main" count="794" uniqueCount="442">
  <si>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</si>
  <si>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</si>
  <si>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</si>
  <si>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</si>
  <si>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</si>
  <si>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</si>
  <si>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</si>
  <si>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</si>
  <si>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</si>
  <si>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</si>
  <si>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</si>
  <si>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</si>
  <si>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</si>
  <si>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</si>
  <si>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</si>
  <si>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</si>
  <si>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</si>
  <si>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</si>
  <si>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</si>
  <si>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</si>
  <si>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</si>
  <si>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</si>
  <si>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</si>
  <si>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</si>
  <si>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</si>
  <si>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</si>
  <si>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</si>
  <si>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</si>
  <si>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</si>
  <si>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</si>
  <si>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</si>
  <si>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</si>
  <si>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</si>
  <si>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</si>
  <si>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</si>
  <si>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</si>
  <si>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</si>
  <si>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</si>
  <si>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</si>
  <si>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</si>
  <si>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</si>
  <si>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</si>
  <si>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</si>
  <si>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</si>
  <si>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</si>
  <si>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</si>
  <si>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</si>
  <si>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</si>
  <si>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</si>
  <si>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</si>
  <si>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</si>
  <si>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</si>
  <si>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</si>
  <si>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</si>
  <si>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</si>
  <si>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</si>
  <si>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</si>
  <si>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</si>
  <si>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</si>
  <si>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</si>
  <si>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</si>
  <si>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</si>
  <si>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</si>
  <si>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</si>
  <si>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</si>
  <si>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</si>
  <si>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</si>
  <si>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</si>
  <si>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</si>
  <si>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</si>
  <si>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</si>
  <si>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</si>
  <si>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</si>
  <si>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</si>
  <si>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</si>
  <si>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t>
  </si>
  <si>
    <t>Jaarlijkse CPI</t>
  </si>
  <si>
    <t>1+CPI</t>
  </si>
  <si>
    <t>CPI</t>
  </si>
  <si>
    <t>Frontier shift</t>
  </si>
  <si>
    <t>EUR, pp jaar</t>
  </si>
  <si>
    <t>Berekening CPI-mutatie</t>
  </si>
  <si>
    <t>Berekening frontier shift</t>
  </si>
  <si>
    <t>2019</t>
  </si>
  <si>
    <t>CPI september jaar t-2 t/m augustus jaar t-1</t>
  </si>
  <si>
    <t>WACC</t>
  </si>
  <si>
    <t>Tabel 1 - Resultaat</t>
  </si>
  <si>
    <t>Tabel 4 - Operationele kosten</t>
  </si>
  <si>
    <t>Tabel 5 - Berekening op parameters</t>
  </si>
  <si>
    <t>1+CPI van 2018 naar jaar</t>
  </si>
  <si>
    <t>1+CPI van 2019 naar jaar</t>
  </si>
  <si>
    <t>1+CPI van 2020 naar jaar</t>
  </si>
  <si>
    <t xml:space="preserve">1+CPI </t>
  </si>
  <si>
    <t>1-Frontier shift</t>
  </si>
  <si>
    <t>1-FS van 2018 naar jaar</t>
  </si>
  <si>
    <t>1-FS van 2019 naar jaar</t>
  </si>
  <si>
    <t>1-FS van 2020 naar jaar</t>
  </si>
  <si>
    <t>1+%</t>
  </si>
  <si>
    <t>Tabel 8 - Berekening verwachte operationele kosten</t>
  </si>
  <si>
    <t>Tabel 3 - Input uit het GAW model</t>
  </si>
  <si>
    <t>Kapitaalkosten doorrollen</t>
  </si>
  <si>
    <t>Formule</t>
  </si>
  <si>
    <t>Tabel 6 - Berekening kapitaalkosten doorrollen</t>
  </si>
  <si>
    <t>Toegestane inkomsten</t>
  </si>
  <si>
    <t>X-factor</t>
  </si>
  <si>
    <t>X-factor (onafgerond)</t>
  </si>
  <si>
    <t>EUR, pp 2021</t>
  </si>
  <si>
    <t>Begininkomsten</t>
  </si>
  <si>
    <t>Definitieve resultaten</t>
  </si>
  <si>
    <t>Netto contante waarde 2022</t>
  </si>
  <si>
    <t>Totale toegestane inkomsten x-factormethode</t>
  </si>
  <si>
    <t>Toegestane inkomsten die volgen uit begininkomsten en x-factor</t>
  </si>
  <si>
    <t>EUR,  pp 2026</t>
  </si>
  <si>
    <t>Eindinkomsten</t>
  </si>
  <si>
    <t>De waarde in de roze cel is door de oplosser berekend. Zie de toelichting bij de oplosser in het tabblad 'Bronnen en toepassingen' voor een meer gedetailleerdere toelichting.</t>
  </si>
  <si>
    <t>EUR,  pp 2021</t>
  </si>
  <si>
    <t>Hulpberekeningen voor de oplosser</t>
  </si>
  <si>
    <t xml:space="preserve">Berekening x-factor &amp; begininkomsten </t>
  </si>
  <si>
    <t>Berekening verwachte kosten</t>
  </si>
  <si>
    <t>1+ CPI van 2021 naar 2026</t>
  </si>
  <si>
    <t>Jaarlijkse consumentenprijsindex</t>
  </si>
  <si>
    <t>1+ discontovoet</t>
  </si>
  <si>
    <t>Om de begininkomsten te bepalen, gebruikt de ACM de invoegtoepassing 'Oplosser'. Een expliciete berekening voor de begininkomsten 2021 modelleren in het x-factormodel is namelijk onevenredig complex. Voor meer toelichting hierbij, zie het tabblad 'Bronnen en toepassingen'.</t>
  </si>
  <si>
    <t>Tabel 9 - X-factorberekening</t>
  </si>
  <si>
    <t>Nominale WACC bestaand vermogen</t>
  </si>
  <si>
    <t>Begininkomsten en X-factor</t>
  </si>
  <si>
    <t>Geschatte inflatie</t>
  </si>
  <si>
    <t>Samenhang van dit bestand met andere bestanden</t>
  </si>
  <si>
    <t>Reguleringsdata</t>
  </si>
  <si>
    <t>GAW model</t>
  </si>
  <si>
    <t>X-factormodel</t>
  </si>
  <si>
    <t>Toelichting samenhang tabbladen:</t>
  </si>
  <si>
    <t>Berekeningen</t>
  </si>
  <si>
    <t>2. Reguleringsparameters</t>
  </si>
  <si>
    <t>5. Berekening op parameters</t>
  </si>
  <si>
    <t>[berekeningstabbladen]</t>
  </si>
  <si>
    <t>3. GAW model</t>
  </si>
  <si>
    <t>6. Berekening doorrollen</t>
  </si>
  <si>
    <t>7. Berekening bijschatten</t>
  </si>
  <si>
    <t>9. Berekening x-factor</t>
  </si>
  <si>
    <t>1. Resultaat</t>
  </si>
  <si>
    <t>4. Operationele kosten</t>
  </si>
  <si>
    <t>8. Berekening oper. kosten</t>
  </si>
  <si>
    <t>Oplosser</t>
  </si>
  <si>
    <t>Gebruik van oplosser</t>
  </si>
  <si>
    <t>https://support.office.com/nl-nl/article/de-invoegtoepassing-oplosser-laden-in-excel-612926fc-d53b-46b4-872c-e24772f078ca</t>
  </si>
  <si>
    <t>1. De oplosser kan worden geopend via Gegevens – Analysis – Solver
2. Klik op “Solve” om de begininkomsten te berekenen.
3. Er verschijnt nu een pop-up. Controleer of “Keep solver solution” is aangevinkt. Klik vervolgens op “OK”.
4. De begininkomsten zijn nu opnieuw berekend.</t>
  </si>
  <si>
    <t>1-%</t>
  </si>
  <si>
    <t>De ACM gebruikt de oplosser om de begininkomsten te berekenen. De aanleiding daarvoor is als volgt. Een gevolg van de gewijzigde methode is dat een preciezere schatting van de ontwikkeling van de efficiënte kapitaalkosten mogelijk is.  Dat leidt er echter ook toe dat er niet per definitie sprake is van een gelijkmatige ontwikkeling van de efficiënte kosten tijdens de reguleringsperiode. Een gewijzigde verdeling van kapitaalkosten over de tijd leidt bijvoorbeeld tot een stijging vanaf het ingangsjaar en een verwachte daling daarna.
In de oude schattingsmethode bepaalde de ACM de efficiënte kosten in het jaar voorafgaand aan de reguleringsperiode en de verwachte efficiënte kosten in het laatste jaar van de reguleringsperiode. De consequentie daarvan is dat alle ontwikkelingen van de verwachte efficiënte kosten in tussenliggende jaren niet tot uitdrukking komen in de x-factor. Daardoor ontstaat – zeker bij een ongelijkmatige ontwikkeling van de verwachte efficiënte kosten – het risico dat TenneT gesommeerd over de reguleringsperiode aanzienlijk meer of minder dan haar verwachte efficiënte kosten kan terugverdienen via de tarieven. Dat zou leiden tot over- of onderdekking van de verwachte efficiënte kosten over de reguleringsperiode.
Het doel van de methode is dat TenneT in beginsel haar verwachte efficiënte kosten inclusief een redelijk rendement dat in het economisch verkeer gebruikelijk is terug kan verdienen binnen de betrokken reguleringsperiode.  Daarom is het noodzakelijk om de manier waarop de ACM het efficiënte kostenniveau ten behoeve van het bepalen van de begininkomsten vaststelt te wijzigen. In plaats van de verwachte efficiënte kosten voor het beginjaar (2021) te bepalen, bepaalt de ACM het efficiënte kostenniveau van 2021 zodanig dat gesommeerd over de reguleringsperiode (2022-2026) TenneT haar verwachte efficiënte kosten terug kan verdienen.
Een expliciete berekening voor de begininkomsten 2021 inbouwen in het x-factormodel is onevenredig complex, omdat er dan wiskundig geoptimaliseerd moet worden. Daarom maakt de ACM gebruik van de oplosser. De oplosser kan het efficiënte kostenniveau 2021 vinden zodanig dat gesommeerd over de reguleringsperiode (2022-2026) de verwachte efficiënte kosten terugverdiend kunnen worden.</t>
  </si>
  <si>
    <t>1 - Frontier shift van … naar …</t>
  </si>
  <si>
    <t xml:space="preserve">1+ CPI van … naar … </t>
  </si>
  <si>
    <t>Berekening discontovoet</t>
  </si>
  <si>
    <t>1 + Discontovoet</t>
  </si>
  <si>
    <t xml:space="preserve">Nominale WACC </t>
  </si>
  <si>
    <t>1 + Discontovoet van ... naar…</t>
  </si>
  <si>
    <t>Link</t>
  </si>
  <si>
    <t>Nee</t>
  </si>
  <si>
    <t>Ja</t>
  </si>
  <si>
    <t xml:space="preserve">Op dit tabblad berekent de ACM de bijschating van kapitaalkosten van activa geactiveerd vanaf 2020 (bijschatten). De hoogte van de bijschatting en de daaruit volgende GAW en afschrijvingen worden berekend in het GAW model. De kapitaalkosten bestaan uit de afschrijvingen en de vermogenskosten. De vermogenskosten worden berekend door de gestandaardiseerde activawaarde (GAW) te vermenigvuldigen met de gewogen gemiddelde kosten van kapitaal (WACC). </t>
  </si>
  <si>
    <t>Stijging benodigd vermogen</t>
  </si>
  <si>
    <t>Stijging GAW</t>
  </si>
  <si>
    <t>Percentage bijschatten nieuw vermogen</t>
  </si>
  <si>
    <t>Percentage bijschatten bestaand vermogen</t>
  </si>
  <si>
    <t xml:space="preserve">Als de totale activawaarde (de GAW van doorrollen + bijschatten) hoger is dan de GAW ultimo 2020 wordt over de stijging de WACC nieuw vermogen toegepast. </t>
  </si>
  <si>
    <t>Indirecte algemene operationele kosten TenneT</t>
  </si>
  <si>
    <t>GAW-berekening TenneT</t>
  </si>
  <si>
    <t>1+ discontovoet van pp 2022 naar pp jaar</t>
  </si>
  <si>
    <t>Afschrijvingen en GAW net op zee fase I (doorrollen)</t>
  </si>
  <si>
    <t>Afschrijvingen en GAW net op zee fase I (bijschatten)</t>
  </si>
  <si>
    <t>GAW ultimo 2020 net op zee fase I</t>
  </si>
  <si>
    <t>GAW Ultimo 2020 net op zee fase I</t>
  </si>
  <si>
    <t>GAW Ultimo 2020 fase I</t>
  </si>
  <si>
    <t>Afschrijvingen en GAW fase I</t>
  </si>
  <si>
    <t>Berekening kapitaalkosten doorrollen fase I</t>
  </si>
  <si>
    <t>Operationele kosten fase I</t>
  </si>
  <si>
    <t xml:space="preserve">Verwachte kapitaalkosten bijschatten fase I </t>
  </si>
  <si>
    <t>Verwachte operationele kosten fase I</t>
  </si>
  <si>
    <t>Verwachte kosten fase I</t>
  </si>
  <si>
    <t>Totale verwachte efficiënte kosten fase I</t>
  </si>
  <si>
    <t>Verwachte efficiënte kosten fase I</t>
  </si>
  <si>
    <t>Input</t>
  </si>
  <si>
    <t>Tabel 2 - Reguleringsparameters</t>
  </si>
  <si>
    <t>CBS</t>
  </si>
  <si>
    <t>CBS Statline Jaarmutatie consumentenprijsindex</t>
  </si>
  <si>
    <t xml:space="preserve">Op het tabblad ‘9.Berekening x-factor’ berekent de ACM de totale verwachte efficiënte kosten. Vervolgens gebruikt de ACM de oplosser om de begininkomsten te berekenen zodanig dat gesommeerd over de reguleringsperiode (2022-2026) de verwachte efficiënte kosten terugverdiend kunnen worden. De totale verwachte efficiënte kosten zijn daarbij gelijk aan de totale toegestane inkomsten. 
Indien de verwachte efficiënte kosten op het tabblad ‘9.Berekening x-factor’ worden aangepast, dan veranderen de begininkomsten niet automatisch mee. In dat geval moet de oplosser worden gebruikt om de begininkomsten opnieuw te berekenen.  De begininkomsten met de oplosserworden als volgt berekend:
Op het tabblad ‘9.Berekening x-factor’ gebruikt de ACM de invoegtoepassing "oplosser". Uitleg over hoe deze invoegtoepassing ingeladen kan worden is te vinden via deze link:
</t>
  </si>
  <si>
    <t>Op dit blad voert de ACM berekeningen op de CPI, de frontier shift en de nominale WACC uit, zodat deze toegepast kunnen worden in de berekening van de verwachte efficiënte kosten. In de tariefregulering is de WACC de schatting van de vermogenskostenvoet. Daarom gebruikt de ACM de WACC als disconteringsvoet voor de verschillen. De ACM gebruikt de nominale WACC omdat deze WACC ook een inflatievergoeding voor vermogensverschaffers bevat.</t>
  </si>
  <si>
    <t>1- FS</t>
  </si>
  <si>
    <t>Vermogenskosten doorrollen</t>
  </si>
  <si>
    <t>Afschrijving niet-WUI's geactiveerd t/m 2020 net op zee fase I</t>
  </si>
  <si>
    <t>GAW niet-WUI's geactiveerd t/m 2020 net op zee fase I</t>
  </si>
  <si>
    <t>Afschrijvingen niet-WUI's bijschatten vanaf 2021 net op zee fase I</t>
  </si>
  <si>
    <t>GAW niet-WUI's bijschatten vanaf 2021 net op zee fase I</t>
  </si>
  <si>
    <t>Op dit tabblad toont de ACM de begininkomsten, toegestane inkomsten en x-factor van de netbeheerder van het net op zee. Deze gegevens zijn het resultaat van berekeningen op de berekeningstabbladen in dit bestand. Voor de inkomstenbesluiten zijn enkel de begininkomsten en x-factor van belang. De geschatte CPI en toegestane inkomsten dienen om een globaal beeld te geven van de inkomsten gedurende de periode. De daadwerkelijke inflatie kan afwijken, waarmee ook de toegestane inkomsten in de inkomstenbesluiten kunnen afwijken. Ook worden er in de inkomstenbesluiten nog correcties doorgevoerd die van invloed zijn op de toegestane inkomsten.</t>
  </si>
  <si>
    <t>Vermogenskosten doorrollen niet-WUI's fase I</t>
  </si>
  <si>
    <t>Kapitaalkosten doorrollen niet-WUI's fase I</t>
  </si>
  <si>
    <t>GAW niet-WUI's geactiveerd t/m 2020 fase I</t>
  </si>
  <si>
    <t>Afschrijving niet-WUI's geactiveerd t/m 2020 fase I</t>
  </si>
  <si>
    <t>GAW niet-WUI's bijschatten vanaf 2021 fase I</t>
  </si>
  <si>
    <t xml:space="preserve">Op dit tabblad berekent de ACM de verwachte operationele kosten van de netbeheerder van het net op zee. De ACM maakt onderscheid tussen de verwachte operationele kosten wegens het in stand houden van het net en de verwachte operationele kosten als gevolg van een veranderende netomvang. </t>
  </si>
  <si>
    <t>Indirecte algemene operationele kosten (A)</t>
  </si>
  <si>
    <t>Inkoopkosten voor netverliezen (C)</t>
  </si>
  <si>
    <t>Afschrijvingen niet-WUI's bijschatten vanaf 2021 fase I</t>
  </si>
  <si>
    <t>Uitkomst projectspecifieke doelmatigheidstoets Borssele</t>
  </si>
  <si>
    <t>Uitkomst projectspecifieke doelmatigheidstoets</t>
  </si>
  <si>
    <t xml:space="preserve">Op dit tabblad geeft de ACM een overzicht van de relevante reguleringsparameters voor de reguleringsperiode 2022-2026, te weten: WACC, CPI, uitkomst projectspecifieke doelmatigheidstoets, frontier shift, parameters t.b.v. de schatting verwachte operationele kosten en de verdeelsleutel voor de indirecte algemene operationele kosten. Aan de hand van deze reguleringsparameters berekent de ACM de verwachte efficiënte kosten van de netbeheerder van het net op zee voor de jaren 2022 t/m 2026 en uiteindelijk de x-factor. </t>
  </si>
  <si>
    <t>Parameters t.b.v. de schatting verwachte OPEX</t>
  </si>
  <si>
    <t>Toelichting bij bijzonderheden:</t>
  </si>
  <si>
    <t>Tabel 7 - Berekening verwachte kapitaalkosten bijschatten</t>
  </si>
  <si>
    <t>Berekening verwachte kapitaalkosten bijschatten fase I</t>
  </si>
  <si>
    <t>Verwachte vermogenskosten</t>
  </si>
  <si>
    <t>Verwachte vermogenskosten bijschatten fase I</t>
  </si>
  <si>
    <t>Verwachte kapitaalkosten bijschatten</t>
  </si>
  <si>
    <t>Op dit tabblad berekent de ACM de verwachte efficiënte kosten, de begininkomsten, de eindinkomsten, de x-factor en de toegestane inkomsten. De eindinkomsten zijn gelijk aan de verwachte efficiënte kosten 2026. De x-factor is het resultaat van een berekening van het verschil tussen de verwachte jaarlijkse ontwikkeling van de CPI in de periode 2021-2026 en de jaarlijkse ontwikkeling tussen de begininkomsten en de eindinkomsten. Zie 'toelichting bij bijzonderheden' voor een toelichting bij de berekening van de begininkomsten.</t>
  </si>
  <si>
    <t>Methodebesluit 2017-2021</t>
  </si>
  <si>
    <t>Gewijzigd Methodebesluit TenneT Net op Zee 2017-2021</t>
  </si>
  <si>
    <t>ACM/UIT/505481</t>
  </si>
  <si>
    <t>Verwachte verandering OPEX a.g.v. uitbreiding/krimp van de netomvang: % van verandering aanschafwaarden niet-WUI's</t>
  </si>
  <si>
    <t>Verwachte verandering operationele kosten a.g.v. veranderende netomvang</t>
  </si>
  <si>
    <t>Afschrijvingen en GAW net op zee fase II (doorrollen)</t>
  </si>
  <si>
    <t>Afschrijvingen WUI's geactiveerd t/m 2020 net op zee fase II</t>
  </si>
  <si>
    <t>GAW WUI's geactiveerd t/m 2020 net op zee fase II</t>
  </si>
  <si>
    <t>Afschrijving niet-WUI's geactiveerd t/m 2020 net op zee fase II</t>
  </si>
  <si>
    <t>GAW niet-WUI's geactiveerd t/m 2020 net op zee fase II</t>
  </si>
  <si>
    <t>Afschrijvingen en GAW net op zee fase II (bijschatten)</t>
  </si>
  <si>
    <t>Afschrijvingen niet-WUI's bijschatten vanaf 2021 net op zee fase II</t>
  </si>
  <si>
    <t>GAW niet-WUI's bijschatten vanaf 2021 net op zee fase II</t>
  </si>
  <si>
    <t>GAW ultimo 2020 net op zee fase II</t>
  </si>
  <si>
    <t>GAW Ultimo 2020 net op zee fase II</t>
  </si>
  <si>
    <t>Berekening kapitaalkosten doorrollen fase II</t>
  </si>
  <si>
    <t>Vermogenskosten doorrollen WUI's fase II</t>
  </si>
  <si>
    <t>Vermogenskosten doorrollen niet-WUI's fase II</t>
  </si>
  <si>
    <t>Kapitaalkosten doorrollen WUI's fase II</t>
  </si>
  <si>
    <t>Kapitaalkosten doorrollen niet-WUI's fase II</t>
  </si>
  <si>
    <t>Afschrijvingen en GAW fase II</t>
  </si>
  <si>
    <t>Afschrijvingen WUI's geactiveerd t/m 2020 fase II</t>
  </si>
  <si>
    <t>GAW WUI's geactiveerd t/m 2020 fase II</t>
  </si>
  <si>
    <t>Afschrijving niet-WUI's geactiveerd t/m 2020 fase II</t>
  </si>
  <si>
    <t>GAW niet-WUI's geactiveerd t/m 2020 fase II</t>
  </si>
  <si>
    <t>Totale GAW ultimo 2020</t>
  </si>
  <si>
    <t>Afschrijvingen niet-WUI's bijschatten vanaf 2021 fase II</t>
  </si>
  <si>
    <t>GAW niet-WUI's bijschatten vanaf 2021 fase II</t>
  </si>
  <si>
    <t>GAW Ultimo 2020 fase II</t>
  </si>
  <si>
    <t>Totale doorgerolde GAW</t>
  </si>
  <si>
    <t>Totale bijgeschatte GAW</t>
  </si>
  <si>
    <t>Berekening verwachte kapitaalkosten bijschatten fase II</t>
  </si>
  <si>
    <t>Verwachte vermogenskosten bijschatten fase II</t>
  </si>
  <si>
    <t xml:space="preserve">Verwachte kapitaalkosten bijschatten fase II </t>
  </si>
  <si>
    <t>Berekening operationele kosten fase I</t>
  </si>
  <si>
    <t>Operationele kosten fase II</t>
  </si>
  <si>
    <t>Inkoopkosten voor netverliezen net op zee fase I</t>
  </si>
  <si>
    <t xml:space="preserve">Reëele aanschafwaarden niet-WUI's </t>
  </si>
  <si>
    <t>Berekening operationele kosten fase II</t>
  </si>
  <si>
    <t>Verwachte operationele kosten fase II</t>
  </si>
  <si>
    <t>Indirecte algemene operationele kosten net op zee fase II</t>
  </si>
  <si>
    <t>Verwachte operationele kosten net op zee fase II</t>
  </si>
  <si>
    <t>Verwachte operationele kosten net op zee fase I</t>
  </si>
  <si>
    <t>Indirecte algemene operationele kosten net op zee fase I</t>
  </si>
  <si>
    <t>Verwachte kosten fase II</t>
  </si>
  <si>
    <t>Kapitaalkosten doorrollen WUI's net op zee fase I</t>
  </si>
  <si>
    <t>Verwachte kapitaalkosten bijschatten net op zee fase I</t>
  </si>
  <si>
    <t>Kapitaalkosten doorrollen WUI's net op zee fase II</t>
  </si>
  <si>
    <t>Verwachte kapitaalkosten bijschatten net op zee fase II</t>
  </si>
  <si>
    <t>Verwachte efficiënte kosten fase II</t>
  </si>
  <si>
    <t>Totale verwachte efficiënte kosten fase II</t>
  </si>
  <si>
    <t>Totale verwachte efficiënte kosten</t>
  </si>
  <si>
    <t xml:space="preserve">Verwachte efficiënte kosten net op zee </t>
  </si>
  <si>
    <t xml:space="preserve">Verwachte efficiënte kosten    </t>
  </si>
  <si>
    <t>Berekening begininkomsten en toegestane inkomsten per fase</t>
  </si>
  <si>
    <t>Begininkomsten net op zee fase I</t>
  </si>
  <si>
    <t>Toegestane inkomsten net op zee fase I</t>
  </si>
  <si>
    <t>Begininkomsten net op zee fase II</t>
  </si>
  <si>
    <t>Toegestane inkomsten net op zee fase II</t>
  </si>
  <si>
    <t>Indirecte algemene operationele kosten TenneT toebedeeld op basis van verdeelsleutel 2</t>
  </si>
  <si>
    <t xml:space="preserve">Aanvulling reguleringsdata TenneT 2018-2019, tab 2A. Algemene OPEX 2018, som van cellen J23 en J36 t/m J42; Aanvulling reguleringsdata TenneT 2018-2019, tab 2A. Algemene OPEX 2019, som van cellen J23 en J36 t/m J42; Reguleringsdata TenneT 2020, tab 2A, som van cellen J23 en J36 t/m J42 </t>
  </si>
  <si>
    <t>Indirecte algemene operationele kosten TenneT toebedeeld op basis van verdeelsleutel 3</t>
  </si>
  <si>
    <t>Aanvulling reguleringsdata TenneT 2018-2019, tab 2A. Algemene OPEX 2018, som van cellen J45 t/m J48, J50 en J51; Aanvulling reguleringsdata TenneT 2018-2019, tab 2A. Algemene OPEX 2019, som van cellen J45 t/m J48, J50 en J51; Reguleringsdata TenneT 2020, tab 2A, som van cellen J45 t/m J48, J50 en J51</t>
  </si>
  <si>
    <t>Reguleringsdata TenneT 2020, tab 2A, cel T54</t>
  </si>
  <si>
    <t>Verdeelsleutels indirecte algemene operationele kosten 2020</t>
  </si>
  <si>
    <t>Grondslagendocument RD2020, p.30</t>
  </si>
  <si>
    <t>Grondslagendocument RD2020, p.29</t>
  </si>
  <si>
    <t>Percentage indirecte operationele kosten toegewezen aan net op zee fase I op basis van verdeelsleutel 2</t>
  </si>
  <si>
    <t>Percentage indirecte operationele kosten toegewezen aan net op zee fase I op basis van verdeelsleutel 3</t>
  </si>
  <si>
    <t>Percentage indirecte operationele kosten toegewezen aan net op zee fase II op basis van verdeelsleutel 2</t>
  </si>
  <si>
    <t>Percentage indirecte operationele kosten toegewezen aan net op zee fase II op basis van verdeelsleutel 3</t>
  </si>
  <si>
    <t>Percentage indirecte algemene operationele kosten toegewezen aan net op zee fase I op basis van verdeelsleutel 2</t>
  </si>
  <si>
    <t>Percentage indirecte algemene operationele kosten toegewezen aan net op zee fase I op basis van verdeelsleutel 3</t>
  </si>
  <si>
    <t>Percentage indirecte algemene operationele kosten toegewezen aan net op zee fase II op basis van verdeelsleutel 2</t>
  </si>
  <si>
    <t>Percentage indirecte algemene operationele kosten toegewezen aan net op zee fase II op basis van verdeelsleutel 3</t>
  </si>
  <si>
    <t>Aanvulling reguleringsdata TenneT 2018-2019</t>
  </si>
  <si>
    <t>Invulmodule reguleringsdata TenneT - Aanvulling 2018-2019</t>
  </si>
  <si>
    <t>Reguleringsdata TenneT 2020</t>
  </si>
  <si>
    <t>Invulmodule reguleringsdata TenneT 2020</t>
  </si>
  <si>
    <t>Grondslagendocument RD2020</t>
  </si>
  <si>
    <t>Grondslagendocument bij CODATA-verzoek Reguleringsdata TenneT TSO B.V. 2020</t>
  </si>
  <si>
    <t xml:space="preserve">Toegestane inkomsten   </t>
  </si>
  <si>
    <t xml:space="preserve">Reële aanschafwaarden niet-WUI's </t>
  </si>
  <si>
    <t>Aanvulling reguleringsdata TenneT 2018-2019, tab 2A. Algemene OPEX 2018, cel R54; Invulmodule reguleringsdata directe niet-activagerelateerde OPEX, tab 1A, cel H44; Invulmodule reguleringsdata directe niet-activagerelateerde OPEX, tab 1A, cel L44</t>
  </si>
  <si>
    <t>Invulmodule reguleringsdata directe niet-activagerelateerde OPEX</t>
  </si>
  <si>
    <t xml:space="preserve">Invulmodule RD directe niet-activagerelateerde OPEX </t>
  </si>
  <si>
    <t>Schatting incrementele operationele kosten Borssele netverbindingen</t>
  </si>
  <si>
    <t>Schatting incrementele operationele kosten Borssele Alpha</t>
  </si>
  <si>
    <t>Schatting incrementele operationele kosten Borssele Beta</t>
  </si>
  <si>
    <t>EUR, pp 2020</t>
  </si>
  <si>
    <t xml:space="preserve">Schatting jaarlijkse incrementele operationele kosten Borssele Alpha </t>
  </si>
  <si>
    <t>Schatting jaarlijkse incrementele operationele kosten Borssele Beta</t>
  </si>
  <si>
    <t>1+CPI van 2021 naar jaar</t>
  </si>
  <si>
    <t>1+CPI van 2022 naar jaar</t>
  </si>
  <si>
    <t>1+CPI van 2023 naar jaar</t>
  </si>
  <si>
    <t>1+CPI van 2024 naar jaar</t>
  </si>
  <si>
    <t>1+CPI van 2025 naar jaar</t>
  </si>
  <si>
    <t>1+CPI van 2026 naar jaar</t>
  </si>
  <si>
    <t>1-FS van 2021 naar jaar</t>
  </si>
  <si>
    <t>1-FS van 2022 naar jaar</t>
  </si>
  <si>
    <t>1-FS van 2023 naar jaar</t>
  </si>
  <si>
    <t>1-FS van 2024 naar jaar</t>
  </si>
  <si>
    <t>1-FS van 2025 naar jaar</t>
  </si>
  <si>
    <t>1-FS van 2026 naar jaar</t>
  </si>
  <si>
    <t>Reële aanschafwaarden nog niet volledig afgeschreven niet-WUI's in 2020 net op zee fase I</t>
  </si>
  <si>
    <t>Reële aanschafwaarde bijgeschatte investeringen 2021 net op zee fase I</t>
  </si>
  <si>
    <t>Reële aanschafwaarde bijgeschatte investeringen 2022 net op zee fase I</t>
  </si>
  <si>
    <t>Reële aanschafwaarde bijgeschatte investeringen 2023 net op zee fase I</t>
  </si>
  <si>
    <t>Reële aanschafwaarde bijgeschatte investeringen 2024 net op zee fase I</t>
  </si>
  <si>
    <t>Reële aanschafwaarde bijgeschatte investeringen 2025 net op zee fase I</t>
  </si>
  <si>
    <t>Reële aanschafwaarde bijgeschatte investeringen 2026 net op zee fase I</t>
  </si>
  <si>
    <t>Reële aanschafwaarden nog niet volledig afgeschreven niet-WUI's in 2020 net op zee fase II</t>
  </si>
  <si>
    <t>Reële aanschafwaarde bijgeschatte investeringen 2021 net op zee fase II</t>
  </si>
  <si>
    <t>Reële aanschafwaarde bijgeschatte investeringen 2022 net op zee fase II</t>
  </si>
  <si>
    <t>Reële aanschafwaarde bijgeschatte investeringen 2023 net op zee fase II</t>
  </si>
  <si>
    <t>Reële aanschafwaarde bijgeschatte investeringen 2024 net op zee fase II</t>
  </si>
  <si>
    <t>Reële aanschafwaarde bijgeschatte investeringen 2025 net op zee fase II</t>
  </si>
  <si>
    <t>Reële aanschafwaarde bijgeschatte investeringen 2026 net op zee fase II</t>
  </si>
  <si>
    <t>GAW-berekening TenneT, tabel 2, cellen  L113:P113</t>
  </si>
  <si>
    <t>GAW-berekening TenneT, tabel 2, cellen  L114:P114</t>
  </si>
  <si>
    <t>GAW-berekening TenneT, tabel 2, cellen  H147:P147</t>
  </si>
  <si>
    <t>GAW-berekening TenneT, tabel 2, cellen  H148:P148</t>
  </si>
  <si>
    <t>GAW-berekening TenneT, tabel 2, cellen  H149:P149</t>
  </si>
  <si>
    <t>GAW-berekening TenneT, tabel 2, cellen  H151:P151</t>
  </si>
  <si>
    <t>GAW-berekening TenneT, tabel 2, cellen  H153:P153</t>
  </si>
  <si>
    <t>GAW-berekening TenneT, tabel 2, cellen  H155:P155</t>
  </si>
  <si>
    <t>GAW-berekening TenneT, tabel 2, cellen  H156:P156</t>
  </si>
  <si>
    <t>GAW-berekening TenneT, tabel 2, cellen  H157:P157</t>
  </si>
  <si>
    <t>Verandering operationele kosten door bijgeschatte investeringen in 2021 net op zee fase I</t>
  </si>
  <si>
    <t>Verandering operationele kosten door bijgeschatte investeringen in 2022 net op zee fase I</t>
  </si>
  <si>
    <t>Verandering operationele kosten door bijgeschatte investeringen in 2023 net op zee fase I</t>
  </si>
  <si>
    <t>Verandering operationele kosten door bijgeschatte investeringen in 2024 net op zee fase I</t>
  </si>
  <si>
    <t>Verandering operationele kosten door bijgeschatte investeringen in 2025 net op zee fase I</t>
  </si>
  <si>
    <t>Verandering operationele kosten door bijgeschatte investeringen in 2026 net op zee fase I</t>
  </si>
  <si>
    <t>Verandering operationele kosten door verandering in aanschafwaarden niet-WUI's ten opzichte van gemiddelde 2018-2020</t>
  </si>
  <si>
    <t>Verandering operationele kosten door bijgeschatte investeringen in 2021 net op zee fase II</t>
  </si>
  <si>
    <t>Verandering operationele kosten door bijgeschatte investeringen in 2022 net op zee fase II</t>
  </si>
  <si>
    <t>Verandering operationele kosten door bijgeschatte investeringen in 2023 net op zee fase II</t>
  </si>
  <si>
    <t>Verandering operationele kosten door bijgeschatte investeringen in 2024 net op zee fase II</t>
  </si>
  <si>
    <t>Verandering operationele kosten door bijgeschatte investeringen in 2025 net op zee fase II</t>
  </si>
  <si>
    <t>Verandering operationele kosten door bijgeschatte investeringen in 2026 net op zee fase II</t>
  </si>
  <si>
    <t>Schatting inkoopkosten netverliezen Borssele netverbindingen</t>
  </si>
  <si>
    <t>Schatting inkoopkosten netverliezen Borssel Alpha</t>
  </si>
  <si>
    <t>Schatting inkoopkosten netverliezen Borssel Beta</t>
  </si>
  <si>
    <t xml:space="preserve">Rekenmodule RCR-investeringen Net op zee fase I </t>
  </si>
  <si>
    <t>Rekenmodule RCR-investeringen NOZ fase I TenneT 2021</t>
  </si>
  <si>
    <t>Begininkomsten totaal</t>
  </si>
  <si>
    <t>Op dit tabblad geeft de ACM de GAW-waarden ultimo 2020 voor het net op zee weer. Daarnaast toont dit tabblad de GAW en afschrijvingen voor de periode 2022-2026 zoals berekend in het GAW-model op basis van "doorrollen en bijschatten". Voor de bijgeschatte investeringen zijn in dit tabblad de waarden opgenomen voor de jaren 2022 t/m 2026. Deze gegevens zijn afkomstig uit het GAW-model en worden gebruikt voor de berekening van de verwachte kapitaalkosten. Tevens zijn op dit tabblad de reële aanschafwaarden van niet-WUI's en bijgeschatte investeringen opgenomen. Deze gegevens zijn afkomstig uit het GAW-model en worden gebruikt voor de berekening van de verwachte operationele kosten.</t>
  </si>
  <si>
    <t xml:space="preserve">- TenneT gebruikt verschillende verdeelsleutels om de indirecte algemene kosten aan de verschillende segmenten (EHS, HS, systeem, NOZ fase I en NOZ fase II) toe te bedelen. De kosten die met verdeelsleutel 2, ofwel de algemene sleutel uren toebedeeld worden betreffen kosten voor systemen en primaire bedrijfsprocessen en personeelskosten. De kosten die met verdeelsleutel 3, ofwel de algemene sleutel circuitlengte en stations (inclusief toerekening aan systeemtaak en NOZ) toebedeeld worden betreffen kosten voor algemeen beheer. 
- Voor de directe niet-WUI gerelateerde algemene operationele kosten voor fase II is voor het jaar 2020 een negatieve waarde opgenomen. Deze negatieve kosten worden veroorzaakt doordat een groot deel van de kosten voor het NoZ fase II in 2020 geactiveerd worden. In het activeringstarief is een dekking opgenomen voor indirecte kosten. Deze dekking wordt als directe kosten geclassificeerd, maar de corresponderende kosten maken deel uit van de indirecte algemene operationele kosten. Per saldo resteert er in fase II in de directe kosten derhalve een negatief bedrag. Dit heeft geen invloed op de berekening van de totale operationele kosten voor fase II, omdat zowel de directe en indirecte algemene operationele kosten op basis van drie peiljaren worden berekend. 
</t>
  </si>
  <si>
    <t>Directe niet-WUI gerelateerde algemene operationele kosten</t>
  </si>
  <si>
    <r>
      <t xml:space="preserve">De operationele kosten voor het net op zee bestaan uit verschillende onderdelen, welke als volgt worden geschat. 
</t>
    </r>
    <r>
      <rPr>
        <u/>
        <sz val="10"/>
        <rFont val="Arial"/>
        <family val="2"/>
      </rPr>
      <t>De operationele kosten wegens het in stand houden van het net:</t>
    </r>
    <r>
      <rPr>
        <i/>
        <sz val="10"/>
        <rFont val="Arial"/>
        <family val="2"/>
      </rPr>
      <t xml:space="preserve">
</t>
    </r>
    <r>
      <rPr>
        <sz val="10"/>
        <rFont val="Arial"/>
        <family val="2"/>
      </rPr>
      <t xml:space="preserve">A) De indirecte algemene operationele kosten betreffen algemene operationele kosten die via een verdeelsleutel over het net op land en het net op zee verdeeld worden. Deze worden geschat op basis van drie peiljaren en de verdeelsleutel 2020;
B) De directe WUI gerelateerde algemene operationele kosten hebben alleen betrekking op fase I en betreffen de algemene operationele kosten voor Borssele Alpha en Beta. Hiervoor neemt de ACM de schatting uit het onderzoek van DNV naar een schattingsmethode voor de incrementele operationele kosten die ontstaan na ingebruikname van een nieuwe verbinding van het net op zee over;
C) De inkoopkosten voor netverliezen hebben alleen betrekking op fase I en betreffen de netverliezen voor Borssele Alpha en Beta. De ACM baseert haar schatting op de schatting van TenneT voor de netverliezen in 2021 uit de RCR-module bij het inkomstenbesluit 2021;
D) De directe niet-WUI gerelateerde algemene operationele kosten worden geschat op basis van drie peiljaren;
</t>
    </r>
    <r>
      <rPr>
        <u/>
        <sz val="10"/>
        <rFont val="Arial"/>
        <family val="2"/>
      </rPr>
      <t>De verandering van de operationele kosten als gevolg van de veranderende netomvang</t>
    </r>
    <r>
      <rPr>
        <sz val="10"/>
        <rFont val="Arial"/>
        <family val="2"/>
      </rPr>
      <t xml:space="preserve"> wordt geschat door een percentage van de verandering van de aanschafwaarden van niet-WUI's ten opzichte van de aanfschafwaarden van niet-WUI's in de jaren 2018-2020.</t>
    </r>
  </si>
  <si>
    <t>Directe niet-WUI gerelateerde algemene operationele kosten net op zee fase I</t>
  </si>
  <si>
    <t>Directe niet-WUI gerelateerde algemene operationele kosten net op zee fase II</t>
  </si>
  <si>
    <t>Directe WUI gerelateerde algemene operationele kosten (B)</t>
  </si>
  <si>
    <t>Directe WUI gerelateerde algemene operationele kosten net op zee fase I</t>
  </si>
  <si>
    <t>Directe niet-WUI gerelateerde algemene operationele kosten (D)</t>
  </si>
  <si>
    <t>Kapitaalkosten doorrollen niet-WUI's net op zee fase I</t>
  </si>
  <si>
    <t>Kapitaalkosten doorrollen niet-WUI's net op zee fase II</t>
  </si>
  <si>
    <t xml:space="preserve">Op dit tabblad geeft de ACM een overzicht van de operationele kosten van de netbeheerder van het net op zee voor de jaren 2018 t/m 2020, de schatting voor de algemene operationele kosten voor de Borssele netverbindingen uit het onderzoek van DNV naar een schattingsmethode voor de incrementele operationele kosten die ontstaan na ingebruikname van een nieuwe verbinding van het net op zee en de schatting voor de netverliezen in 2021 van TenneT. Deze zijn de basis voor de verwachte (efficiënte) operationele kosten voor de reguleringsperiode 2022-2026. De gerealiseerde operationele kosten die als input dienen voor de berekening van de verwachte operationele kosten kunnen worden opgesplitst in directe niet-WUI gerelateerde algemene operationele kosten en indirecte algemene operationele kosten. </t>
  </si>
  <si>
    <t>Reëel-plus WACC bestaand vermogen</t>
  </si>
  <si>
    <t>Reëel-plus WACC nieuw vermogen</t>
  </si>
  <si>
    <t>Gerealiseerde operationele kosten net op zee fase I</t>
  </si>
  <si>
    <t>Gerealiseerde operationele kosten net op zee fase II</t>
  </si>
  <si>
    <t>Gerealiseerde indirecte algemene operationele kosten TenneT</t>
  </si>
  <si>
    <t>Afschrijvingen WUI's excl. ARO geactiveerd t/m 2020 fase I</t>
  </si>
  <si>
    <t>GAW WUI's excl. ARO geactiveerd t/m 2020 fase I</t>
  </si>
  <si>
    <t>Afschrijvingen WUI's ARO geactiveerd t/m 2020 fase I</t>
  </si>
  <si>
    <t>GAW WUI's ARO geactiveerd t/m 2020 fase I</t>
  </si>
  <si>
    <t>Vermogenskosten doorrollen WUI's excl. ARO fase I</t>
  </si>
  <si>
    <t>Vermogenskosten doorrollen WUI's ARO fase I</t>
  </si>
  <si>
    <t>Kapitaalkosten doorrollen WUI's excl. ARO fase I</t>
  </si>
  <si>
    <t>Afschrijvingen WUI's excl. ARO geactiveerd t/m 2020 net op zee fase I</t>
  </si>
  <si>
    <t>GAW WUI's excl. ARO geactiveerd t/m 2020 net op zee fase I</t>
  </si>
  <si>
    <t>Afschrijvingen WUI's ARO geactiveerd t/m 2020 net op zee fase I</t>
  </si>
  <si>
    <t>GAW WUI's ARO geactiveerd t/m 2020 net op zee fase I</t>
  </si>
  <si>
    <t>GAW-berekening TenneT, tabel 2, cellen  L115:P115</t>
  </si>
  <si>
    <t>GAW-berekening TenneT, tabel 2, cellen  L116:P116</t>
  </si>
  <si>
    <t>GAW-berekening TenneT, tabel 2, cellen  L122:P122</t>
  </si>
  <si>
    <t>GAW-berekening TenneT, tabel 2, cellen  L123:P123</t>
  </si>
  <si>
    <t>GAW-berekening TenneT, tabel 2, cellen  H150:P150</t>
  </si>
  <si>
    <t>GAW-berekening TenneT, tabel 2, cellen  H158:P158</t>
  </si>
  <si>
    <t>GAW-berekening TenneT, tabel 2, cellen  H159:P159</t>
  </si>
  <si>
    <t>Op dit tabblad berekent de ACM de kapitaalkosten van activa geactiveerd tot en met 2020 (doorrollen). De kapitaalkosten bestaan uit de afschrijvingen en de vermogenskosten. De vermogenskosten worden berekend door de gestandardiseerde activawaarde (GAW) te vermenigvuldigen met de gewogen gemiddelde kosten van kapitaal (WACC). Bij het bepalen van de efficiënte kapitaalkosten van de WUI's excl. ARO fase I past de ACM het percentage uit de projectspecifieke doelmatigheidstoets Borssele toe.</t>
  </si>
  <si>
    <t>GAW-berekening TenneT, tabel 2, cellen  L117:P117</t>
  </si>
  <si>
    <t>GAW-berekening TenneT, tabel 2, cellen  L118:P118</t>
  </si>
  <si>
    <t>GAW-berekening TenneT, tabel 2, cellen  L124:P124</t>
  </si>
  <si>
    <t>GAW-berekening TenneT, tabel 2, cellen  L125:P125</t>
  </si>
  <si>
    <t>GAW-berekening TenneT, tabel 2, cellen  L129:P129</t>
  </si>
  <si>
    <t>GAW-berekening TenneT, tabel 2, cellen  L130:P130</t>
  </si>
  <si>
    <t>GAW-berekening TenneT, tabel 2, cel  J134</t>
  </si>
  <si>
    <t>GAW-berekening TenneT, tabel 2, cellen  L138:P138</t>
  </si>
  <si>
    <t>GAW-berekening TenneT, tabel 2, cellen  L139:P139</t>
  </si>
  <si>
    <t>GAW-berekening TenneT, tabel 2, cel  J143</t>
  </si>
  <si>
    <t>GAW-berekening TenneT, tabel 2, cellen  H152:P152</t>
  </si>
  <si>
    <t>GAW-berekening TenneT, tabel 2, cellen  H160:P160</t>
  </si>
  <si>
    <t>GAW-berekening TenneT, tabel 2, cellen  H161:P161</t>
  </si>
  <si>
    <t>N.v.t.</t>
  </si>
  <si>
    <t>N.v.t</t>
  </si>
  <si>
    <t>21 t/m 25</t>
  </si>
  <si>
    <t xml:space="preserve">Dit bestand is bedoeld ter verduidelijking van de berekeningen door ACM. Aan dit bestand kunnen geen rechten worden ontleend. </t>
  </si>
  <si>
    <t>waarvan: begininkomsten net op zee fase I</t>
  </si>
  <si>
    <t>waarvan: begininkomsten net op zee fase II</t>
  </si>
  <si>
    <t>ACM/23/186811</t>
  </si>
  <si>
    <t>Gewijzigd X-factorbesluit Netbeheerder van het Net op Zee 2022-2026</t>
  </si>
  <si>
    <t>ACM/UIT/608782</t>
  </si>
  <si>
    <t>Gewijzigd methodebesluit 2022-2026, paragraaf 8.4.1</t>
  </si>
  <si>
    <t>2018 t/m 2021: CBS; 2022 t/m 2026: Gewijzigd methodebesluit 2022-2026, paragraaf 8.4.2</t>
  </si>
  <si>
    <t>Gewijzigd methodebesluit 2022-2026, paragraaf 8.3.1</t>
  </si>
  <si>
    <t>Gewijzigd methodebesluit 2022-2026, paragraaf 8.3.3</t>
  </si>
  <si>
    <t>2018 t/m 2021: Methodebesluit 2017-2021, paragraaf 7.2.3; 2022 t/m 2026 Gewijzigd methodebesluit 2022-2026, paragraaf 8.4.3</t>
  </si>
  <si>
    <t>Gewijzigd vanwege uitspraak CBb</t>
  </si>
  <si>
    <t>Gewijzigd methodebesluit 2022-2026</t>
  </si>
  <si>
    <t>CBb uitspraak</t>
  </si>
  <si>
    <t>Uitspraak van het College van Beroep voor het bedrijfsleven 4 juli 2023, ECLI:NL:CBB:2023:318</t>
  </si>
  <si>
    <t xml:space="preserve">Dit bestand bevat de berekening van de begininkomsten en x-factor voor TenneT voor de periode 2022-2026. De verhouding tussen de begininkomsten 2021 en de eindinkomsten 2026 bepaalt de x-factor. De eindinkomsten zijn gelijk aan de verwachte efficiënte kosten in het jaar 2026. De begininkomsten worden vastgesteld op een bedrag dat zodanig is dat de netto contante waarde van de jaarlijkse toegestane inkomsten die volgen uit de begininkomsten, de x-factor en de verwachte inflatie gelijk is aan de netto contante waarde van de jaarlijkse verwachte efficiënte kosten.
In dit bestand zijn naar aanleiding van een CBb uitspraak op 4 juli 2023 (ECLI:NL:CBB:2023:318) wijzigingen opgenomen ten opzichte van de X-factorberekening Netbeheerder van het Net op Zee 2022-2026 behorende bij het methodebesluit van 16 september 2021. De wijzigingen naar aanleiding van deze uitspraak zien op de hoogte van de WACC (tabblad 2, cellen L15:P17) en de hoogte van de doelmatigheidsscore Borssele (tabblad 2, cel F26). Deze cellen zijn roze gemarkeerd.  </t>
  </si>
  <si>
    <r>
      <rPr>
        <sz val="10"/>
        <rFont val="Arial"/>
        <family val="2"/>
      </rPr>
      <t>Gewijzigd methodebesl</t>
    </r>
    <r>
      <rPr>
        <sz val="10"/>
        <color theme="1"/>
        <rFont val="Arial"/>
        <family val="2"/>
      </rPr>
      <t>uit Netbeheerder van het Net op Zee 2022-2026</t>
    </r>
  </si>
  <si>
    <t>ACM/UIT/600686</t>
  </si>
  <si>
    <t>Gewijzigd methodebesluit 2022-2026, paragraaf 8.3.4</t>
  </si>
  <si>
    <t>De roze gemarkeerde cellen bevatten gewijzigde input ten opzichte van de X-factorberekening Netbeheerder van het Net op Zee 2022-2026 behorende bij het methodebesluit van 16 september 2021 (zie ook tab 'Toelichting').</t>
  </si>
  <si>
    <t>Gewijzigde X-factorberekening Netbeheerder van het Net op Zee 2022-2026</t>
  </si>
  <si>
    <r>
      <rPr>
        <i/>
        <sz val="10"/>
        <rFont val="Arial"/>
        <family val="2"/>
      </rPr>
      <t>Opmerking TenneT:</t>
    </r>
    <r>
      <rPr>
        <sz val="10"/>
        <rFont val="Arial"/>
        <family val="2"/>
      </rPr>
      <t xml:space="preserve"> Bedrijfsvertrouwelijk</t>
    </r>
  </si>
  <si>
    <t>=L19*L30*($F$51+$F$52)</t>
  </si>
  <si>
    <t>=M19*M30*($F$51+$F$52)</t>
  </si>
  <si>
    <t>=N19*N30*($F$51+$F$52)</t>
  </si>
  <si>
    <t>=O19*O30*($F$51+$F$52)</t>
  </si>
  <si>
    <t>=P19*P30*($F$51+$F$52)</t>
  </si>
  <si>
    <t>='4. Operationele kosten'!F36</t>
  </si>
  <si>
    <t>='4. Operationele kosten'!F37</t>
  </si>
  <si>
    <t>Gewijzigde GAW-berekening TenneT voor de reguleringsperiode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</si>
</sst>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_ ;_ * \-#,##0.000_ ;_ * &quot;-&quot;_ ;_ @_ "/>
    <numFmt numFmtId="165" formatCode="#,##0.000"/>
    <numFmt numFmtId="166" formatCode="_(* #,##0_);_(* \(#,##0\);_(* &quot;-&quot;_);_(@_)"/>
    <numFmt numFmtId="167" formatCode="_(* #,##0.00_);_(* \(#,##0.00\);_(* &quot;-&quot;??_);_(@_)"/>
    <numFmt numFmtId="168" formatCode="0.0%"/>
    <numFmt numFmtId="169" formatCode="_(* #,##0_);_(* \(#,##0\);_(* &quot;-&quot;??_);_(@_)"/>
    <numFmt numFmtId="170" formatCode="_ * #,##0_ ;_ * \-#,##0_ ;_ * &quot;-&quot;??_ ;_ @_ "/>
    <numFmt numFmtId="171" formatCode="_ * #,##0.00000_ ;_ * \-#,##0.00000_ ;_ * &quot;-&quot;_ ;_ @_ "/>
    <numFmt numFmtId="172" formatCode="_ * #,##0.0000_ ;_ * \-#,##0.0000_ ;_ * &quot;-&quot;_ ;_ @_ "/>
    <numFmt numFmtId="173" formatCode="_ * #,##0.000_ ;_ * \-#,##0.000_ ;_ * &quot;-&quot;???_ ;_ @_ "/>
  </numFmts>
  <fonts count="36">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8"/>
      <name val="Arial"/>
      <family val="2"/>
    </font>
    <font>
      <sz val="10"/>
      <name val="DTLArgoT"/>
    </font>
    <font>
      <b/>
      <sz val="14"/>
      <name val="Arial"/>
      <family val="2"/>
    </font>
    <font>
      <u/>
      <sz val="10"/>
      <name val="Arial"/>
      <family val="2"/>
    </font>
    <font>
      <sz val="8"/>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
      <patternFill patternType="solid">
        <fgColor theme="1"/>
        <bgColor indexed="64"/>
      </patternFill>
    </fill>
  </fills>
  <borders count="2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auto="1"/>
      </top>
      <bottom style="thin">
        <color auto="1"/>
      </bottom>
      <diagonal/>
    </border>
    <border>
      <left/>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s>
  <cellStyleXfs count="8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18" borderId="1">
      <alignment vertical="top"/>
    </xf>
    <xf numFmtId="49" fontId="7" fillId="0" borderId="0">
      <alignment vertical="top"/>
    </xf>
    <xf numFmtId="41" fontId="6" fillId="11" borderId="0">
      <alignment vertical="top"/>
    </xf>
    <xf numFmtId="41" fontId="6" fillId="10" borderId="0">
      <alignment vertical="top"/>
    </xf>
    <xf numFmtId="41" fontId="6" fillId="45" borderId="0">
      <alignment vertical="top"/>
    </xf>
    <xf numFmtId="41" fontId="6" fillId="8" borderId="0">
      <alignment vertical="top"/>
    </xf>
    <xf numFmtId="41" fontId="6" fillId="12" borderId="0">
      <alignment vertical="top"/>
    </xf>
    <xf numFmtId="49" fontId="11" fillId="0" borderId="0">
      <alignment vertical="top"/>
    </xf>
    <xf numFmtId="49" fontId="10" fillId="0" borderId="0">
      <alignment vertical="top"/>
    </xf>
    <xf numFmtId="0" fontId="17" fillId="14" borderId="4" applyNumberFormat="0" applyAlignment="0" applyProtection="0"/>
    <xf numFmtId="0" fontId="18" fillId="15" borderId="5" applyNumberFormat="0" applyAlignment="0" applyProtection="0"/>
    <xf numFmtId="0" fontId="19" fillId="15" borderId="4" applyNumberFormat="0" applyAlignment="0" applyProtection="0"/>
    <xf numFmtId="0" fontId="20" fillId="0" borderId="6" applyNumberFormat="0" applyFill="0" applyAlignment="0" applyProtection="0"/>
    <xf numFmtId="0" fontId="14" fillId="16" borderId="7" applyNumberFormat="0" applyAlignment="0" applyProtection="0"/>
    <xf numFmtId="0" fontId="16" fillId="17" borderId="8"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2" applyNumberFormat="0" applyFill="0" applyAlignment="0" applyProtection="0"/>
    <xf numFmtId="0" fontId="2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3" borderId="0" applyNumberFormat="0">
      <alignment vertical="top"/>
    </xf>
    <xf numFmtId="43" fontId="6" fillId="10" borderId="0" applyFont="0" applyFill="0" applyBorder="0" applyAlignment="0" applyProtection="0">
      <alignment vertical="top"/>
    </xf>
    <xf numFmtId="10" fontId="6" fillId="0" borderId="0" applyFont="0" applyFill="0" applyBorder="0" applyAlignment="0" applyProtection="0">
      <alignment vertical="top"/>
    </xf>
    <xf numFmtId="0" fontId="4" fillId="3" borderId="0" applyNumberFormat="0" applyBorder="0" applyAlignment="0" applyProtection="0"/>
    <xf numFmtId="166" fontId="6" fillId="9" borderId="0">
      <alignment vertical="top"/>
    </xf>
    <xf numFmtId="0" fontId="17" fillId="14" borderId="4" applyNumberFormat="0" applyAlignment="0" applyProtection="0"/>
    <xf numFmtId="0" fontId="18" fillId="15" borderId="5" applyNumberFormat="0" applyAlignment="0" applyProtection="0"/>
    <xf numFmtId="0" fontId="14" fillId="16" borderId="7" applyNumberFormat="0" applyAlignment="0" applyProtection="0"/>
    <xf numFmtId="0" fontId="1" fillId="17" borderId="8" applyNumberFormat="0" applyFont="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167" fontId="6" fillId="10" borderId="0" applyFont="0" applyFill="0" applyBorder="0" applyAlignment="0" applyProtection="0">
      <alignment vertical="top"/>
    </xf>
    <xf numFmtId="166" fontId="6" fillId="44" borderId="0">
      <alignment vertical="top"/>
    </xf>
    <xf numFmtId="0" fontId="1" fillId="0" borderId="0"/>
    <xf numFmtId="0" fontId="32" fillId="0" borderId="0"/>
    <xf numFmtId="167" fontId="6" fillId="10" borderId="0" applyFont="0" applyFill="0" applyBorder="0" applyAlignment="0" applyProtection="0">
      <alignment vertical="top"/>
    </xf>
  </cellStyleXfs>
  <cellXfs count="125">
    <xf numFmtId="0" fontId="0" fillId="0" borderId="0" xfId="0">
      <alignment vertical="top"/>
    </xf>
    <xf numFmtId="49" fontId="7" fillId="18" borderId="13" xfId="6" applyBorder="1">
      <alignment vertical="top"/>
    </xf>
    <xf numFmtId="49" fontId="9" fillId="5" borderId="13" xfId="5" applyBorder="1">
      <alignment vertical="top"/>
    </xf>
    <xf numFmtId="10" fontId="6" fillId="11" borderId="0" xfId="8" applyNumberFormat="1">
      <alignment vertical="top"/>
    </xf>
    <xf numFmtId="9" fontId="6" fillId="10" borderId="0" xfId="9" applyNumberFormat="1">
      <alignment vertical="top"/>
    </xf>
    <xf numFmtId="43" fontId="6" fillId="12" borderId="0" xfId="12" applyNumberFormat="1">
      <alignment vertical="top"/>
    </xf>
    <xf numFmtId="10" fontId="6" fillId="12" borderId="0" xfId="12" applyNumberFormat="1">
      <alignment vertical="top"/>
    </xf>
    <xf numFmtId="10" fontId="6" fillId="10" borderId="0" xfId="9" applyNumberFormat="1">
      <alignment vertical="top"/>
    </xf>
    <xf numFmtId="0" fontId="7" fillId="0" borderId="0" xfId="4" applyFont="1">
      <alignment vertical="top"/>
    </xf>
    <xf numFmtId="0" fontId="6" fillId="0" borderId="0" xfId="4">
      <alignment vertical="top"/>
    </xf>
    <xf numFmtId="0" fontId="8" fillId="0" borderId="0" xfId="4" applyFont="1">
      <alignment vertical="top"/>
    </xf>
    <xf numFmtId="0" fontId="10" fillId="0" borderId="0" xfId="4" applyFont="1">
      <alignment vertical="top"/>
    </xf>
    <xf numFmtId="0" fontId="11" fillId="0" borderId="0" xfId="4" applyFont="1">
      <alignment vertical="top"/>
    </xf>
    <xf numFmtId="0" fontId="6" fillId="0" borderId="2" xfId="4" applyBorder="1">
      <alignment vertical="top"/>
    </xf>
    <xf numFmtId="49" fontId="9" fillId="5" borderId="1" xfId="5">
      <alignment vertical="top"/>
    </xf>
    <xf numFmtId="49" fontId="7" fillId="18" borderId="1" xfId="6">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1" fontId="6" fillId="0" borderId="0" xfId="4" applyNumberFormat="1">
      <alignment vertical="top"/>
    </xf>
    <xf numFmtId="1" fontId="10" fillId="0" borderId="0" xfId="4" applyNumberFormat="1" applyFont="1">
      <alignment vertical="top"/>
    </xf>
    <xf numFmtId="0" fontId="13" fillId="0" borderId="0" xfId="4" applyFont="1">
      <alignment vertical="top"/>
    </xf>
    <xf numFmtId="0" fontId="14" fillId="6" borderId="1" xfId="4" applyFont="1" applyFill="1" applyBorder="1">
      <alignment vertical="top"/>
    </xf>
    <xf numFmtId="49" fontId="8" fillId="18" borderId="2" xfId="6" applyFont="1" applyBorder="1">
      <alignment vertical="top"/>
    </xf>
    <xf numFmtId="0" fontId="9" fillId="5" borderId="1" xfId="5" applyNumberFormat="1">
      <alignment vertical="top"/>
    </xf>
    <xf numFmtId="0" fontId="15" fillId="0" borderId="0" xfId="4" applyFont="1">
      <alignment vertical="top"/>
    </xf>
    <xf numFmtId="0" fontId="6" fillId="13" borderId="0" xfId="4" applyFill="1">
      <alignment vertical="top"/>
    </xf>
    <xf numFmtId="49" fontId="6" fillId="18" borderId="2" xfId="6" applyFont="1" applyBorder="1">
      <alignment vertical="top"/>
    </xf>
    <xf numFmtId="0" fontId="8" fillId="0" borderId="0" xfId="4" applyFont="1" applyAlignment="1">
      <alignment horizontal="left" vertical="top" wrapText="1"/>
    </xf>
    <xf numFmtId="49" fontId="7" fillId="0" borderId="0" xfId="7">
      <alignment vertical="top"/>
    </xf>
    <xf numFmtId="49" fontId="10" fillId="0" borderId="0" xfId="14">
      <alignment vertical="top"/>
    </xf>
    <xf numFmtId="41" fontId="6" fillId="11" borderId="0" xfId="8">
      <alignment vertical="top"/>
    </xf>
    <xf numFmtId="41" fontId="6" fillId="45" borderId="0" xfId="10">
      <alignment vertical="top"/>
    </xf>
    <xf numFmtId="10" fontId="6" fillId="0" borderId="0" xfId="63">
      <alignment vertical="top"/>
    </xf>
    <xf numFmtId="41" fontId="6" fillId="12" borderId="0" xfId="12">
      <alignment vertical="top"/>
    </xf>
    <xf numFmtId="41" fontId="6" fillId="10" borderId="0" xfId="9">
      <alignment vertical="top"/>
    </xf>
    <xf numFmtId="0" fontId="6" fillId="18" borderId="0" xfId="4" applyFill="1">
      <alignment vertical="top"/>
    </xf>
    <xf numFmtId="10" fontId="6" fillId="0" borderId="0" xfId="63" applyFill="1">
      <alignment vertical="top"/>
    </xf>
    <xf numFmtId="0" fontId="7" fillId="0" borderId="0" xfId="4" applyFont="1" applyAlignment="1">
      <alignment horizontal="right" vertical="top"/>
    </xf>
    <xf numFmtId="164" fontId="6" fillId="10" borderId="0" xfId="9" applyNumberFormat="1">
      <alignment vertical="top"/>
    </xf>
    <xf numFmtId="41" fontId="6" fillId="43" borderId="0" xfId="61" applyNumberFormat="1">
      <alignment vertical="top"/>
    </xf>
    <xf numFmtId="0" fontId="6" fillId="0" borderId="0" xfId="4" applyAlignment="1">
      <alignment vertical="top" wrapText="1"/>
    </xf>
    <xf numFmtId="165" fontId="6" fillId="12" borderId="0" xfId="12" applyNumberFormat="1">
      <alignment vertical="top"/>
    </xf>
    <xf numFmtId="0" fontId="6" fillId="0" borderId="0" xfId="4" applyAlignment="1">
      <alignment horizontal="left" vertical="top" wrapText="1"/>
    </xf>
    <xf numFmtId="0" fontId="6" fillId="7" borderId="0" xfId="4" applyFill="1">
      <alignment vertical="top"/>
    </xf>
    <xf numFmtId="49" fontId="6" fillId="0" borderId="0" xfId="7" applyFont="1">
      <alignment vertical="top"/>
    </xf>
    <xf numFmtId="169" fontId="6" fillId="0" borderId="0" xfId="4" applyNumberFormat="1">
      <alignment vertical="top"/>
    </xf>
    <xf numFmtId="0" fontId="6" fillId="46" borderId="0" xfId="4" applyFill="1">
      <alignment vertical="top"/>
    </xf>
    <xf numFmtId="43" fontId="6" fillId="46" borderId="0" xfId="4" applyNumberFormat="1" applyFill="1">
      <alignment vertical="top"/>
    </xf>
    <xf numFmtId="169" fontId="6" fillId="46" borderId="0" xfId="75" applyNumberFormat="1" applyFill="1">
      <alignment vertical="top"/>
    </xf>
    <xf numFmtId="0" fontId="6" fillId="0" borderId="0" xfId="4" applyAlignment="1">
      <alignment horizontal="left" vertical="top"/>
    </xf>
    <xf numFmtId="0" fontId="32" fillId="0" borderId="0" xfId="78"/>
    <xf numFmtId="3" fontId="6" fillId="0" borderId="0" xfId="4" applyNumberFormat="1">
      <alignment vertical="top"/>
    </xf>
    <xf numFmtId="168" fontId="6" fillId="0" borderId="0" xfId="4" applyNumberFormat="1">
      <alignment vertical="top"/>
    </xf>
    <xf numFmtId="168" fontId="6" fillId="12" borderId="0" xfId="4" applyNumberFormat="1" applyFill="1">
      <alignment vertical="top"/>
    </xf>
    <xf numFmtId="169" fontId="6" fillId="46" borderId="0" xfId="4" applyNumberFormat="1" applyFill="1">
      <alignment vertical="top"/>
    </xf>
    <xf numFmtId="0" fontId="10" fillId="0" borderId="0" xfId="4" applyFont="1" applyAlignment="1">
      <alignment horizontal="left" vertical="top" wrapText="1"/>
    </xf>
    <xf numFmtId="10" fontId="6" fillId="46" borderId="0" xfId="63" applyFill="1">
      <alignment vertical="top"/>
    </xf>
    <xf numFmtId="0" fontId="6" fillId="46" borderId="0" xfId="4" applyFill="1" applyAlignment="1">
      <alignment horizontal="left" vertical="top"/>
    </xf>
    <xf numFmtId="0" fontId="7" fillId="46" borderId="0" xfId="4" applyFont="1" applyFill="1" applyAlignment="1">
      <alignment horizontal="left" vertical="top"/>
    </xf>
    <xf numFmtId="3" fontId="6" fillId="46" borderId="0" xfId="4" applyNumberFormat="1" applyFill="1">
      <alignment vertical="top"/>
    </xf>
    <xf numFmtId="0" fontId="15" fillId="0" borderId="0" xfId="4" applyFont="1" applyAlignment="1">
      <alignment vertical="top" wrapText="1"/>
    </xf>
    <xf numFmtId="0" fontId="15" fillId="0" borderId="14" xfId="4" applyFont="1" applyBorder="1" applyAlignment="1">
      <alignment vertical="top" wrapText="1"/>
    </xf>
    <xf numFmtId="0" fontId="0" fillId="0" borderId="0" xfId="0" applyAlignment="1"/>
    <xf numFmtId="0" fontId="28" fillId="46" borderId="0" xfId="0" applyFont="1" applyFill="1" applyAlignment="1"/>
    <xf numFmtId="0" fontId="31" fillId="0" borderId="0" xfId="0" applyFont="1" applyAlignment="1"/>
    <xf numFmtId="0" fontId="6" fillId="0" borderId="15" xfId="4" applyBorder="1">
      <alignment vertical="top"/>
    </xf>
    <xf numFmtId="0" fontId="6" fillId="0" borderId="16" xfId="4" applyBorder="1">
      <alignment vertical="top"/>
    </xf>
    <xf numFmtId="0" fontId="6" fillId="0" borderId="17" xfId="4" applyBorder="1">
      <alignment vertical="top"/>
    </xf>
    <xf numFmtId="0" fontId="6" fillId="0" borderId="18" xfId="4" applyBorder="1">
      <alignment vertical="top"/>
    </xf>
    <xf numFmtId="0" fontId="6" fillId="45" borderId="0" xfId="4" applyFill="1" applyAlignment="1">
      <alignment horizontal="center" vertical="top"/>
    </xf>
    <xf numFmtId="0" fontId="6" fillId="0" borderId="19" xfId="4" applyBorder="1">
      <alignment vertical="top"/>
    </xf>
    <xf numFmtId="0" fontId="6" fillId="10" borderId="0" xfId="4" applyFill="1" applyAlignment="1">
      <alignment horizontal="center" vertical="top"/>
    </xf>
    <xf numFmtId="0" fontId="6" fillId="11" borderId="0" xfId="4" applyFill="1" applyAlignment="1">
      <alignment horizontal="center" vertical="top"/>
    </xf>
    <xf numFmtId="0" fontId="6" fillId="0" borderId="20" xfId="4" applyBorder="1">
      <alignment vertical="top"/>
    </xf>
    <xf numFmtId="0" fontId="6" fillId="0" borderId="21" xfId="4" applyBorder="1">
      <alignment vertical="top"/>
    </xf>
    <xf numFmtId="0" fontId="6" fillId="0" borderId="22" xfId="4" applyBorder="1">
      <alignment vertical="top"/>
    </xf>
    <xf numFmtId="0" fontId="31" fillId="0" borderId="0" xfId="0" applyFont="1" applyAlignment="1">
      <alignment horizontal="center" vertical="top"/>
    </xf>
    <xf numFmtId="0" fontId="10" fillId="10" borderId="0" xfId="4" applyFont="1" applyFill="1" applyAlignment="1">
      <alignment horizontal="center" vertical="top"/>
    </xf>
    <xf numFmtId="166" fontId="6" fillId="9" borderId="0" xfId="65">
      <alignment vertical="top"/>
    </xf>
    <xf numFmtId="166" fontId="6" fillId="44" borderId="0" xfId="76">
      <alignment vertical="top"/>
    </xf>
    <xf numFmtId="0" fontId="0" fillId="0" borderId="2" xfId="0" applyBorder="1">
      <alignment vertical="top"/>
    </xf>
    <xf numFmtId="167" fontId="13" fillId="0" borderId="0" xfId="75" applyFont="1" applyFill="1">
      <alignment vertical="top"/>
    </xf>
    <xf numFmtId="0" fontId="28" fillId="0" borderId="0" xfId="77" applyFont="1"/>
    <xf numFmtId="49" fontId="22" fillId="0" borderId="2" xfId="60" applyBorder="1" applyAlignment="1">
      <alignment vertical="top"/>
    </xf>
    <xf numFmtId="171" fontId="6" fillId="43" borderId="0" xfId="61" applyNumberFormat="1">
      <alignment vertical="top"/>
    </xf>
    <xf numFmtId="170" fontId="6" fillId="0" borderId="0" xfId="62" applyNumberFormat="1" applyFill="1">
      <alignment vertical="top"/>
    </xf>
    <xf numFmtId="168" fontId="6" fillId="12" borderId="0" xfId="63" applyNumberFormat="1" applyFill="1">
      <alignment vertical="top"/>
    </xf>
    <xf numFmtId="168" fontId="6" fillId="46" borderId="0" xfId="4" applyNumberFormat="1" applyFill="1">
      <alignment vertical="top"/>
    </xf>
    <xf numFmtId="0" fontId="15" fillId="46" borderId="0" xfId="4" applyFont="1" applyFill="1">
      <alignment vertical="top"/>
    </xf>
    <xf numFmtId="41" fontId="6" fillId="46" borderId="0" xfId="10" applyFill="1">
      <alignment vertical="top"/>
    </xf>
    <xf numFmtId="171" fontId="6" fillId="46" borderId="0" xfId="61" applyNumberFormat="1" applyFill="1">
      <alignment vertical="top"/>
    </xf>
    <xf numFmtId="41" fontId="6" fillId="46" borderId="0" xfId="61" applyNumberFormat="1" applyFill="1">
      <alignment vertical="top"/>
    </xf>
    <xf numFmtId="0" fontId="10" fillId="0" borderId="0" xfId="4" applyFont="1" applyAlignment="1">
      <alignment vertical="top" wrapText="1"/>
    </xf>
    <xf numFmtId="41" fontId="6" fillId="0" borderId="0" xfId="4" applyNumberFormat="1">
      <alignment vertical="top"/>
    </xf>
    <xf numFmtId="172" fontId="6" fillId="46" borderId="0" xfId="65" applyNumberFormat="1" applyFill="1">
      <alignment vertical="top"/>
    </xf>
    <xf numFmtId="0" fontId="6" fillId="0" borderId="0" xfId="4" applyAlignment="1">
      <alignment horizontal="center" vertical="top"/>
    </xf>
    <xf numFmtId="0" fontId="6" fillId="0" borderId="0" xfId="4" applyAlignment="1">
      <alignment horizontal="center" vertical="top" wrapText="1"/>
    </xf>
    <xf numFmtId="0" fontId="6" fillId="0" borderId="14" xfId="4" applyBorder="1" applyAlignment="1">
      <alignment horizontal="center" vertical="top" wrapText="1"/>
    </xf>
    <xf numFmtId="0" fontId="6" fillId="46" borderId="0" xfId="4" applyFill="1" applyAlignment="1">
      <alignment horizontal="center" vertical="top"/>
    </xf>
    <xf numFmtId="0" fontId="33" fillId="5" borderId="1" xfId="5" applyNumberFormat="1" applyFont="1">
      <alignment vertical="top"/>
    </xf>
    <xf numFmtId="168" fontId="6" fillId="12" borderId="0" xfId="12" applyNumberFormat="1">
      <alignment vertical="top"/>
    </xf>
    <xf numFmtId="168" fontId="6" fillId="45" borderId="0" xfId="10" applyNumberFormat="1">
      <alignment vertical="top"/>
    </xf>
    <xf numFmtId="41" fontId="6" fillId="8" borderId="0" xfId="11">
      <alignment vertical="top"/>
    </xf>
    <xf numFmtId="0" fontId="6" fillId="45" borderId="0" xfId="10" applyNumberFormat="1">
      <alignment vertical="top"/>
    </xf>
    <xf numFmtId="0" fontId="6" fillId="11" borderId="0" xfId="8" applyNumberFormat="1">
      <alignment vertical="top"/>
    </xf>
    <xf numFmtId="0" fontId="6" fillId="10" borderId="0" xfId="9" applyNumberFormat="1">
      <alignment vertical="top"/>
    </xf>
    <xf numFmtId="0" fontId="6" fillId="8" borderId="0" xfId="11" applyNumberFormat="1">
      <alignment vertical="top"/>
    </xf>
    <xf numFmtId="0" fontId="0" fillId="46" borderId="3" xfId="0" applyFill="1" applyBorder="1">
      <alignment vertical="top"/>
    </xf>
    <xf numFmtId="0" fontId="0" fillId="46" borderId="0" xfId="0" applyFill="1">
      <alignment vertical="top"/>
    </xf>
    <xf numFmtId="49" fontId="6" fillId="18" borderId="0" xfId="6" applyFont="1" applyBorder="1">
      <alignment vertical="top"/>
    </xf>
    <xf numFmtId="49" fontId="11" fillId="0" borderId="0" xfId="13" applyAlignment="1">
      <alignment horizontal="center" vertical="top"/>
    </xf>
    <xf numFmtId="165" fontId="6" fillId="43" borderId="0" xfId="61" applyNumberFormat="1">
      <alignment vertical="top"/>
    </xf>
    <xf numFmtId="173" fontId="6" fillId="43" borderId="0" xfId="61" applyNumberFormat="1">
      <alignment vertical="top"/>
    </xf>
    <xf numFmtId="0" fontId="6" fillId="0" borderId="0" xfId="4" applyAlignment="1">
      <alignment horizontal="left" vertical="top" indent="1"/>
    </xf>
    <xf numFmtId="168" fontId="6" fillId="9" borderId="0" xfId="65" applyNumberFormat="1">
      <alignment vertical="top"/>
    </xf>
    <xf numFmtId="0" fontId="6" fillId="0" borderId="2" xfId="4" applyFont="1" applyBorder="1">
      <alignment vertical="top"/>
    </xf>
    <xf numFmtId="0" fontId="6" fillId="0" borderId="0" xfId="4" applyFont="1">
      <alignment vertical="top"/>
    </xf>
    <xf numFmtId="41" fontId="6" fillId="10" borderId="0" xfId="9" quotePrefix="1">
      <alignment vertical="top"/>
    </xf>
    <xf numFmtId="41" fontId="6" fillId="12" borderId="0" xfId="12" quotePrefix="1">
      <alignment vertical="top"/>
    </xf>
    <xf numFmtId="41" fontId="6" fillId="47" borderId="0" xfId="10" applyFill="1">
      <alignment vertical="top"/>
    </xf>
    <xf numFmtId="0" fontId="6" fillId="0" borderId="0" xfId="4" applyAlignment="1">
      <alignment horizontal="left" vertical="top" wrapText="1"/>
    </xf>
    <xf numFmtId="49" fontId="22" fillId="0" borderId="0" xfId="60" applyAlignment="1">
      <alignment horizontal="left" vertical="top" wrapText="1"/>
    </xf>
    <xf numFmtId="0" fontId="6" fillId="0" borderId="0" xfId="4" quotePrefix="1" applyAlignment="1">
      <alignment horizontal="left" vertical="top" wrapText="1"/>
    </xf>
    <xf numFmtId="49" fontId="7" fillId="0" borderId="0" xfId="7" applyAlignment="1">
      <alignment horizontal="left" vertical="top"/>
    </xf>
    <xf numFmtId="0" fontId="10" fillId="0" borderId="0" xfId="4" applyFont="1" applyAlignment="1">
      <alignment horizontal="left" vertical="top" wrapText="1"/>
    </xf>
  </cellXfs>
  <cellStyles count="80">
    <cellStyle name="_x000d__x000a_JournalTemplate=C:\COMFO\CTALK\JOURSTD.TPL_x000d__x000a_LbStateAddress=3 3 0 251 1 89 2 311_x000d__x000a_LbStateJou_01. TS-TAR(i)-12-09" xfId="78" xr:uid="{00000000-0005-0000-0000-000000000000}"/>
    <cellStyle name="_kop1 Bladtitel" xfId="5" xr:uid="{00000000-0005-0000-0000-000001000000}"/>
    <cellStyle name="_kop2 Bloktitel" xfId="6" xr:uid="{00000000-0005-0000-0000-000003000000}"/>
    <cellStyle name="_kop3 Subkop" xfId="7" xr:uid="{00000000-0005-0000-0000-000005000000}"/>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ad" xfId="64" hidden="1" xr:uid="{00000000-0005-0000-0000-00001E000000}"/>
    <cellStyle name="Berekening" xfId="17" builtinId="22" hidden="1"/>
    <cellStyle name="Cel (tussen)resultaat" xfId="8" xr:uid="{00000000-0005-0000-0000-000020000000}"/>
    <cellStyle name="Cel Berekening" xfId="9" xr:uid="{00000000-0005-0000-0000-000022000000}"/>
    <cellStyle name="Cel Bijzonderheid 2" xfId="65" xr:uid="{00000000-0005-0000-0000-000025000000}"/>
    <cellStyle name="Cel Dataverzoek 2" xfId="76" xr:uid="{00000000-0005-0000-0000-000026000000}"/>
    <cellStyle name="Cel Input" xfId="10" xr:uid="{00000000-0005-0000-0000-000027000000}"/>
    <cellStyle name="Cel n.v.t. (leeg)" xfId="61" xr:uid="{00000000-0005-0000-0000-000029000000}"/>
    <cellStyle name="Cel PM extern" xfId="11" xr:uid="{00000000-0005-0000-0000-00002A000000}"/>
    <cellStyle name="Cel Verwijzing" xfId="12" xr:uid="{00000000-0005-0000-0000-00002C000000}"/>
    <cellStyle name="Check Cell" xfId="68" hidden="1" xr:uid="{00000000-0005-0000-0000-00002E000000}"/>
    <cellStyle name="Controlecel" xfId="19" builtinId="23" hidden="1"/>
    <cellStyle name="Explanatory Text" xfId="74" hidden="1" xr:uid="{00000000-0005-0000-0000-000030000000}"/>
    <cellStyle name="Gekoppelde cel" xfId="18" builtinId="24" hidden="1"/>
    <cellStyle name="Gevolgde hyperlink" xfId="59" builtinId="9" hidden="1"/>
    <cellStyle name="Goed" xfId="1" builtinId="26" hidden="1"/>
    <cellStyle name="Heading 1" xfId="70" hidden="1" xr:uid="{00000000-0005-0000-0000-000034000000}"/>
    <cellStyle name="Heading 2" xfId="71" hidden="1" xr:uid="{00000000-0005-0000-0000-000035000000}"/>
    <cellStyle name="Heading 3" xfId="72" hidden="1" xr:uid="{00000000-0005-0000-0000-000036000000}"/>
    <cellStyle name="Heading 4" xfId="73" hidden="1" xr:uid="{00000000-0005-0000-0000-000037000000}"/>
    <cellStyle name="Hyperlink" xfId="21" builtinId="8" hidden="1"/>
    <cellStyle name="Hyperlink" xfId="60" builtinId="8" customBuiltin="1"/>
    <cellStyle name="Input" xfId="66" hidden="1" xr:uid="{00000000-0005-0000-0000-00003A000000}"/>
    <cellStyle name="Invoer" xfId="15" builtinId="20" hidden="1"/>
    <cellStyle name="Komma" xfId="22" builtinId="3" hidden="1"/>
    <cellStyle name="Komma" xfId="62" builtinId="3"/>
    <cellStyle name="Komma [0]" xfId="23" builtinId="6" hidden="1"/>
    <cellStyle name="Komma 14" xfId="75" xr:uid="{00000000-0005-0000-0000-00003F000000}"/>
    <cellStyle name="Komma 2 5" xfId="79" xr:uid="{00000000-0005-0000-0000-000040000000}"/>
    <cellStyle name="Kop 1" xfId="28" builtinId="16" hidden="1"/>
    <cellStyle name="Kop 2" xfId="29" builtinId="17" hidden="1"/>
    <cellStyle name="Kop 3" xfId="30" builtinId="18" hidden="1"/>
    <cellStyle name="Kop 4" xfId="31" builtinId="19" hidden="1"/>
    <cellStyle name="Neutraal" xfId="3" builtinId="28" hidden="1"/>
    <cellStyle name="Note" xfId="69" hidden="1" xr:uid="{00000000-0005-0000-0000-000046000000}"/>
    <cellStyle name="Notitie" xfId="20" builtinId="10" hidden="1"/>
    <cellStyle name="Ongeldig" xfId="2" builtinId="27" hidden="1"/>
    <cellStyle name="Opm. INTERN" xfId="13" xr:uid="{00000000-0005-0000-0000-000049000000}"/>
    <cellStyle name="Output" xfId="67" hidden="1" xr:uid="{00000000-0005-0000-0000-00004A000000}"/>
    <cellStyle name="Procent" xfId="26" builtinId="5" hidden="1"/>
    <cellStyle name="Procent" xfId="63" builtinId="5"/>
    <cellStyle name="Standaard" xfId="0" builtinId="0" customBuiltin="1"/>
    <cellStyle name="Standaard 32" xfId="77" xr:uid="{00000000-0005-0000-0000-00004E000000}"/>
    <cellStyle name="Standaard ACM-DE" xfId="4" xr:uid="{00000000-0005-0000-0000-00004F000000}"/>
    <cellStyle name="Titel" xfId="27" builtinId="15" hidden="1"/>
    <cellStyle name="Toelichting" xfId="14" xr:uid="{00000000-0005-0000-0000-000051000000}"/>
    <cellStyle name="Totaal" xfId="34" builtinId="25" hidden="1"/>
    <cellStyle name="Uitvoer" xfId="16" builtinId="21" hidden="1"/>
    <cellStyle name="Valuta" xfId="24" builtinId="4" hidden="1"/>
    <cellStyle name="Valuta [0]" xfId="25" builtinId="7" hidden="1"/>
    <cellStyle name="Verklarende tekst" xfId="33" builtinId="53" hidden="1"/>
    <cellStyle name="Waarschuwingstekst" xfId="32" builtinId="11" hidden="1"/>
  </cellStyles>
  <dxfs count="0"/>
  <tableStyles count="0" defaultTableStyle="TableStyleMedium2" defaultPivotStyle="PivotStyleLight16"/>
  <colors>
    <mruColors>
      <color rgb="FFCCFFFF"/>
      <color rgb="FFFFCC99"/>
      <color rgb="FFFFFFCC"/>
      <color rgb="FFE1FFE1"/>
      <color rgb="FFFF66FF"/>
      <color rgb="FFCCC8D9"/>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1341437</xdr:colOff>
      <xdr:row>25</xdr:row>
      <xdr:rowOff>7938</xdr:rowOff>
    </xdr:from>
    <xdr:to>
      <xdr:col>7</xdr:col>
      <xdr:colOff>1341437</xdr:colOff>
      <xdr:row>26</xdr:row>
      <xdr:rowOff>142875</xdr:rowOff>
    </xdr:to>
    <xdr:cxnSp macro="">
      <xdr:nvCxnSpPr>
        <xdr:cNvPr id="5" name="Straight Arrow Connector 12">
          <a:extLst>
            <a:ext uri="{FF2B5EF4-FFF2-40B4-BE49-F238E27FC236}">
              <a16:creationId xmlns:a16="http://schemas.microsoft.com/office/drawing/2014/main" id="{00000000-0008-0000-0400-000005000000}"/>
            </a:ext>
          </a:extLst>
        </xdr:cNvPr>
        <xdr:cNvCxnSpPr/>
      </xdr:nvCxnSpPr>
      <xdr:spPr>
        <a:xfrm>
          <a:off x="7437437" y="4446588"/>
          <a:ext cx="0" cy="29686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38</xdr:row>
      <xdr:rowOff>63500</xdr:rowOff>
    </xdr:from>
    <xdr:to>
      <xdr:col>9</xdr:col>
      <xdr:colOff>1333500</xdr:colOff>
      <xdr:row>38</xdr:row>
      <xdr:rowOff>63501</xdr:rowOff>
    </xdr:to>
    <xdr:cxnSp macro="">
      <xdr:nvCxnSpPr>
        <xdr:cNvPr id="7" name="Straight Arrow Connector 19">
          <a:extLst>
            <a:ext uri="{FF2B5EF4-FFF2-40B4-BE49-F238E27FC236}">
              <a16:creationId xmlns:a16="http://schemas.microsoft.com/office/drawing/2014/main" id="{00000000-0008-0000-0400-000007000000}"/>
            </a:ext>
          </a:extLst>
        </xdr:cNvPr>
        <xdr:cNvCxnSpPr/>
      </xdr:nvCxnSpPr>
      <xdr:spPr>
        <a:xfrm>
          <a:off x="9023350" y="660717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25977</xdr:colOff>
      <xdr:row>38</xdr:row>
      <xdr:rowOff>51954</xdr:rowOff>
    </xdr:from>
    <xdr:to>
      <xdr:col>13</xdr:col>
      <xdr:colOff>1327727</xdr:colOff>
      <xdr:row>38</xdr:row>
      <xdr:rowOff>51955</xdr:rowOff>
    </xdr:to>
    <xdr:cxnSp macro="">
      <xdr:nvCxnSpPr>
        <xdr:cNvPr id="8" name="Straight Arrow Connector 21">
          <a:extLst>
            <a:ext uri="{FF2B5EF4-FFF2-40B4-BE49-F238E27FC236}">
              <a16:creationId xmlns:a16="http://schemas.microsoft.com/office/drawing/2014/main" id="{00000000-0008-0000-0400-000008000000}"/>
            </a:ext>
          </a:extLst>
        </xdr:cNvPr>
        <xdr:cNvCxnSpPr/>
      </xdr:nvCxnSpPr>
      <xdr:spPr>
        <a:xfrm>
          <a:off x="13741977" y="6595629"/>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33</xdr:row>
      <xdr:rowOff>158750</xdr:rowOff>
    </xdr:from>
    <xdr:to>
      <xdr:col>9</xdr:col>
      <xdr:colOff>1333500</xdr:colOff>
      <xdr:row>37</xdr:row>
      <xdr:rowOff>95250</xdr:rowOff>
    </xdr:to>
    <xdr:cxnSp macro="">
      <xdr:nvCxnSpPr>
        <xdr:cNvPr id="10" name="Elbow Connector 24">
          <a:extLst>
            <a:ext uri="{FF2B5EF4-FFF2-40B4-BE49-F238E27FC236}">
              <a16:creationId xmlns:a16="http://schemas.microsoft.com/office/drawing/2014/main" id="{00000000-0008-0000-0400-00000A000000}"/>
            </a:ext>
          </a:extLst>
        </xdr:cNvPr>
        <xdr:cNvCxnSpPr/>
      </xdr:nvCxnSpPr>
      <xdr:spPr>
        <a:xfrm>
          <a:off x="9023350" y="5892800"/>
          <a:ext cx="1301750" cy="58420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31750</xdr:colOff>
      <xdr:row>39</xdr:row>
      <xdr:rowOff>50800</xdr:rowOff>
    </xdr:from>
    <xdr:to>
      <xdr:col>9</xdr:col>
      <xdr:colOff>1327150</xdr:colOff>
      <xdr:row>43</xdr:row>
      <xdr:rowOff>6350</xdr:rowOff>
    </xdr:to>
    <xdr:cxnSp macro="">
      <xdr:nvCxnSpPr>
        <xdr:cNvPr id="11" name="Elbow Connector 25">
          <a:extLst>
            <a:ext uri="{FF2B5EF4-FFF2-40B4-BE49-F238E27FC236}">
              <a16:creationId xmlns:a16="http://schemas.microsoft.com/office/drawing/2014/main" id="{00000000-0008-0000-0400-00000B000000}"/>
            </a:ext>
          </a:extLst>
        </xdr:cNvPr>
        <xdr:cNvCxnSpPr/>
      </xdr:nvCxnSpPr>
      <xdr:spPr>
        <a:xfrm flipV="1">
          <a:off x="9023350" y="6756400"/>
          <a:ext cx="1295400" cy="603250"/>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39688</xdr:colOff>
      <xdr:row>13</xdr:row>
      <xdr:rowOff>63500</xdr:rowOff>
    </xdr:from>
    <xdr:to>
      <xdr:col>9</xdr:col>
      <xdr:colOff>1341438</xdr:colOff>
      <xdr:row>13</xdr:row>
      <xdr:rowOff>63501</xdr:rowOff>
    </xdr:to>
    <xdr:cxnSp macro="">
      <xdr:nvCxnSpPr>
        <xdr:cNvPr id="13" name="Straight Arrow Connector 17">
          <a:extLst>
            <a:ext uri="{FF2B5EF4-FFF2-40B4-BE49-F238E27FC236}">
              <a16:creationId xmlns:a16="http://schemas.microsoft.com/office/drawing/2014/main" id="{00000000-0008-0000-0400-00000D000000}"/>
            </a:ext>
          </a:extLst>
        </xdr:cNvPr>
        <xdr:cNvCxnSpPr/>
      </xdr:nvCxnSpPr>
      <xdr:spPr>
        <a:xfrm>
          <a:off x="9031288" y="2559050"/>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27214</xdr:colOff>
      <xdr:row>13</xdr:row>
      <xdr:rowOff>54428</xdr:rowOff>
    </xdr:from>
    <xdr:to>
      <xdr:col>5</xdr:col>
      <xdr:colOff>1328964</xdr:colOff>
      <xdr:row>13</xdr:row>
      <xdr:rowOff>54429</xdr:rowOff>
    </xdr:to>
    <xdr:cxnSp macro="">
      <xdr:nvCxnSpPr>
        <xdr:cNvPr id="14" name="Straight Arrow Connector 20">
          <a:extLst>
            <a:ext uri="{FF2B5EF4-FFF2-40B4-BE49-F238E27FC236}">
              <a16:creationId xmlns:a16="http://schemas.microsoft.com/office/drawing/2014/main" id="{00000000-0008-0000-0400-00000E000000}"/>
            </a:ext>
          </a:extLst>
        </xdr:cNvPr>
        <xdr:cNvCxnSpPr/>
      </xdr:nvCxnSpPr>
      <xdr:spPr>
        <a:xfrm>
          <a:off x="4561114" y="2549978"/>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83344</xdr:rowOff>
    </xdr:from>
    <xdr:to>
      <xdr:col>11</xdr:col>
      <xdr:colOff>1375172</xdr:colOff>
      <xdr:row>10</xdr:row>
      <xdr:rowOff>83344</xdr:rowOff>
    </xdr:to>
    <xdr:cxnSp macro="">
      <xdr:nvCxnSpPr>
        <xdr:cNvPr id="15" name="Straight Connector 23">
          <a:extLst>
            <a:ext uri="{FF2B5EF4-FFF2-40B4-BE49-F238E27FC236}">
              <a16:creationId xmlns:a16="http://schemas.microsoft.com/office/drawing/2014/main" id="{00000000-0008-0000-0400-00000F000000}"/>
            </a:ext>
          </a:extLst>
        </xdr:cNvPr>
        <xdr:cNvCxnSpPr/>
      </xdr:nvCxnSpPr>
      <xdr:spPr>
        <a:xfrm flipH="1">
          <a:off x="3007519" y="2093119"/>
          <a:ext cx="90547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1369219</xdr:colOff>
      <xdr:row>10</xdr:row>
      <xdr:rowOff>95251</xdr:rowOff>
    </xdr:from>
    <xdr:to>
      <xdr:col>3</xdr:col>
      <xdr:colOff>1369219</xdr:colOff>
      <xdr:row>11</xdr:row>
      <xdr:rowOff>158751</xdr:rowOff>
    </xdr:to>
    <xdr:cxnSp macro="">
      <xdr:nvCxnSpPr>
        <xdr:cNvPr id="16" name="Straight Connector 26">
          <a:extLst>
            <a:ext uri="{FF2B5EF4-FFF2-40B4-BE49-F238E27FC236}">
              <a16:creationId xmlns:a16="http://schemas.microsoft.com/office/drawing/2014/main" id="{00000000-0008-0000-0400-000010000000}"/>
            </a:ext>
          </a:extLst>
        </xdr:cNvPr>
        <xdr:cNvCxnSpPr/>
      </xdr:nvCxnSpPr>
      <xdr:spPr>
        <a:xfrm flipV="1">
          <a:off x="3007519" y="2105026"/>
          <a:ext cx="0" cy="225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1381126</xdr:colOff>
      <xdr:row>10</xdr:row>
      <xdr:rowOff>95250</xdr:rowOff>
    </xdr:from>
    <xdr:to>
      <xdr:col>11</xdr:col>
      <xdr:colOff>1381126</xdr:colOff>
      <xdr:row>12</xdr:row>
      <xdr:rowOff>11907</xdr:rowOff>
    </xdr:to>
    <xdr:cxnSp macro="">
      <xdr:nvCxnSpPr>
        <xdr:cNvPr id="17" name="Straight Arrow Connector 27">
          <a:extLst>
            <a:ext uri="{FF2B5EF4-FFF2-40B4-BE49-F238E27FC236}">
              <a16:creationId xmlns:a16="http://schemas.microsoft.com/office/drawing/2014/main" id="{00000000-0008-0000-0400-000011000000}"/>
            </a:ext>
          </a:extLst>
        </xdr:cNvPr>
        <xdr:cNvCxnSpPr/>
      </xdr:nvCxnSpPr>
      <xdr:spPr>
        <a:xfrm>
          <a:off x="12068176" y="2105025"/>
          <a:ext cx="0" cy="24050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6070</xdr:colOff>
      <xdr:row>22</xdr:row>
      <xdr:rowOff>92447</xdr:rowOff>
    </xdr:from>
    <xdr:to>
      <xdr:col>5</xdr:col>
      <xdr:colOff>1374070</xdr:colOff>
      <xdr:row>22</xdr:row>
      <xdr:rowOff>92448</xdr:rowOff>
    </xdr:to>
    <xdr:cxnSp macro="">
      <xdr:nvCxnSpPr>
        <xdr:cNvPr id="25" name="Straight Arrow Connector 4">
          <a:extLst>
            <a:ext uri="{FF2B5EF4-FFF2-40B4-BE49-F238E27FC236}">
              <a16:creationId xmlns:a16="http://schemas.microsoft.com/office/drawing/2014/main" id="{BA910354-CD7B-42BC-880B-6B7F9E0102E9}"/>
            </a:ext>
          </a:extLst>
        </xdr:cNvPr>
        <xdr:cNvCxnSpPr/>
      </xdr:nvCxnSpPr>
      <xdr:spPr>
        <a:xfrm>
          <a:off x="4673320" y="4712072"/>
          <a:ext cx="1368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9338</xdr:colOff>
      <xdr:row>32</xdr:row>
      <xdr:rowOff>127934</xdr:rowOff>
    </xdr:from>
    <xdr:to>
      <xdr:col>5</xdr:col>
      <xdr:colOff>1377338</xdr:colOff>
      <xdr:row>32</xdr:row>
      <xdr:rowOff>127935</xdr:rowOff>
    </xdr:to>
    <xdr:cxnSp macro="">
      <xdr:nvCxnSpPr>
        <xdr:cNvPr id="26" name="Straight Arrow Connector 14">
          <a:extLst>
            <a:ext uri="{FF2B5EF4-FFF2-40B4-BE49-F238E27FC236}">
              <a16:creationId xmlns:a16="http://schemas.microsoft.com/office/drawing/2014/main" id="{4B3EA532-BC53-4A37-84BE-9D4F04E4B4F2}"/>
            </a:ext>
          </a:extLst>
        </xdr:cNvPr>
        <xdr:cNvCxnSpPr/>
      </xdr:nvCxnSpPr>
      <xdr:spPr>
        <a:xfrm>
          <a:off x="4676588" y="6366809"/>
          <a:ext cx="136800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174158</xdr:colOff>
      <xdr:row>44</xdr:row>
      <xdr:rowOff>52294</xdr:rowOff>
    </xdr:from>
    <xdr:to>
      <xdr:col>5</xdr:col>
      <xdr:colOff>1362864</xdr:colOff>
      <xdr:row>44</xdr:row>
      <xdr:rowOff>52295</xdr:rowOff>
    </xdr:to>
    <xdr:cxnSp macro="">
      <xdr:nvCxnSpPr>
        <xdr:cNvPr id="27" name="Straight Arrow Connector 16">
          <a:extLst>
            <a:ext uri="{FF2B5EF4-FFF2-40B4-BE49-F238E27FC236}">
              <a16:creationId xmlns:a16="http://schemas.microsoft.com/office/drawing/2014/main" id="{2CBA1583-1092-476A-A6C1-CE3B0AECD777}"/>
            </a:ext>
          </a:extLst>
        </xdr:cNvPr>
        <xdr:cNvCxnSpPr/>
      </xdr:nvCxnSpPr>
      <xdr:spPr>
        <a:xfrm>
          <a:off x="4660433" y="8234269"/>
          <a:ext cx="1369681"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2801</xdr:colOff>
      <xdr:row>33</xdr:row>
      <xdr:rowOff>91549</xdr:rowOff>
    </xdr:from>
    <xdr:to>
      <xdr:col>5</xdr:col>
      <xdr:colOff>1370801</xdr:colOff>
      <xdr:row>38</xdr:row>
      <xdr:rowOff>99137</xdr:rowOff>
    </xdr:to>
    <xdr:cxnSp macro="">
      <xdr:nvCxnSpPr>
        <xdr:cNvPr id="28" name="Elbow Connector 18">
          <a:extLst>
            <a:ext uri="{FF2B5EF4-FFF2-40B4-BE49-F238E27FC236}">
              <a16:creationId xmlns:a16="http://schemas.microsoft.com/office/drawing/2014/main" id="{4ED0B05A-C2AF-478D-9A13-AB6C785A101C}"/>
            </a:ext>
          </a:extLst>
        </xdr:cNvPr>
        <xdr:cNvCxnSpPr/>
      </xdr:nvCxnSpPr>
      <xdr:spPr>
        <a:xfrm>
          <a:off x="4670051" y="6492349"/>
          <a:ext cx="1368000" cy="817213"/>
        </a:xfrm>
        <a:prstGeom prst="bentConnector3">
          <a:avLst>
            <a:gd name="adj1" fmla="val 54658"/>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11204</xdr:colOff>
      <xdr:row>23</xdr:row>
      <xdr:rowOff>78441</xdr:rowOff>
    </xdr:from>
    <xdr:to>
      <xdr:col>6</xdr:col>
      <xdr:colOff>880</xdr:colOff>
      <xdr:row>28</xdr:row>
      <xdr:rowOff>86029</xdr:rowOff>
    </xdr:to>
    <xdr:cxnSp macro="">
      <xdr:nvCxnSpPr>
        <xdr:cNvPr id="29" name="Elbow Connector 22">
          <a:extLst>
            <a:ext uri="{FF2B5EF4-FFF2-40B4-BE49-F238E27FC236}">
              <a16:creationId xmlns:a16="http://schemas.microsoft.com/office/drawing/2014/main" id="{13D4D0DC-3F74-4974-9D33-C953CD19B22A}"/>
            </a:ext>
          </a:extLst>
        </xdr:cNvPr>
        <xdr:cNvCxnSpPr/>
      </xdr:nvCxnSpPr>
      <xdr:spPr>
        <a:xfrm>
          <a:off x="4678454" y="4859991"/>
          <a:ext cx="1370801" cy="817213"/>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10404</xdr:colOff>
      <xdr:row>34</xdr:row>
      <xdr:rowOff>64034</xdr:rowOff>
    </xdr:from>
    <xdr:to>
      <xdr:col>6</xdr:col>
      <xdr:colOff>80</xdr:colOff>
      <xdr:row>43</xdr:row>
      <xdr:rowOff>92093</xdr:rowOff>
    </xdr:to>
    <xdr:cxnSp macro="">
      <xdr:nvCxnSpPr>
        <xdr:cNvPr id="30" name="Elbow Connector 13">
          <a:extLst>
            <a:ext uri="{FF2B5EF4-FFF2-40B4-BE49-F238E27FC236}">
              <a16:creationId xmlns:a16="http://schemas.microsoft.com/office/drawing/2014/main" id="{EDDD3DF0-480F-45C2-8AFD-289370EE8F8B}"/>
            </a:ext>
          </a:extLst>
        </xdr:cNvPr>
        <xdr:cNvCxnSpPr/>
      </xdr:nvCxnSpPr>
      <xdr:spPr>
        <a:xfrm>
          <a:off x="4677654" y="6626759"/>
          <a:ext cx="1370801" cy="1485384"/>
        </a:xfrm>
        <a:prstGeom prst="bentConnector3">
          <a:avLst>
            <a:gd name="adj1" fmla="val 30886"/>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11204</xdr:colOff>
      <xdr:row>24</xdr:row>
      <xdr:rowOff>56030</xdr:rowOff>
    </xdr:from>
    <xdr:to>
      <xdr:col>6</xdr:col>
      <xdr:colOff>880</xdr:colOff>
      <xdr:row>42</xdr:row>
      <xdr:rowOff>112147</xdr:rowOff>
    </xdr:to>
    <xdr:cxnSp macro="">
      <xdr:nvCxnSpPr>
        <xdr:cNvPr id="31" name="Elbow Connector 13">
          <a:extLst>
            <a:ext uri="{FF2B5EF4-FFF2-40B4-BE49-F238E27FC236}">
              <a16:creationId xmlns:a16="http://schemas.microsoft.com/office/drawing/2014/main" id="{B97F9312-9EE9-435E-A123-5C06430DAA66}"/>
            </a:ext>
          </a:extLst>
        </xdr:cNvPr>
        <xdr:cNvCxnSpPr/>
      </xdr:nvCxnSpPr>
      <xdr:spPr>
        <a:xfrm>
          <a:off x="4678454" y="4999505"/>
          <a:ext cx="1370801" cy="2970767"/>
        </a:xfrm>
        <a:prstGeom prst="bentConnector3">
          <a:avLst>
            <a:gd name="adj1" fmla="val 40859"/>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gewijzigd-methodebesluit-tennet-net-op-zee-2017-2021" TargetMode="External"/><Relationship Id="rId2" Type="http://schemas.openxmlformats.org/officeDocument/2006/relationships/hyperlink" Target="https://opendata.cbs.nl/statline/" TargetMode="External"/><Relationship Id="rId1" Type="http://schemas.openxmlformats.org/officeDocument/2006/relationships/hyperlink" Target="https://support.office.com/nl-nl/article/de-invoegtoepassing-oplosser-laden-in-excel-612926fc-d53b-46b4-872c-e24772f078ca" TargetMode="External"/><Relationship Id="rId6" Type="http://schemas.openxmlformats.org/officeDocument/2006/relationships/printerSettings" Target="../printerSettings/printerSettings3.bin"/><Relationship Id="rId5" Type="http://schemas.openxmlformats.org/officeDocument/2006/relationships/hyperlink" Target="https://www.acm.nl/nl/publicaties/gewijzigd-methodebesluit-tennet-net-op-zee-2022-2026" TargetMode="External"/><Relationship Id="rId4" Type="http://schemas.openxmlformats.org/officeDocument/2006/relationships/hyperlink" Target="https://uitspraken.rechtspraak.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CCC8D9"/>
  </sheetPr>
  <dimension ref="B2:D37"/>
  <sheetViews>
    <sheetView showGridLines="0" tabSelected="1" zoomScale="85" zoomScaleNormal="85" workbookViewId="0"/>
  </sheetViews>
  <sheetFormatPr defaultColWidth="9.140625" defaultRowHeight="12.75"/>
  <cols>
    <col min="1" max="1" width="4.7109375" style="9" customWidth="1"/>
    <col min="2" max="2" width="39.85546875" style="9" customWidth="1"/>
    <col min="3" max="3" width="91.85546875" style="9" customWidth="1"/>
    <col min="4" max="16384" width="9.140625" style="9"/>
  </cols>
  <sheetData>
    <row r="2" spans="2:3" s="14" customFormat="1" ht="18">
      <c r="B2" s="14" t="s">
        <v>0</v>
      </c>
    </row>
    <row r="6" spans="2:3">
      <c r="B6" s="10"/>
    </row>
    <row r="13" spans="2:3" s="15" customFormat="1">
      <c r="B13" s="15" t="s">
        <v>1</v>
      </c>
    </row>
    <row r="15" spans="2:3">
      <c r="B15" s="16" t="s">
        <v>2</v>
      </c>
      <c r="C15" s="17" t="s">
        <v>415</v>
      </c>
    </row>
    <row r="16" spans="2:3">
      <c r="B16" s="16" t="s">
        <v>3</v>
      </c>
      <c r="C16" s="17" t="s">
        <v>432</v>
      </c>
    </row>
    <row r="17" spans="2:3">
      <c r="B17" s="16" t="s">
        <v>4</v>
      </c>
      <c r="C17" s="17" t="s">
        <v>409</v>
      </c>
    </row>
    <row r="18" spans="2:3">
      <c r="B18" s="16" t="s">
        <v>5</v>
      </c>
      <c r="C18" s="17" t="s">
        <v>416</v>
      </c>
    </row>
    <row r="19" spans="2:3">
      <c r="B19" s="16" t="s">
        <v>6</v>
      </c>
      <c r="C19" s="17" t="s">
        <v>409</v>
      </c>
    </row>
    <row r="20" spans="2:3">
      <c r="B20" s="16" t="s">
        <v>7</v>
      </c>
      <c r="C20" s="17" t="s">
        <v>417</v>
      </c>
    </row>
    <row r="21" spans="2:3">
      <c r="B21" s="16" t="s">
        <v>8</v>
      </c>
      <c r="C21" s="17" t="s">
        <v>441</v>
      </c>
    </row>
    <row r="22" spans="2:3">
      <c r="B22" s="16" t="s">
        <v>9</v>
      </c>
      <c r="C22" s="17" t="s">
        <v>409</v>
      </c>
    </row>
    <row r="25" spans="2:3" s="15" customFormat="1">
      <c r="B25" s="15" t="s">
        <v>10</v>
      </c>
    </row>
    <row r="27" spans="2:3">
      <c r="B27" s="16" t="s">
        <v>11</v>
      </c>
      <c r="C27" s="17" t="s">
        <v>157</v>
      </c>
    </row>
    <row r="28" spans="2:3">
      <c r="B28" s="17" t="s">
        <v>68</v>
      </c>
      <c r="C28" s="17" t="s">
        <v>157</v>
      </c>
    </row>
    <row r="29" spans="2:3" ht="25.5">
      <c r="B29" s="16" t="s">
        <v>12</v>
      </c>
      <c r="C29" s="17" t="s">
        <v>157</v>
      </c>
    </row>
    <row r="30" spans="2:3">
      <c r="B30" s="17" t="s">
        <v>67</v>
      </c>
      <c r="C30" s="17" t="s">
        <v>156</v>
      </c>
    </row>
    <row r="31" spans="2:3">
      <c r="B31" s="16" t="s">
        <v>13</v>
      </c>
      <c r="C31" s="17" t="s">
        <v>410</v>
      </c>
    </row>
    <row r="32" spans="2:3">
      <c r="B32" s="16" t="s">
        <v>9</v>
      </c>
      <c r="C32" s="17" t="s">
        <v>410</v>
      </c>
    </row>
    <row r="34" spans="2:4">
      <c r="B34" s="27"/>
      <c r="C34" s="27"/>
      <c r="D34" s="12"/>
    </row>
    <row r="35" spans="2:4" s="15" customFormat="1">
      <c r="B35" s="15" t="s">
        <v>14</v>
      </c>
    </row>
    <row r="37" spans="2:4">
      <c r="B37" s="9" t="s">
        <v>412</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tabColor rgb="FFFFFFCC"/>
  </sheetPr>
  <dimension ref="B2:R87"/>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40625" defaultRowHeight="12.75"/>
  <cols>
    <col min="1" max="1" width="4.7109375" style="9" customWidth="1"/>
    <col min="2" max="2" width="65.7109375" style="9" customWidth="1"/>
    <col min="3" max="3" width="2.7109375" style="9" customWidth="1"/>
    <col min="4" max="4" width="13.7109375" style="9" customWidth="1"/>
    <col min="5" max="5" width="2.7109375" style="9" customWidth="1"/>
    <col min="6" max="6" width="13.7109375" style="9" customWidth="1"/>
    <col min="7" max="7" width="2.7109375" style="9" customWidth="1"/>
    <col min="8" max="9" width="13.7109375" style="9" customWidth="1"/>
    <col min="10" max="16" width="12.5703125" style="9" customWidth="1"/>
    <col min="17" max="17" width="2.7109375" style="9" customWidth="1"/>
    <col min="18" max="18" width="13.7109375" style="9" customWidth="1"/>
    <col min="19" max="19" width="2.7109375" style="9" customWidth="1"/>
    <col min="20" max="34" width="13.7109375" style="9" customWidth="1"/>
    <col min="35" max="16384" width="9.140625" style="9"/>
  </cols>
  <sheetData>
    <row r="2" spans="2:18" s="23" customFormat="1" ht="18">
      <c r="B2" s="23" t="s">
        <v>88</v>
      </c>
    </row>
    <row r="4" spans="2:18">
      <c r="B4" s="28" t="s">
        <v>56</v>
      </c>
      <c r="J4"/>
    </row>
    <row r="5" spans="2:18" ht="78" customHeight="1">
      <c r="B5" s="120" t="s">
        <v>185</v>
      </c>
      <c r="C5" s="120"/>
      <c r="D5" s="40"/>
      <c r="E5" s="40"/>
      <c r="F5" s="40"/>
      <c r="G5" s="40"/>
      <c r="H5" s="40"/>
    </row>
    <row r="6" spans="2:18">
      <c r="B6" s="40"/>
      <c r="C6" s="40"/>
      <c r="D6" s="40"/>
      <c r="E6" s="40"/>
      <c r="F6" s="40"/>
      <c r="G6" s="40"/>
      <c r="H6" s="40"/>
    </row>
    <row r="7" spans="2:18" s="1" customFormat="1">
      <c r="B7" s="1" t="s">
        <v>45</v>
      </c>
      <c r="D7" s="1" t="s">
        <v>27</v>
      </c>
      <c r="F7" s="1" t="s">
        <v>28</v>
      </c>
      <c r="H7" s="1">
        <v>2018</v>
      </c>
      <c r="I7" s="1">
        <v>2019</v>
      </c>
      <c r="J7" s="1">
        <v>2020</v>
      </c>
      <c r="K7" s="1">
        <v>2021</v>
      </c>
      <c r="L7" s="1">
        <v>2022</v>
      </c>
      <c r="M7" s="1">
        <v>2023</v>
      </c>
      <c r="N7" s="1">
        <v>2024</v>
      </c>
      <c r="O7" s="1">
        <v>2025</v>
      </c>
      <c r="P7" s="1">
        <v>2026</v>
      </c>
      <c r="R7" s="1" t="s">
        <v>47</v>
      </c>
    </row>
    <row r="10" spans="2:18" s="15" customFormat="1">
      <c r="B10" s="15" t="s">
        <v>48</v>
      </c>
    </row>
    <row r="12" spans="2:18">
      <c r="B12" s="8" t="s">
        <v>76</v>
      </c>
    </row>
    <row r="13" spans="2:18">
      <c r="B13" s="9" t="s">
        <v>84</v>
      </c>
      <c r="D13" s="9" t="s">
        <v>75</v>
      </c>
      <c r="F13" s="36"/>
      <c r="H13" s="6">
        <f>'2. Reguleringsparameters'!H22</f>
        <v>1.4E-2</v>
      </c>
      <c r="I13" s="6">
        <f>'2. Reguleringsparameters'!I22</f>
        <v>2.1000000000000001E-2</v>
      </c>
      <c r="J13" s="6">
        <f>'2. Reguleringsparameters'!J22</f>
        <v>2.8000000000000001E-2</v>
      </c>
      <c r="K13" s="6">
        <f>'2. Reguleringsparameters'!K22</f>
        <v>7.0000000000000001E-3</v>
      </c>
      <c r="L13" s="6">
        <f>'2. Reguleringsparameters'!L22</f>
        <v>1.7999999999999999E-2</v>
      </c>
      <c r="M13" s="6">
        <f>'2. Reguleringsparameters'!M22</f>
        <v>1.7999999999999999E-2</v>
      </c>
      <c r="N13" s="6">
        <f>'2. Reguleringsparameters'!N22</f>
        <v>1.7999999999999999E-2</v>
      </c>
      <c r="O13" s="6">
        <f>'2. Reguleringsparameters'!O22</f>
        <v>1.7999999999999999E-2</v>
      </c>
      <c r="P13" s="6">
        <f>'2. Reguleringsparameters'!P22</f>
        <v>1.7999999999999999E-2</v>
      </c>
    </row>
    <row r="15" spans="2:18">
      <c r="B15" s="8" t="s">
        <v>79</v>
      </c>
    </row>
    <row r="16" spans="2:18">
      <c r="B16" s="9" t="s">
        <v>79</v>
      </c>
      <c r="D16" s="9" t="s">
        <v>75</v>
      </c>
      <c r="F16" s="36"/>
      <c r="H16" s="6">
        <f>'2. Reguleringsparameters'!H30</f>
        <v>0</v>
      </c>
      <c r="I16" s="6">
        <f>'2. Reguleringsparameters'!I30</f>
        <v>0</v>
      </c>
      <c r="J16" s="6">
        <f>'2. Reguleringsparameters'!J30</f>
        <v>0</v>
      </c>
      <c r="K16" s="6">
        <f>'2. Reguleringsparameters'!K30</f>
        <v>0</v>
      </c>
      <c r="L16" s="6">
        <f>'2. Reguleringsparameters'!L30</f>
        <v>2E-3</v>
      </c>
      <c r="M16" s="6">
        <f>'2. Reguleringsparameters'!M30</f>
        <v>2E-3</v>
      </c>
      <c r="N16" s="6">
        <f>'2. Reguleringsparameters'!N30</f>
        <v>2E-3</v>
      </c>
      <c r="O16" s="6">
        <f>'2. Reguleringsparameters'!O30</f>
        <v>2E-3</v>
      </c>
      <c r="P16" s="6">
        <f>'2. Reguleringsparameters'!P30</f>
        <v>2E-3</v>
      </c>
    </row>
    <row r="17" spans="2:16" s="46" customFormat="1">
      <c r="F17" s="56"/>
      <c r="H17" s="56"/>
      <c r="I17" s="56"/>
      <c r="J17" s="56"/>
      <c r="K17" s="56"/>
      <c r="L17" s="56"/>
      <c r="M17" s="56"/>
      <c r="N17" s="56"/>
      <c r="O17" s="56"/>
      <c r="P17" s="56"/>
    </row>
    <row r="18" spans="2:16">
      <c r="B18" s="8" t="s">
        <v>153</v>
      </c>
    </row>
    <row r="19" spans="2:16">
      <c r="B19" s="9" t="s">
        <v>124</v>
      </c>
      <c r="D19" s="9" t="s">
        <v>75</v>
      </c>
      <c r="H19" s="43"/>
      <c r="I19" s="43"/>
      <c r="J19" s="43"/>
      <c r="K19" s="43"/>
      <c r="L19" s="6">
        <f>'2. Reguleringsparameters'!L17</f>
        <v>3.6999999999999998E-2</v>
      </c>
      <c r="M19" s="6">
        <f>'2. Reguleringsparameters'!M17</f>
        <v>3.6999999999999998E-2</v>
      </c>
      <c r="N19" s="6">
        <f>'2. Reguleringsparameters'!N17</f>
        <v>4.2000000000000003E-2</v>
      </c>
      <c r="O19" s="6">
        <f>'2. Reguleringsparameters'!O17</f>
        <v>4.2000000000000003E-2</v>
      </c>
      <c r="P19" s="6">
        <f>'2. Reguleringsparameters'!P17</f>
        <v>4.2000000000000003E-2</v>
      </c>
    </row>
    <row r="20" spans="2:16">
      <c r="B20" s="8"/>
    </row>
    <row r="21" spans="2:16" s="15" customFormat="1">
      <c r="B21" s="15" t="s">
        <v>81</v>
      </c>
    </row>
    <row r="23" spans="2:16">
      <c r="B23" s="8" t="s">
        <v>150</v>
      </c>
    </row>
    <row r="24" spans="2:16">
      <c r="B24" s="37"/>
      <c r="F24" s="9" t="s">
        <v>77</v>
      </c>
      <c r="H24" s="9">
        <v>2018</v>
      </c>
      <c r="I24" s="9">
        <v>2019</v>
      </c>
      <c r="J24" s="9">
        <v>2020</v>
      </c>
      <c r="K24" s="9">
        <v>2021</v>
      </c>
      <c r="L24" s="9">
        <v>2022</v>
      </c>
      <c r="M24" s="9">
        <v>2023</v>
      </c>
      <c r="N24" s="9">
        <v>2024</v>
      </c>
      <c r="O24" s="9">
        <v>2025</v>
      </c>
      <c r="P24" s="9">
        <v>2026</v>
      </c>
    </row>
    <row r="25" spans="2:16">
      <c r="B25" s="9">
        <v>2018</v>
      </c>
      <c r="D25" s="9" t="s">
        <v>97</v>
      </c>
      <c r="F25" s="38">
        <f>1+H13</f>
        <v>1.014</v>
      </c>
      <c r="H25" s="9">
        <v>1</v>
      </c>
      <c r="I25" s="38">
        <f>I26*$F26</f>
        <v>1.0209999999999999</v>
      </c>
      <c r="J25" s="38">
        <f t="shared" ref="J25:P31" si="0">J26*$F26</f>
        <v>1.049588</v>
      </c>
      <c r="K25" s="38">
        <f t="shared" si="0"/>
        <v>1.056935116</v>
      </c>
      <c r="L25" s="38">
        <f t="shared" si="0"/>
        <v>1.075959948088</v>
      </c>
      <c r="M25" s="38">
        <f t="shared" si="0"/>
        <v>1.0953272271535839</v>
      </c>
      <c r="N25" s="38">
        <f t="shared" si="0"/>
        <v>1.1150431172423485</v>
      </c>
      <c r="O25" s="38">
        <f t="shared" si="0"/>
        <v>1.1351138933527105</v>
      </c>
      <c r="P25" s="38">
        <f t="shared" si="0"/>
        <v>1.1555459434330595</v>
      </c>
    </row>
    <row r="26" spans="2:16">
      <c r="B26" s="9">
        <v>2019</v>
      </c>
      <c r="D26" s="9" t="s">
        <v>97</v>
      </c>
      <c r="F26" s="38">
        <f>1+I13</f>
        <v>1.0209999999999999</v>
      </c>
      <c r="H26" s="35"/>
      <c r="I26" s="9">
        <v>1</v>
      </c>
      <c r="J26" s="38">
        <f>J27*$F27</f>
        <v>1.028</v>
      </c>
      <c r="K26" s="38">
        <f t="shared" si="0"/>
        <v>1.035196</v>
      </c>
      <c r="L26" s="38">
        <f t="shared" si="0"/>
        <v>1.0538295280000001</v>
      </c>
      <c r="M26" s="38">
        <f t="shared" si="0"/>
        <v>1.0727984595039999</v>
      </c>
      <c r="N26" s="38">
        <f t="shared" si="0"/>
        <v>1.092108831775072</v>
      </c>
      <c r="O26" s="38">
        <f t="shared" si="0"/>
        <v>1.1117667907470232</v>
      </c>
      <c r="P26" s="38">
        <f t="shared" si="0"/>
        <v>1.1317785929804698</v>
      </c>
    </row>
    <row r="27" spans="2:16">
      <c r="B27" s="9">
        <v>2020</v>
      </c>
      <c r="D27" s="9" t="s">
        <v>97</v>
      </c>
      <c r="F27" s="38">
        <f>1+J13</f>
        <v>1.028</v>
      </c>
      <c r="H27" s="35"/>
      <c r="I27" s="35"/>
      <c r="J27" s="9">
        <v>1</v>
      </c>
      <c r="K27" s="38">
        <f>K28*$F28</f>
        <v>1.0069999999999999</v>
      </c>
      <c r="L27" s="38">
        <f t="shared" si="0"/>
        <v>1.025126</v>
      </c>
      <c r="M27" s="38">
        <f t="shared" si="0"/>
        <v>1.0435782679999999</v>
      </c>
      <c r="N27" s="38">
        <f t="shared" si="0"/>
        <v>1.062362676824</v>
      </c>
      <c r="O27" s="38">
        <f t="shared" si="0"/>
        <v>1.081485205006832</v>
      </c>
      <c r="P27" s="38">
        <f t="shared" si="0"/>
        <v>1.1009519386969551</v>
      </c>
    </row>
    <row r="28" spans="2:16">
      <c r="B28" s="9">
        <v>2021</v>
      </c>
      <c r="D28" s="9" t="s">
        <v>97</v>
      </c>
      <c r="F28" s="38">
        <f>1+K13</f>
        <v>1.0069999999999999</v>
      </c>
      <c r="H28" s="35"/>
      <c r="I28" s="35"/>
      <c r="J28" s="35"/>
      <c r="K28" s="9">
        <v>1</v>
      </c>
      <c r="L28" s="38">
        <f>L29*$F29</f>
        <v>1.018</v>
      </c>
      <c r="M28" s="38">
        <f t="shared" si="0"/>
        <v>1.036324</v>
      </c>
      <c r="N28" s="38">
        <f t="shared" si="0"/>
        <v>1.0549778320000001</v>
      </c>
      <c r="O28" s="38">
        <f t="shared" si="0"/>
        <v>1.0739674329760001</v>
      </c>
      <c r="P28" s="38">
        <f t="shared" si="0"/>
        <v>1.0932988467695681</v>
      </c>
    </row>
    <row r="29" spans="2:16">
      <c r="B29" s="9">
        <v>2022</v>
      </c>
      <c r="D29" s="9" t="s">
        <v>97</v>
      </c>
      <c r="F29" s="38">
        <f>1+L13</f>
        <v>1.018</v>
      </c>
      <c r="H29" s="35"/>
      <c r="I29" s="35"/>
      <c r="J29" s="35"/>
      <c r="K29" s="35"/>
      <c r="L29" s="9">
        <v>1</v>
      </c>
      <c r="M29" s="38">
        <f>M30*$F30</f>
        <v>1.018</v>
      </c>
      <c r="N29" s="38">
        <f t="shared" si="0"/>
        <v>1.036324</v>
      </c>
      <c r="O29" s="38">
        <f t="shared" si="0"/>
        <v>1.0549778320000001</v>
      </c>
      <c r="P29" s="38">
        <f t="shared" si="0"/>
        <v>1.0739674329760001</v>
      </c>
    </row>
    <row r="30" spans="2:16">
      <c r="B30" s="9">
        <v>2023</v>
      </c>
      <c r="D30" s="9" t="s">
        <v>97</v>
      </c>
      <c r="F30" s="38">
        <f>1+M13</f>
        <v>1.018</v>
      </c>
      <c r="H30" s="35"/>
      <c r="I30" s="35"/>
      <c r="J30" s="35"/>
      <c r="K30" s="35"/>
      <c r="L30" s="35"/>
      <c r="M30" s="9">
        <v>1</v>
      </c>
      <c r="N30" s="38">
        <f>N31*$F31</f>
        <v>1.018</v>
      </c>
      <c r="O30" s="38">
        <f t="shared" si="0"/>
        <v>1.036324</v>
      </c>
      <c r="P30" s="38">
        <f t="shared" si="0"/>
        <v>1.0549778320000001</v>
      </c>
    </row>
    <row r="31" spans="2:16">
      <c r="B31" s="9">
        <v>2024</v>
      </c>
      <c r="D31" s="9" t="s">
        <v>97</v>
      </c>
      <c r="F31" s="38">
        <f>1+N13</f>
        <v>1.018</v>
      </c>
      <c r="H31" s="35"/>
      <c r="I31" s="35"/>
      <c r="J31" s="35"/>
      <c r="K31" s="35"/>
      <c r="L31" s="35"/>
      <c r="M31" s="35"/>
      <c r="N31" s="9">
        <v>1</v>
      </c>
      <c r="O31" s="38">
        <f>O32*$F32</f>
        <v>1.018</v>
      </c>
      <c r="P31" s="38">
        <f t="shared" si="0"/>
        <v>1.036324</v>
      </c>
    </row>
    <row r="32" spans="2:16">
      <c r="B32" s="9">
        <v>2025</v>
      </c>
      <c r="D32" s="9" t="s">
        <v>97</v>
      </c>
      <c r="F32" s="38">
        <f>1+O13</f>
        <v>1.018</v>
      </c>
      <c r="H32" s="35"/>
      <c r="I32" s="35"/>
      <c r="J32" s="35"/>
      <c r="K32" s="35"/>
      <c r="L32" s="35"/>
      <c r="M32" s="35"/>
      <c r="N32" s="35"/>
      <c r="O32" s="9">
        <v>1</v>
      </c>
      <c r="P32" s="38">
        <f>P33*$F33</f>
        <v>1.018</v>
      </c>
    </row>
    <row r="33" spans="2:16">
      <c r="B33" s="9">
        <v>2026</v>
      </c>
      <c r="D33" s="9" t="s">
        <v>97</v>
      </c>
      <c r="F33" s="38">
        <f>1+P13</f>
        <v>1.018</v>
      </c>
      <c r="H33" s="35"/>
      <c r="I33" s="35"/>
      <c r="J33" s="35"/>
      <c r="K33" s="35"/>
      <c r="L33" s="35"/>
      <c r="M33" s="35"/>
      <c r="N33" s="35"/>
      <c r="O33" s="35"/>
      <c r="P33" s="9">
        <v>1</v>
      </c>
    </row>
    <row r="36" spans="2:16" s="15" customFormat="1">
      <c r="B36" s="15" t="s">
        <v>82</v>
      </c>
    </row>
    <row r="38" spans="2:16">
      <c r="B38" s="8" t="s">
        <v>149</v>
      </c>
    </row>
    <row r="39" spans="2:16">
      <c r="B39" s="37"/>
      <c r="F39" s="9" t="s">
        <v>186</v>
      </c>
      <c r="H39" s="9">
        <v>2018</v>
      </c>
      <c r="I39" s="9">
        <v>2019</v>
      </c>
      <c r="J39" s="9">
        <v>2020</v>
      </c>
      <c r="K39" s="9">
        <v>2021</v>
      </c>
      <c r="L39" s="9">
        <v>2022</v>
      </c>
      <c r="M39" s="9">
        <v>2023</v>
      </c>
      <c r="N39" s="9">
        <v>2024</v>
      </c>
      <c r="O39" s="9">
        <v>2025</v>
      </c>
      <c r="P39" s="9">
        <v>2026</v>
      </c>
    </row>
    <row r="40" spans="2:16">
      <c r="B40" s="9">
        <v>2018</v>
      </c>
      <c r="D40" s="9" t="s">
        <v>147</v>
      </c>
      <c r="F40" s="38">
        <f>1-H16</f>
        <v>1</v>
      </c>
      <c r="H40" s="9">
        <v>1</v>
      </c>
      <c r="I40" s="38">
        <f>I41*$F41</f>
        <v>1</v>
      </c>
      <c r="J40" s="38">
        <f t="shared" ref="J40:P46" si="1">J41*$F41</f>
        <v>1</v>
      </c>
      <c r="K40" s="38">
        <f t="shared" si="1"/>
        <v>1</v>
      </c>
      <c r="L40" s="38">
        <f t="shared" si="1"/>
        <v>0.998</v>
      </c>
      <c r="M40" s="38">
        <f t="shared" si="1"/>
        <v>0.996004</v>
      </c>
      <c r="N40" s="38">
        <f t="shared" si="1"/>
        <v>0.99401199200000001</v>
      </c>
      <c r="O40" s="38">
        <f t="shared" si="1"/>
        <v>0.99202396801600001</v>
      </c>
      <c r="P40" s="38">
        <f t="shared" si="1"/>
        <v>0.99003992007996799</v>
      </c>
    </row>
    <row r="41" spans="2:16">
      <c r="B41" s="9">
        <v>2019</v>
      </c>
      <c r="D41" s="9" t="s">
        <v>147</v>
      </c>
      <c r="F41" s="38">
        <f>1-I16</f>
        <v>1</v>
      </c>
      <c r="H41" s="35"/>
      <c r="I41" s="9">
        <v>1</v>
      </c>
      <c r="J41" s="38">
        <f t="shared" si="1"/>
        <v>1</v>
      </c>
      <c r="K41" s="38">
        <f t="shared" si="1"/>
        <v>1</v>
      </c>
      <c r="L41" s="38">
        <f t="shared" si="1"/>
        <v>0.998</v>
      </c>
      <c r="M41" s="38">
        <f t="shared" si="1"/>
        <v>0.996004</v>
      </c>
      <c r="N41" s="38">
        <f t="shared" si="1"/>
        <v>0.99401199200000001</v>
      </c>
      <c r="O41" s="38">
        <f t="shared" si="1"/>
        <v>0.99202396801600001</v>
      </c>
      <c r="P41" s="38">
        <f t="shared" si="1"/>
        <v>0.99003992007996799</v>
      </c>
    </row>
    <row r="42" spans="2:16">
      <c r="B42" s="9">
        <v>2020</v>
      </c>
      <c r="D42" s="9" t="s">
        <v>147</v>
      </c>
      <c r="F42" s="38">
        <f>1-J16</f>
        <v>1</v>
      </c>
      <c r="H42" s="35"/>
      <c r="I42" s="35"/>
      <c r="J42" s="9">
        <v>1</v>
      </c>
      <c r="K42" s="38">
        <f>K43*$F43</f>
        <v>1</v>
      </c>
      <c r="L42" s="38">
        <f t="shared" si="1"/>
        <v>0.998</v>
      </c>
      <c r="M42" s="38">
        <f t="shared" si="1"/>
        <v>0.996004</v>
      </c>
      <c r="N42" s="38">
        <f t="shared" si="1"/>
        <v>0.99401199200000001</v>
      </c>
      <c r="O42" s="38">
        <f t="shared" si="1"/>
        <v>0.99202396801600001</v>
      </c>
      <c r="P42" s="38">
        <f t="shared" si="1"/>
        <v>0.99003992007996799</v>
      </c>
    </row>
    <row r="43" spans="2:16">
      <c r="B43" s="9">
        <v>2021</v>
      </c>
      <c r="D43" s="9" t="s">
        <v>147</v>
      </c>
      <c r="F43" s="38">
        <f>1-K16</f>
        <v>1</v>
      </c>
      <c r="H43" s="35"/>
      <c r="I43" s="35"/>
      <c r="J43" s="35"/>
      <c r="K43" s="9">
        <v>1</v>
      </c>
      <c r="L43" s="38">
        <f>L44*$F44</f>
        <v>0.998</v>
      </c>
      <c r="M43" s="38">
        <f t="shared" si="1"/>
        <v>0.996004</v>
      </c>
      <c r="N43" s="38">
        <f t="shared" si="1"/>
        <v>0.99401199200000001</v>
      </c>
      <c r="O43" s="38">
        <f t="shared" si="1"/>
        <v>0.99202396801600001</v>
      </c>
      <c r="P43" s="38">
        <f t="shared" si="1"/>
        <v>0.99003992007996799</v>
      </c>
    </row>
    <row r="44" spans="2:16" ht="12.75" customHeight="1">
      <c r="B44" s="9">
        <v>2022</v>
      </c>
      <c r="D44" s="9" t="s">
        <v>147</v>
      </c>
      <c r="F44" s="38">
        <f>1-L16</f>
        <v>0.998</v>
      </c>
      <c r="H44" s="35"/>
      <c r="I44" s="35"/>
      <c r="J44" s="35"/>
      <c r="K44" s="35"/>
      <c r="L44" s="9">
        <v>1</v>
      </c>
      <c r="M44" s="38">
        <f>M45*$F45</f>
        <v>0.998</v>
      </c>
      <c r="N44" s="38">
        <f t="shared" si="1"/>
        <v>0.996004</v>
      </c>
      <c r="O44" s="38">
        <f t="shared" si="1"/>
        <v>0.99401199200000001</v>
      </c>
      <c r="P44" s="38">
        <f t="shared" si="1"/>
        <v>0.99202396801600001</v>
      </c>
    </row>
    <row r="45" spans="2:16" ht="12.75" customHeight="1">
      <c r="B45" s="9">
        <v>2023</v>
      </c>
      <c r="D45" s="9" t="s">
        <v>147</v>
      </c>
      <c r="F45" s="38">
        <f>1-M16</f>
        <v>0.998</v>
      </c>
      <c r="H45" s="35"/>
      <c r="I45" s="35"/>
      <c r="J45" s="35"/>
      <c r="K45" s="35"/>
      <c r="L45" s="35"/>
      <c r="M45" s="9">
        <v>1</v>
      </c>
      <c r="N45" s="38">
        <f>N46*$F46</f>
        <v>0.998</v>
      </c>
      <c r="O45" s="38">
        <f t="shared" si="1"/>
        <v>0.996004</v>
      </c>
      <c r="P45" s="38">
        <f t="shared" si="1"/>
        <v>0.99401199200000001</v>
      </c>
    </row>
    <row r="46" spans="2:16" ht="12.75" customHeight="1">
      <c r="B46" s="9">
        <v>2024</v>
      </c>
      <c r="D46" s="9" t="s">
        <v>147</v>
      </c>
      <c r="F46" s="38">
        <f>1-N16</f>
        <v>0.998</v>
      </c>
      <c r="H46" s="35"/>
      <c r="I46" s="35"/>
      <c r="J46" s="35"/>
      <c r="K46" s="35"/>
      <c r="L46" s="35"/>
      <c r="M46" s="35"/>
      <c r="N46" s="9">
        <v>1</v>
      </c>
      <c r="O46" s="38">
        <f>O47*$F47</f>
        <v>0.998</v>
      </c>
      <c r="P46" s="38">
        <f t="shared" si="1"/>
        <v>0.996004</v>
      </c>
    </row>
    <row r="47" spans="2:16" ht="12.75" customHeight="1">
      <c r="B47" s="9">
        <v>2025</v>
      </c>
      <c r="D47" s="9" t="s">
        <v>147</v>
      </c>
      <c r="F47" s="38">
        <f>1-O16</f>
        <v>0.998</v>
      </c>
      <c r="H47" s="35"/>
      <c r="I47" s="35"/>
      <c r="J47" s="35"/>
      <c r="K47" s="35"/>
      <c r="L47" s="35"/>
      <c r="M47" s="35"/>
      <c r="N47" s="35"/>
      <c r="O47" s="9">
        <v>1</v>
      </c>
      <c r="P47" s="38">
        <f>P48*$F48</f>
        <v>0.998</v>
      </c>
    </row>
    <row r="48" spans="2:16" ht="12.75" customHeight="1">
      <c r="B48" s="9">
        <v>2026</v>
      </c>
      <c r="D48" s="9" t="s">
        <v>147</v>
      </c>
      <c r="F48" s="38">
        <f>1-P16</f>
        <v>0.998</v>
      </c>
      <c r="H48" s="35"/>
      <c r="I48" s="35"/>
      <c r="J48" s="35"/>
      <c r="K48" s="35"/>
      <c r="L48" s="35"/>
      <c r="M48" s="35"/>
      <c r="N48" s="35"/>
      <c r="O48" s="35"/>
      <c r="P48" s="9">
        <v>1</v>
      </c>
    </row>
    <row r="49" spans="2:16" ht="12.75" customHeight="1"/>
    <row r="50" spans="2:16" ht="12.75" customHeight="1"/>
    <row r="51" spans="2:16" s="1" customFormat="1" ht="12.75" customHeight="1">
      <c r="B51" s="1" t="s">
        <v>151</v>
      </c>
    </row>
    <row r="52" spans="2:16" ht="12.75" customHeight="1"/>
    <row r="53" spans="2:16" ht="12.75" customHeight="1">
      <c r="B53" s="82" t="s">
        <v>154</v>
      </c>
    </row>
    <row r="54" spans="2:16" ht="12.75" customHeight="1">
      <c r="B54" s="37"/>
      <c r="F54" s="9" t="s">
        <v>152</v>
      </c>
      <c r="J54" s="37"/>
      <c r="L54" s="9">
        <v>2022</v>
      </c>
      <c r="M54" s="9">
        <v>2023</v>
      </c>
      <c r="N54" s="9">
        <v>2024</v>
      </c>
      <c r="O54" s="9">
        <v>2025</v>
      </c>
      <c r="P54" s="9">
        <v>2026</v>
      </c>
    </row>
    <row r="55" spans="2:16" ht="12.75" customHeight="1">
      <c r="B55" s="9">
        <v>2022</v>
      </c>
      <c r="D55" s="9" t="s">
        <v>97</v>
      </c>
      <c r="F55" s="38">
        <f>1+L19</f>
        <v>1.0369999999999999</v>
      </c>
      <c r="L55" s="9">
        <f>1</f>
        <v>1</v>
      </c>
      <c r="M55" s="38">
        <f>M56*$F56</f>
        <v>1.0369999999999999</v>
      </c>
      <c r="N55" s="38">
        <f>N56*$F56</f>
        <v>1.080554</v>
      </c>
      <c r="O55" s="38">
        <f>O56*$F56</f>
        <v>1.1259372680000002</v>
      </c>
      <c r="P55" s="38">
        <f>P56*$F56</f>
        <v>1.1732266332560002</v>
      </c>
    </row>
    <row r="56" spans="2:16" ht="12.75" customHeight="1">
      <c r="B56" s="9">
        <v>2023</v>
      </c>
      <c r="D56" s="9" t="s">
        <v>97</v>
      </c>
      <c r="F56" s="38">
        <f>1+M19</f>
        <v>1.0369999999999999</v>
      </c>
      <c r="L56" s="35"/>
      <c r="M56" s="9">
        <f>1</f>
        <v>1</v>
      </c>
      <c r="N56" s="38">
        <f>N57*$F57</f>
        <v>1.042</v>
      </c>
      <c r="O56" s="38">
        <f>O57*$F57</f>
        <v>1.0857640000000002</v>
      </c>
      <c r="P56" s="38">
        <f>P57*$F57</f>
        <v>1.1313660880000003</v>
      </c>
    </row>
    <row r="57" spans="2:16" ht="12.75" customHeight="1">
      <c r="B57" s="9">
        <v>2024</v>
      </c>
      <c r="D57" s="9" t="s">
        <v>97</v>
      </c>
      <c r="F57" s="38">
        <f>1+N19</f>
        <v>1.042</v>
      </c>
      <c r="L57" s="35"/>
      <c r="M57" s="35"/>
      <c r="N57" s="9">
        <f>1</f>
        <v>1</v>
      </c>
      <c r="O57" s="38">
        <f>O58*$F58</f>
        <v>1.042</v>
      </c>
      <c r="P57" s="38">
        <f>P58*$F58</f>
        <v>1.0857640000000002</v>
      </c>
    </row>
    <row r="58" spans="2:16" ht="12.75" customHeight="1">
      <c r="B58" s="9">
        <v>2025</v>
      </c>
      <c r="D58" s="9" t="s">
        <v>97</v>
      </c>
      <c r="F58" s="38">
        <f>1+O19</f>
        <v>1.042</v>
      </c>
      <c r="L58" s="35"/>
      <c r="M58" s="35"/>
      <c r="N58" s="35"/>
      <c r="O58" s="9">
        <f>1</f>
        <v>1</v>
      </c>
      <c r="P58" s="38">
        <f>P59*$F59</f>
        <v>1.042</v>
      </c>
    </row>
    <row r="59" spans="2:16" ht="12.75" customHeight="1">
      <c r="B59" s="9">
        <v>2026</v>
      </c>
      <c r="D59" s="9" t="s">
        <v>97</v>
      </c>
      <c r="F59" s="38">
        <f>1+P19</f>
        <v>1.042</v>
      </c>
      <c r="L59" s="35"/>
      <c r="M59" s="35"/>
      <c r="N59" s="35"/>
      <c r="O59" s="35"/>
      <c r="P59" s="9">
        <f>1</f>
        <v>1</v>
      </c>
    </row>
    <row r="60" spans="2:16" ht="12.75" customHeight="1"/>
    <row r="61" spans="2:16" ht="12.75" customHeight="1"/>
    <row r="62" spans="2:16" ht="12.75" customHeight="1"/>
    <row r="63" spans="2:16" ht="12.75" customHeight="1"/>
    <row r="64" spans="2: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sheetData>
  <mergeCells count="1">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tabColor rgb="FFFFFFCC"/>
  </sheetPr>
  <dimension ref="B2:P51"/>
  <sheetViews>
    <sheetView showGridLines="0" zoomScale="85" zoomScaleNormal="85" workbookViewId="0">
      <pane xSplit="4" ySplit="8" topLeftCell="E9" activePane="bottomRight" state="frozen"/>
      <selection activeCell="R6" sqref="R6"/>
      <selection pane="topRight" activeCell="R6" sqref="R6"/>
      <selection pane="bottomLeft" activeCell="R6" sqref="R6"/>
      <selection pane="bottomRight" activeCell="E9" sqref="E9"/>
    </sheetView>
  </sheetViews>
  <sheetFormatPr defaultColWidth="9.140625" defaultRowHeight="12.75"/>
  <cols>
    <col min="1" max="1" width="4.7109375" style="9" customWidth="1"/>
    <col min="2" max="2" width="75.7109375" style="9" customWidth="1"/>
    <col min="3" max="3" width="2.7109375" style="9" customWidth="1"/>
    <col min="4" max="4" width="13.7109375" style="9" customWidth="1"/>
    <col min="5" max="5" width="2.7109375" style="9" customWidth="1"/>
    <col min="6" max="6" width="16.7109375" style="9" customWidth="1"/>
    <col min="7" max="7" width="3" style="9" customWidth="1"/>
    <col min="8" max="12" width="16.7109375" style="9" customWidth="1"/>
    <col min="13" max="13" width="2.7109375" style="9" customWidth="1"/>
    <col min="14" max="14" width="16.7109375" style="95" customWidth="1"/>
    <col min="15" max="15" width="2.7109375" style="9" customWidth="1"/>
    <col min="16" max="16" width="13.7109375" style="9" customWidth="1"/>
    <col min="17" max="16384" width="9.140625" style="9"/>
  </cols>
  <sheetData>
    <row r="2" spans="2:16" s="2" customFormat="1" ht="18">
      <c r="B2" s="2" t="s">
        <v>102</v>
      </c>
    </row>
    <row r="4" spans="2:16">
      <c r="B4" s="28" t="s">
        <v>56</v>
      </c>
    </row>
    <row r="5" spans="2:16" ht="76.5" customHeight="1">
      <c r="B5" s="120" t="s">
        <v>395</v>
      </c>
      <c r="C5" s="120"/>
    </row>
    <row r="7" spans="2:16" s="1" customFormat="1">
      <c r="B7" s="1" t="s">
        <v>45</v>
      </c>
      <c r="D7" s="1" t="s">
        <v>27</v>
      </c>
      <c r="F7" s="1" t="s">
        <v>28</v>
      </c>
      <c r="H7" s="1">
        <v>2022</v>
      </c>
      <c r="I7" s="1">
        <v>2023</v>
      </c>
      <c r="J7" s="1">
        <v>2024</v>
      </c>
      <c r="K7" s="1">
        <v>2025</v>
      </c>
      <c r="L7" s="1">
        <v>2026</v>
      </c>
      <c r="N7" s="1" t="s">
        <v>101</v>
      </c>
      <c r="P7" s="1" t="s">
        <v>47</v>
      </c>
    </row>
    <row r="10" spans="2:16" s="1" customFormat="1">
      <c r="B10" s="1" t="s">
        <v>48</v>
      </c>
    </row>
    <row r="12" spans="2:16">
      <c r="B12" s="28" t="s">
        <v>85</v>
      </c>
    </row>
    <row r="13" spans="2:16">
      <c r="B13" s="9" t="s">
        <v>372</v>
      </c>
      <c r="D13" s="9" t="s">
        <v>75</v>
      </c>
      <c r="H13" s="100">
        <f>'2. Reguleringsparameters'!L15</f>
        <v>2.8000000000000001E-2</v>
      </c>
      <c r="I13" s="100">
        <f>'2. Reguleringsparameters'!M15</f>
        <v>2.8000000000000001E-2</v>
      </c>
      <c r="J13" s="100">
        <f>'2. Reguleringsparameters'!N15</f>
        <v>3.3000000000000002E-2</v>
      </c>
      <c r="K13" s="100">
        <f>'2. Reguleringsparameters'!O15</f>
        <v>3.3000000000000002E-2</v>
      </c>
      <c r="L13" s="100">
        <f>'2. Reguleringsparameters'!P15</f>
        <v>3.3000000000000002E-2</v>
      </c>
    </row>
    <row r="14" spans="2:16">
      <c r="H14" s="52"/>
      <c r="I14" s="52"/>
      <c r="J14" s="52"/>
      <c r="K14" s="52"/>
      <c r="L14" s="52"/>
    </row>
    <row r="15" spans="2:16">
      <c r="B15" s="8" t="s">
        <v>203</v>
      </c>
      <c r="H15" s="52"/>
      <c r="I15" s="52"/>
      <c r="J15" s="52"/>
      <c r="K15" s="52"/>
      <c r="L15" s="52"/>
    </row>
    <row r="16" spans="2:16">
      <c r="B16" s="9" t="s">
        <v>202</v>
      </c>
      <c r="D16" s="9" t="s">
        <v>75</v>
      </c>
      <c r="F16" s="100">
        <f>'2. Reguleringsparameters'!F26</f>
        <v>1</v>
      </c>
      <c r="H16" s="52"/>
      <c r="I16" s="52"/>
      <c r="J16" s="52"/>
      <c r="K16" s="52"/>
      <c r="L16" s="52"/>
    </row>
    <row r="17" spans="2:15">
      <c r="H17" s="52"/>
      <c r="I17" s="52"/>
      <c r="J17" s="52"/>
      <c r="K17" s="52"/>
      <c r="L17" s="52"/>
    </row>
    <row r="18" spans="2:15">
      <c r="B18" s="8" t="s">
        <v>172</v>
      </c>
      <c r="F18" s="46"/>
      <c r="G18" s="46"/>
      <c r="H18" s="46"/>
      <c r="I18" s="46"/>
      <c r="J18" s="46"/>
      <c r="K18" s="47"/>
      <c r="L18" s="47"/>
    </row>
    <row r="19" spans="2:15">
      <c r="B19" s="9" t="s">
        <v>377</v>
      </c>
      <c r="D19" s="9" t="s">
        <v>80</v>
      </c>
      <c r="F19" s="46"/>
      <c r="G19" s="46"/>
      <c r="H19" s="33">
        <f>'3. GAW model'!L12</f>
        <v>45346619.803327523</v>
      </c>
      <c r="I19" s="33">
        <f>'3. GAW model'!M12</f>
        <v>45754739.381557465</v>
      </c>
      <c r="J19" s="33">
        <f>'3. GAW model'!N12</f>
        <v>46166532.035991475</v>
      </c>
      <c r="K19" s="33">
        <f>'3. GAW model'!O12</f>
        <v>46582030.824315384</v>
      </c>
      <c r="L19" s="33">
        <f>'3. GAW model'!P12</f>
        <v>47001269.101734221</v>
      </c>
    </row>
    <row r="20" spans="2:15">
      <c r="B20" s="9" t="s">
        <v>378</v>
      </c>
      <c r="D20" s="9" t="s">
        <v>80</v>
      </c>
      <c r="F20" s="46"/>
      <c r="G20" s="46"/>
      <c r="H20" s="33">
        <f>'3. GAW model'!L13</f>
        <v>785106367.4295336</v>
      </c>
      <c r="I20" s="33">
        <f>'3. GAW model'!M13</f>
        <v>746417585.35484171</v>
      </c>
      <c r="J20" s="33">
        <f>'3. GAW model'!N13</f>
        <v>706968811.58704376</v>
      </c>
      <c r="K20" s="33">
        <f>'3. GAW model'!O13</f>
        <v>666749500.06701159</v>
      </c>
      <c r="L20" s="33">
        <f>'3. GAW model'!P13</f>
        <v>625748976.46588063</v>
      </c>
    </row>
    <row r="21" spans="2:15">
      <c r="B21" s="9" t="s">
        <v>379</v>
      </c>
      <c r="D21" s="9" t="s">
        <v>80</v>
      </c>
      <c r="F21" s="46"/>
      <c r="G21" s="46"/>
      <c r="H21" s="33">
        <f>'3. GAW model'!L14</f>
        <v>4700147.0069999993</v>
      </c>
      <c r="I21" s="33">
        <f>'3. GAW model'!M14</f>
        <v>4742448.3300629985</v>
      </c>
      <c r="J21" s="33">
        <f>'3. GAW model'!N14</f>
        <v>4785130.3650335651</v>
      </c>
      <c r="K21" s="33">
        <f>'3. GAW model'!O14</f>
        <v>4828196.5383188659</v>
      </c>
      <c r="L21" s="33">
        <f>'3. GAW model'!P14</f>
        <v>4871650.3071637359</v>
      </c>
    </row>
    <row r="22" spans="2:15">
      <c r="B22" s="9" t="s">
        <v>380</v>
      </c>
      <c r="D22" s="9" t="s">
        <v>80</v>
      </c>
      <c r="F22" s="46"/>
      <c r="G22" s="46"/>
      <c r="H22" s="33">
        <f>'3. GAW model'!L15</f>
        <v>80468669.030833304</v>
      </c>
      <c r="I22" s="33">
        <f>'3. GAW model'!M15</f>
        <v>76450438.722047806</v>
      </c>
      <c r="J22" s="33">
        <f>'3. GAW model'!N15</f>
        <v>72353362.305512652</v>
      </c>
      <c r="K22" s="33">
        <f>'3. GAW model'!O15</f>
        <v>68176346.027943403</v>
      </c>
      <c r="L22" s="33">
        <f>'3. GAW model'!P15</f>
        <v>63918282.835031144</v>
      </c>
    </row>
    <row r="23" spans="2:15">
      <c r="B23" s="9" t="s">
        <v>196</v>
      </c>
      <c r="D23" s="9" t="s">
        <v>80</v>
      </c>
      <c r="F23" s="46"/>
      <c r="G23" s="46"/>
      <c r="H23" s="33">
        <f>'3. GAW model'!L16</f>
        <v>2206447.1051840312</v>
      </c>
      <c r="I23" s="33">
        <f>'3. GAW model'!M16</f>
        <v>2226305.1291306866</v>
      </c>
      <c r="J23" s="33">
        <f>'3. GAW model'!N16</f>
        <v>1883392.5421776592</v>
      </c>
      <c r="K23" s="33">
        <f>'3. GAW model'!O16</f>
        <v>1171275.10607081</v>
      </c>
      <c r="L23" s="33">
        <f>'3. GAW model'!P16</f>
        <v>453951.96531825978</v>
      </c>
    </row>
    <row r="24" spans="2:15">
      <c r="B24" s="9" t="s">
        <v>195</v>
      </c>
      <c r="D24" s="9" t="s">
        <v>80</v>
      </c>
      <c r="F24" s="46"/>
      <c r="G24" s="46"/>
      <c r="H24" s="33">
        <f>'3. GAW model'!L17</f>
        <v>8073059.344754315</v>
      </c>
      <c r="I24" s="33">
        <f>'3. GAW model'!M17</f>
        <v>5919411.7497264156</v>
      </c>
      <c r="J24" s="33">
        <f>'3. GAW model'!N17</f>
        <v>4089293.913296293</v>
      </c>
      <c r="K24" s="33">
        <f>'3. GAW model'!O17</f>
        <v>2954822.452445149</v>
      </c>
      <c r="L24" s="33">
        <f>'3. GAW model'!P17</f>
        <v>2527463.8891988946</v>
      </c>
    </row>
    <row r="25" spans="2:15">
      <c r="F25" s="46"/>
      <c r="G25" s="46"/>
      <c r="H25" s="46"/>
      <c r="I25" s="46"/>
      <c r="J25" s="46"/>
      <c r="K25" s="46"/>
      <c r="L25" s="46"/>
      <c r="M25" s="46"/>
      <c r="N25" s="46"/>
      <c r="O25" s="46"/>
    </row>
    <row r="26" spans="2:15">
      <c r="B26" s="8" t="s">
        <v>233</v>
      </c>
      <c r="F26" s="46"/>
      <c r="G26" s="46"/>
      <c r="H26" s="46"/>
      <c r="I26" s="46"/>
      <c r="J26" s="46"/>
      <c r="K26" s="46"/>
      <c r="L26" s="46"/>
      <c r="M26" s="46"/>
      <c r="N26" s="46"/>
      <c r="O26" s="46"/>
    </row>
    <row r="27" spans="2:15">
      <c r="B27" s="9" t="s">
        <v>234</v>
      </c>
      <c r="D27" s="9" t="s">
        <v>80</v>
      </c>
      <c r="F27" s="46"/>
      <c r="G27" s="46"/>
      <c r="H27" s="33">
        <f>'3. GAW model'!L21</f>
        <v>0</v>
      </c>
      <c r="I27" s="33">
        <f>'3. GAW model'!M21</f>
        <v>0</v>
      </c>
      <c r="J27" s="33">
        <f>'3. GAW model'!N21</f>
        <v>0</v>
      </c>
      <c r="K27" s="33">
        <f>'3. GAW model'!O21</f>
        <v>0</v>
      </c>
      <c r="L27" s="33">
        <f>'3. GAW model'!P21</f>
        <v>0</v>
      </c>
      <c r="M27" s="46"/>
      <c r="N27" s="46"/>
      <c r="O27" s="46"/>
    </row>
    <row r="28" spans="2:15">
      <c r="B28" s="9" t="s">
        <v>235</v>
      </c>
      <c r="D28" s="9" t="s">
        <v>80</v>
      </c>
      <c r="F28" s="46"/>
      <c r="G28" s="46"/>
      <c r="H28" s="33">
        <f>'3. GAW model'!L22</f>
        <v>0</v>
      </c>
      <c r="I28" s="33">
        <f>'3. GAW model'!M22</f>
        <v>0</v>
      </c>
      <c r="J28" s="33">
        <f>'3. GAW model'!N22</f>
        <v>0</v>
      </c>
      <c r="K28" s="33">
        <f>'3. GAW model'!O22</f>
        <v>0</v>
      </c>
      <c r="L28" s="33">
        <f>'3. GAW model'!P22</f>
        <v>0</v>
      </c>
      <c r="M28" s="46"/>
      <c r="N28" s="46"/>
      <c r="O28" s="46"/>
    </row>
    <row r="29" spans="2:15">
      <c r="B29" s="9" t="s">
        <v>236</v>
      </c>
      <c r="D29" s="9" t="s">
        <v>80</v>
      </c>
      <c r="F29" s="46"/>
      <c r="G29" s="46"/>
      <c r="H29" s="33">
        <f>'3. GAW model'!L23</f>
        <v>313282.39997109992</v>
      </c>
      <c r="I29" s="33">
        <f>'3. GAW model'!M23</f>
        <v>316101.94157083979</v>
      </c>
      <c r="J29" s="33">
        <f>'3. GAW model'!N23</f>
        <v>318946.85904497729</v>
      </c>
      <c r="K29" s="33">
        <f>'3. GAW model'!O23</f>
        <v>281592.53485944355</v>
      </c>
      <c r="L29" s="33">
        <f>'3. GAW model'!P23</f>
        <v>885.16252608630316</v>
      </c>
      <c r="M29" s="46"/>
      <c r="N29" s="46"/>
      <c r="O29" s="46"/>
    </row>
    <row r="30" spans="2:15">
      <c r="B30" s="9" t="s">
        <v>237</v>
      </c>
      <c r="D30" s="9" t="s">
        <v>80</v>
      </c>
      <c r="F30" s="46"/>
      <c r="G30" s="46"/>
      <c r="H30" s="33">
        <f>'3. GAW model'!L24</f>
        <v>904888.00290222489</v>
      </c>
      <c r="I30" s="33">
        <f>'3. GAW model'!M24</f>
        <v>596930.05335750501</v>
      </c>
      <c r="J30" s="33">
        <f>'3. GAW model'!N24</f>
        <v>283355.56479274516</v>
      </c>
      <c r="K30" s="33">
        <f>'3. GAW model'!O24</f>
        <v>4313.2300164363314</v>
      </c>
      <c r="L30" s="33">
        <f>'3. GAW model'!P24</f>
        <v>3466.8865604979542</v>
      </c>
      <c r="M30" s="46"/>
      <c r="N30" s="46"/>
      <c r="O30" s="46"/>
    </row>
    <row r="31" spans="2:15">
      <c r="F31" s="46"/>
      <c r="G31" s="46"/>
      <c r="H31" s="46"/>
      <c r="I31" s="46"/>
      <c r="J31" s="46"/>
      <c r="K31" s="46"/>
      <c r="L31" s="46"/>
      <c r="M31" s="46"/>
      <c r="N31" s="46"/>
      <c r="O31" s="46"/>
    </row>
    <row r="32" spans="2:15" s="1" customFormat="1">
      <c r="B32" s="1" t="s">
        <v>173</v>
      </c>
    </row>
    <row r="33" spans="2:14">
      <c r="F33" s="46"/>
      <c r="G33" s="46"/>
      <c r="H33" s="46"/>
      <c r="I33" s="46"/>
      <c r="J33" s="46"/>
      <c r="K33" s="46"/>
      <c r="L33" s="46"/>
    </row>
    <row r="34" spans="2:14">
      <c r="B34" s="8" t="s">
        <v>187</v>
      </c>
      <c r="F34" s="46"/>
      <c r="G34" s="46"/>
      <c r="H34" s="46"/>
      <c r="I34" s="46"/>
      <c r="J34" s="46"/>
      <c r="K34" s="46"/>
      <c r="L34" s="46"/>
    </row>
    <row r="35" spans="2:14">
      <c r="B35" s="9" t="s">
        <v>381</v>
      </c>
      <c r="D35" s="9" t="s">
        <v>80</v>
      </c>
      <c r="F35" s="46"/>
      <c r="G35" s="46"/>
      <c r="H35" s="34">
        <f>H$13*H20</f>
        <v>21982978.28802694</v>
      </c>
      <c r="I35" s="34">
        <f t="shared" ref="I35:L35" si="0">I$13*I20</f>
        <v>20899692.389935568</v>
      </c>
      <c r="J35" s="34">
        <f t="shared" si="0"/>
        <v>23329970.782372445</v>
      </c>
      <c r="K35" s="34">
        <f t="shared" si="0"/>
        <v>22002733.502211384</v>
      </c>
      <c r="L35" s="34">
        <f t="shared" si="0"/>
        <v>20649716.223374061</v>
      </c>
      <c r="N35" s="95">
        <v>4</v>
      </c>
    </row>
    <row r="36" spans="2:14">
      <c r="B36" s="9" t="s">
        <v>382</v>
      </c>
      <c r="D36" s="9" t="s">
        <v>80</v>
      </c>
      <c r="F36" s="46"/>
      <c r="G36" s="46"/>
      <c r="H36" s="34">
        <f>H$13*H22</f>
        <v>2253122.7328633326</v>
      </c>
      <c r="I36" s="34">
        <f t="shared" ref="I36:L36" si="1">I$13*I22</f>
        <v>2140612.2842173385</v>
      </c>
      <c r="J36" s="34">
        <f t="shared" si="1"/>
        <v>2387660.9560819175</v>
      </c>
      <c r="K36" s="34">
        <f t="shared" si="1"/>
        <v>2249819.4189221323</v>
      </c>
      <c r="L36" s="34">
        <f t="shared" si="1"/>
        <v>2109303.3335560281</v>
      </c>
      <c r="N36" s="95">
        <v>4</v>
      </c>
    </row>
    <row r="37" spans="2:14">
      <c r="B37" s="9" t="s">
        <v>193</v>
      </c>
      <c r="D37" s="9" t="s">
        <v>80</v>
      </c>
      <c r="F37" s="46"/>
      <c r="G37" s="46"/>
      <c r="H37" s="34">
        <f>H$13*H24</f>
        <v>226045.66165312083</v>
      </c>
      <c r="I37" s="34">
        <f>I$13*I24</f>
        <v>165743.52899233965</v>
      </c>
      <c r="J37" s="34">
        <f>J$13*J24</f>
        <v>134946.69913877768</v>
      </c>
      <c r="K37" s="34">
        <f>K$13*K24</f>
        <v>97509.140930689915</v>
      </c>
      <c r="L37" s="34">
        <f>L$13*L24</f>
        <v>83406.30834356352</v>
      </c>
      <c r="N37" s="95">
        <v>4</v>
      </c>
    </row>
    <row r="38" spans="2:14">
      <c r="F38" s="46"/>
      <c r="G38" s="46"/>
      <c r="H38" s="46"/>
      <c r="I38" s="46"/>
      <c r="J38" s="46"/>
      <c r="K38" s="46"/>
      <c r="L38" s="46"/>
    </row>
    <row r="39" spans="2:14">
      <c r="B39" s="8" t="s">
        <v>100</v>
      </c>
      <c r="F39" s="46"/>
      <c r="G39" s="46"/>
      <c r="H39" s="46"/>
      <c r="I39" s="46"/>
      <c r="J39" s="46"/>
      <c r="K39" s="46"/>
      <c r="L39" s="46"/>
    </row>
    <row r="40" spans="2:14">
      <c r="B40" s="9" t="s">
        <v>383</v>
      </c>
      <c r="D40" s="9" t="s">
        <v>80</v>
      </c>
      <c r="F40" s="46"/>
      <c r="G40" s="46"/>
      <c r="H40" s="30">
        <f>$F$16*(H19+H35)+H21+H36</f>
        <v>74282867.831217796</v>
      </c>
      <c r="I40" s="30">
        <f>$F$16*(I19+I35)+I21+I36</f>
        <v>73537492.385773376</v>
      </c>
      <c r="J40" s="30">
        <f t="shared" ref="J40:L40" si="2">$F$16*(J19+J35)+J21+J36</f>
        <v>76669294.139479399</v>
      </c>
      <c r="K40" s="30">
        <f t="shared" si="2"/>
        <v>75662780.28376776</v>
      </c>
      <c r="L40" s="30">
        <f t="shared" si="2"/>
        <v>74631938.965828046</v>
      </c>
      <c r="N40" s="95">
        <v>4</v>
      </c>
    </row>
    <row r="41" spans="2:14">
      <c r="B41" s="9" t="s">
        <v>194</v>
      </c>
      <c r="D41" s="9" t="s">
        <v>80</v>
      </c>
      <c r="F41" s="46"/>
      <c r="G41" s="46"/>
      <c r="H41" s="30">
        <f>H23+H37</f>
        <v>2432492.7668371522</v>
      </c>
      <c r="I41" s="30">
        <f>I23+I37</f>
        <v>2392048.6581230261</v>
      </c>
      <c r="J41" s="30">
        <f>J23+J37</f>
        <v>2018339.2413164368</v>
      </c>
      <c r="K41" s="30">
        <f>K23+K37</f>
        <v>1268784.2470014999</v>
      </c>
      <c r="L41" s="30">
        <f>L23+L37</f>
        <v>537358.27366182324</v>
      </c>
      <c r="N41" s="95">
        <v>4</v>
      </c>
    </row>
    <row r="43" spans="2:14" s="1" customFormat="1">
      <c r="B43" s="1" t="s">
        <v>228</v>
      </c>
    </row>
    <row r="45" spans="2:14">
      <c r="B45" s="8" t="s">
        <v>187</v>
      </c>
    </row>
    <row r="46" spans="2:14">
      <c r="B46" s="9" t="s">
        <v>229</v>
      </c>
      <c r="D46" s="9" t="s">
        <v>80</v>
      </c>
      <c r="H46" s="34">
        <f>H$13*H28</f>
        <v>0</v>
      </c>
      <c r="I46" s="34">
        <f>I$13*I28</f>
        <v>0</v>
      </c>
      <c r="J46" s="34">
        <f>J$13*J28</f>
        <v>0</v>
      </c>
      <c r="K46" s="34">
        <f>K$13*K28</f>
        <v>0</v>
      </c>
      <c r="L46" s="34">
        <f>L$13*L28</f>
        <v>0</v>
      </c>
      <c r="N46" s="95">
        <v>4</v>
      </c>
    </row>
    <row r="47" spans="2:14">
      <c r="B47" s="9" t="s">
        <v>230</v>
      </c>
      <c r="D47" s="9" t="s">
        <v>80</v>
      </c>
      <c r="H47" s="34">
        <f>H$13*H30</f>
        <v>25336.864081262298</v>
      </c>
      <c r="I47" s="34">
        <f>I$13*I30</f>
        <v>16714.04149401014</v>
      </c>
      <c r="J47" s="34">
        <f>J$13*J30</f>
        <v>9350.733638160591</v>
      </c>
      <c r="K47" s="34">
        <f>K$13*K30</f>
        <v>142.33659054239894</v>
      </c>
      <c r="L47" s="34">
        <f>L$13*L30</f>
        <v>114.4072564964325</v>
      </c>
      <c r="N47" s="95">
        <v>4</v>
      </c>
    </row>
    <row r="48" spans="2:14">
      <c r="H48" s="46"/>
      <c r="I48" s="46"/>
      <c r="J48" s="46"/>
      <c r="K48" s="46"/>
      <c r="L48" s="46"/>
    </row>
    <row r="49" spans="2:14">
      <c r="B49" s="8" t="s">
        <v>100</v>
      </c>
      <c r="H49" s="46"/>
      <c r="I49" s="46"/>
      <c r="J49" s="46"/>
      <c r="K49" s="46"/>
      <c r="L49" s="46"/>
    </row>
    <row r="50" spans="2:14">
      <c r="B50" s="9" t="s">
        <v>231</v>
      </c>
      <c r="D50" s="9" t="s">
        <v>80</v>
      </c>
      <c r="H50" s="30">
        <f>H27+H46</f>
        <v>0</v>
      </c>
      <c r="I50" s="30">
        <f>I27+I46</f>
        <v>0</v>
      </c>
      <c r="J50" s="30">
        <f>J27+J46</f>
        <v>0</v>
      </c>
      <c r="K50" s="30">
        <f>K27+K46</f>
        <v>0</v>
      </c>
      <c r="L50" s="30">
        <f>L27+L46</f>
        <v>0</v>
      </c>
      <c r="N50" s="95">
        <v>4</v>
      </c>
    </row>
    <row r="51" spans="2:14">
      <c r="B51" s="9" t="s">
        <v>232</v>
      </c>
      <c r="D51" s="9" t="s">
        <v>80</v>
      </c>
      <c r="H51" s="30">
        <f>H29+H47</f>
        <v>338619.26405236224</v>
      </c>
      <c r="I51" s="30">
        <f>I29+I47</f>
        <v>332815.98306484992</v>
      </c>
      <c r="J51" s="30">
        <f>J29+J47</f>
        <v>328297.59268313786</v>
      </c>
      <c r="K51" s="30">
        <f>K29+K47</f>
        <v>281734.87144998595</v>
      </c>
      <c r="L51" s="30">
        <f>L29+L47</f>
        <v>999.56978258273568</v>
      </c>
      <c r="N51" s="95">
        <v>4</v>
      </c>
    </row>
  </sheetData>
  <mergeCells count="1">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tabColor rgb="FFFFFFCC"/>
  </sheetPr>
  <dimension ref="B2:P58"/>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9" customWidth="1"/>
    <col min="2" max="2" width="75.7109375" style="9" customWidth="1"/>
    <col min="3" max="3" width="2.7109375" style="9" customWidth="1"/>
    <col min="4" max="4" width="13.7109375" style="9" customWidth="1"/>
    <col min="5" max="5" width="2.7109375" style="9" customWidth="1"/>
    <col min="6" max="6" width="16.7109375" style="9" customWidth="1"/>
    <col min="7" max="7" width="2.7109375" style="9" customWidth="1"/>
    <col min="8" max="14" width="16.7109375" style="9" customWidth="1"/>
    <col min="15" max="15" width="2.7109375" style="9" customWidth="1"/>
    <col min="16" max="16" width="13.7109375" style="95" customWidth="1"/>
    <col min="17" max="17" width="2.7109375" style="9" customWidth="1"/>
    <col min="18" max="18" width="13.7109375" style="9" customWidth="1"/>
    <col min="19" max="16384" width="9.140625" style="9"/>
  </cols>
  <sheetData>
    <row r="2" spans="2:16" s="2" customFormat="1" ht="18">
      <c r="B2" s="2" t="s">
        <v>207</v>
      </c>
    </row>
    <row r="4" spans="2:16">
      <c r="B4" s="28" t="s">
        <v>56</v>
      </c>
    </row>
    <row r="5" spans="2:16" ht="75" customHeight="1">
      <c r="B5" s="120" t="s">
        <v>158</v>
      </c>
      <c r="C5" s="120"/>
    </row>
    <row r="6" spans="2:16">
      <c r="B6" s="42"/>
      <c r="C6" s="42"/>
    </row>
    <row r="7" spans="2:16">
      <c r="B7" s="55" t="s">
        <v>30</v>
      </c>
      <c r="C7" s="42"/>
    </row>
    <row r="8" spans="2:16" ht="25.5" customHeight="1">
      <c r="B8" s="42" t="s">
        <v>163</v>
      </c>
      <c r="C8" s="42"/>
    </row>
    <row r="9" spans="2:16" ht="12.75" customHeight="1"/>
    <row r="10" spans="2:16" s="1" customFormat="1" ht="13.5" customHeight="1">
      <c r="B10" s="1" t="s">
        <v>45</v>
      </c>
      <c r="D10" s="1" t="s">
        <v>27</v>
      </c>
      <c r="F10" s="1" t="s">
        <v>28</v>
      </c>
      <c r="H10" s="1">
        <v>2020</v>
      </c>
      <c r="I10" s="1">
        <v>2021</v>
      </c>
      <c r="J10" s="1">
        <v>2022</v>
      </c>
      <c r="K10" s="1">
        <v>2023</v>
      </c>
      <c r="L10" s="1">
        <v>2024</v>
      </c>
      <c r="M10" s="1">
        <v>2025</v>
      </c>
      <c r="N10" s="1">
        <v>2026</v>
      </c>
      <c r="P10" s="1" t="s">
        <v>101</v>
      </c>
    </row>
    <row r="13" spans="2:16" s="1" customFormat="1">
      <c r="B13" s="1" t="s">
        <v>48</v>
      </c>
    </row>
    <row r="15" spans="2:16">
      <c r="B15" s="28" t="s">
        <v>85</v>
      </c>
    </row>
    <row r="16" spans="2:16">
      <c r="B16" s="44" t="s">
        <v>372</v>
      </c>
      <c r="D16" s="9" t="s">
        <v>75</v>
      </c>
      <c r="J16" s="86">
        <f>'2. Reguleringsparameters'!L15</f>
        <v>2.8000000000000001E-2</v>
      </c>
      <c r="K16" s="86">
        <f>'2. Reguleringsparameters'!M15</f>
        <v>2.8000000000000001E-2</v>
      </c>
      <c r="L16" s="86">
        <f>'2. Reguleringsparameters'!N15</f>
        <v>3.3000000000000002E-2</v>
      </c>
      <c r="M16" s="86">
        <f>'2. Reguleringsparameters'!O15</f>
        <v>3.3000000000000002E-2</v>
      </c>
      <c r="N16" s="86">
        <f>'2. Reguleringsparameters'!P15</f>
        <v>3.3000000000000002E-2</v>
      </c>
    </row>
    <row r="17" spans="2:15">
      <c r="B17" s="9" t="s">
        <v>373</v>
      </c>
      <c r="D17" s="9" t="s">
        <v>75</v>
      </c>
      <c r="H17" s="54"/>
      <c r="I17" s="54"/>
      <c r="J17" s="53">
        <f>'2. Reguleringsparameters'!L16</f>
        <v>2.8000000000000001E-2</v>
      </c>
      <c r="K17" s="53">
        <f>'2. Reguleringsparameters'!M16</f>
        <v>2.8000000000000001E-2</v>
      </c>
      <c r="L17" s="53">
        <f>'2. Reguleringsparameters'!N16</f>
        <v>3.3000000000000002E-2</v>
      </c>
      <c r="M17" s="53">
        <f>'2. Reguleringsparameters'!O16</f>
        <v>3.3000000000000002E-2</v>
      </c>
      <c r="N17" s="53">
        <f>'2. Reguleringsparameters'!P16</f>
        <v>3.3000000000000002E-2</v>
      </c>
    </row>
    <row r="19" spans="2:15">
      <c r="B19" s="8" t="s">
        <v>172</v>
      </c>
      <c r="F19" s="46"/>
      <c r="H19" s="46"/>
      <c r="I19" s="46"/>
      <c r="J19" s="46"/>
      <c r="K19" s="46"/>
      <c r="L19" s="46"/>
      <c r="M19" s="46"/>
      <c r="N19" s="46"/>
    </row>
    <row r="20" spans="2:15">
      <c r="B20" s="9" t="s">
        <v>201</v>
      </c>
      <c r="D20" s="9" t="s">
        <v>80</v>
      </c>
      <c r="F20" s="46"/>
      <c r="H20" s="54"/>
      <c r="I20" s="54"/>
      <c r="J20" s="33">
        <f>'3. GAW model'!L28</f>
        <v>1212701.7403922274</v>
      </c>
      <c r="K20" s="33">
        <f>'3. GAW model'!M28</f>
        <v>2045932.932761908</v>
      </c>
      <c r="L20" s="33">
        <f>'3. GAW model'!N28</f>
        <v>2899790.6724826517</v>
      </c>
      <c r="M20" s="33">
        <f>'3. GAW model'!O28</f>
        <v>3774670.1653577369</v>
      </c>
      <c r="N20" s="33">
        <f>'3. GAW model'!P28</f>
        <v>4331584.4815095356</v>
      </c>
    </row>
    <row r="21" spans="2:15">
      <c r="B21" s="9" t="s">
        <v>197</v>
      </c>
      <c r="D21" s="9" t="s">
        <v>80</v>
      </c>
      <c r="F21" s="46"/>
      <c r="H21" s="54"/>
      <c r="I21" s="54"/>
      <c r="J21" s="33">
        <f>'3. GAW model'!L29</f>
        <v>8692615.1244985722</v>
      </c>
      <c r="K21" s="33">
        <f>'3. GAW model'!M29</f>
        <v>11979519.651285462</v>
      </c>
      <c r="L21" s="33">
        <f>'3. GAW model'!N29</f>
        <v>14526033.076126296</v>
      </c>
      <c r="M21" s="33">
        <f>'3. GAW model'!O29</f>
        <v>16305809.25805987</v>
      </c>
      <c r="N21" s="33">
        <f>'3. GAW model'!P29</f>
        <v>17631273.248638965</v>
      </c>
    </row>
    <row r="22" spans="2:15">
      <c r="B22" s="9" t="s">
        <v>171</v>
      </c>
      <c r="D22" s="9" t="s">
        <v>80</v>
      </c>
      <c r="H22" s="33">
        <f>'3. GAW model'!J33</f>
        <v>962690820.97876239</v>
      </c>
      <c r="I22" s="54"/>
      <c r="J22" s="54"/>
      <c r="K22" s="54"/>
      <c r="L22" s="54"/>
      <c r="M22" s="54"/>
      <c r="N22" s="54"/>
    </row>
    <row r="23" spans="2:15">
      <c r="B23" s="9" t="s">
        <v>378</v>
      </c>
      <c r="D23" s="9" t="s">
        <v>80</v>
      </c>
      <c r="F23" s="46"/>
      <c r="H23" s="46"/>
      <c r="I23" s="46"/>
      <c r="J23" s="33">
        <f>'3. GAW model'!L13</f>
        <v>785106367.4295336</v>
      </c>
      <c r="K23" s="33">
        <f>'3. GAW model'!M13</f>
        <v>746417585.35484171</v>
      </c>
      <c r="L23" s="33">
        <f>'3. GAW model'!N13</f>
        <v>706968811.58704376</v>
      </c>
      <c r="M23" s="33">
        <f>'3. GAW model'!O13</f>
        <v>666749500.06701159</v>
      </c>
      <c r="N23" s="33">
        <f>'3. GAW model'!P13</f>
        <v>625748976.46588063</v>
      </c>
    </row>
    <row r="24" spans="2:15">
      <c r="B24" s="9" t="s">
        <v>380</v>
      </c>
      <c r="D24" s="9" t="s">
        <v>80</v>
      </c>
      <c r="F24" s="46"/>
      <c r="H24" s="46"/>
      <c r="I24" s="46"/>
      <c r="J24" s="33">
        <f>'3. GAW model'!L15</f>
        <v>80468669.030833304</v>
      </c>
      <c r="K24" s="33">
        <f>'3. GAW model'!M15</f>
        <v>76450438.722047806</v>
      </c>
      <c r="L24" s="33">
        <f>'3. GAW model'!N15</f>
        <v>72353362.305512652</v>
      </c>
      <c r="M24" s="33">
        <f>'3. GAW model'!O15</f>
        <v>68176346.027943403</v>
      </c>
      <c r="N24" s="33">
        <f>'3. GAW model'!P15</f>
        <v>63918282.835031144</v>
      </c>
    </row>
    <row r="25" spans="2:15">
      <c r="B25" s="9" t="s">
        <v>195</v>
      </c>
      <c r="D25" s="9" t="s">
        <v>80</v>
      </c>
      <c r="F25" s="46"/>
      <c r="H25" s="46"/>
      <c r="I25" s="46"/>
      <c r="J25" s="33">
        <f>'3. GAW model'!L17</f>
        <v>8073059.344754315</v>
      </c>
      <c r="K25" s="33">
        <f>'3. GAW model'!M17</f>
        <v>5919411.7497264156</v>
      </c>
      <c r="L25" s="33">
        <f>'3. GAW model'!N17</f>
        <v>4089293.913296293</v>
      </c>
      <c r="M25" s="33">
        <f>'3. GAW model'!O17</f>
        <v>2954822.452445149</v>
      </c>
      <c r="N25" s="33">
        <f>'3. GAW model'!P17</f>
        <v>2527463.8891988946</v>
      </c>
    </row>
    <row r="26" spans="2:15">
      <c r="F26" s="46"/>
      <c r="H26" s="46"/>
      <c r="I26" s="46"/>
      <c r="J26" s="46"/>
      <c r="K26" s="46"/>
      <c r="L26" s="46"/>
      <c r="M26" s="46"/>
      <c r="N26" s="46"/>
      <c r="O26" s="46"/>
    </row>
    <row r="27" spans="2:15">
      <c r="B27" s="8" t="s">
        <v>233</v>
      </c>
      <c r="F27" s="46"/>
      <c r="H27" s="46"/>
      <c r="I27" s="46"/>
      <c r="J27" s="46"/>
      <c r="K27" s="46"/>
      <c r="L27" s="46"/>
      <c r="M27" s="46"/>
      <c r="N27" s="46"/>
      <c r="O27" s="46"/>
    </row>
    <row r="28" spans="2:15">
      <c r="B28" s="9" t="s">
        <v>239</v>
      </c>
      <c r="D28" s="9" t="s">
        <v>80</v>
      </c>
      <c r="F28" s="46"/>
      <c r="H28" s="54"/>
      <c r="I28" s="54"/>
      <c r="J28" s="33">
        <f>'3. GAW model'!L37</f>
        <v>383678.81612914009</v>
      </c>
      <c r="K28" s="33">
        <f>'3. GAW model'!M37</f>
        <v>647299.41367761174</v>
      </c>
      <c r="L28" s="33">
        <f>'3. GAW model'!N37</f>
        <v>917445.91038569738</v>
      </c>
      <c r="M28" s="33">
        <f>'3. GAW model'!O37</f>
        <v>1194243.3428470443</v>
      </c>
      <c r="N28" s="33">
        <f>'3. GAW model'!P37</f>
        <v>1350669.5356257288</v>
      </c>
      <c r="O28" s="46"/>
    </row>
    <row r="29" spans="2:15">
      <c r="B29" s="9" t="s">
        <v>240</v>
      </c>
      <c r="D29" s="9" t="s">
        <v>80</v>
      </c>
      <c r="F29" s="46"/>
      <c r="H29" s="54"/>
      <c r="I29" s="54"/>
      <c r="J29" s="33">
        <f>'3. GAW model'!L38</f>
        <v>2151813.5888844361</v>
      </c>
      <c r="K29" s="33">
        <f>'3. GAW model'!M38</f>
        <v>2881335.5765289222</v>
      </c>
      <c r="L29" s="33">
        <f>'3. GAW model'!N38</f>
        <v>3368947.1782356328</v>
      </c>
      <c r="M29" s="33">
        <f>'3. GAW model'!O38</f>
        <v>3606166.2112491052</v>
      </c>
      <c r="N29" s="33">
        <f>'3. GAW model'!P38</f>
        <v>3711461.8512944742</v>
      </c>
      <c r="O29" s="46"/>
    </row>
    <row r="30" spans="2:15">
      <c r="B30" s="9" t="s">
        <v>241</v>
      </c>
      <c r="D30" s="9" t="s">
        <v>80</v>
      </c>
      <c r="F30" s="46"/>
      <c r="H30" s="33">
        <f>'3. GAW model'!J42</f>
        <v>1507241.9749999996</v>
      </c>
      <c r="I30" s="54"/>
      <c r="J30" s="54"/>
      <c r="K30" s="54"/>
      <c r="L30" s="54"/>
      <c r="M30" s="54"/>
      <c r="N30" s="54"/>
      <c r="O30" s="46"/>
    </row>
    <row r="31" spans="2:15">
      <c r="B31" s="9" t="s">
        <v>235</v>
      </c>
      <c r="D31" s="9" t="s">
        <v>80</v>
      </c>
      <c r="F31" s="46"/>
      <c r="H31" s="46"/>
      <c r="I31" s="46"/>
      <c r="J31" s="33">
        <f>'3. GAW model'!L22</f>
        <v>0</v>
      </c>
      <c r="K31" s="33">
        <f>'3. GAW model'!M22</f>
        <v>0</v>
      </c>
      <c r="L31" s="33">
        <f>'3. GAW model'!N22</f>
        <v>0</v>
      </c>
      <c r="M31" s="33">
        <f>'3. GAW model'!O22</f>
        <v>0</v>
      </c>
      <c r="N31" s="33">
        <f>'3. GAW model'!P22</f>
        <v>0</v>
      </c>
      <c r="O31" s="46"/>
    </row>
    <row r="32" spans="2:15">
      <c r="B32" s="9" t="s">
        <v>237</v>
      </c>
      <c r="D32" s="9" t="s">
        <v>80</v>
      </c>
      <c r="F32" s="46"/>
      <c r="H32" s="46"/>
      <c r="I32" s="46"/>
      <c r="J32" s="33">
        <f>'3. GAW model'!L24</f>
        <v>904888.00290222489</v>
      </c>
      <c r="K32" s="33">
        <f>'3. GAW model'!M24</f>
        <v>596930.05335750501</v>
      </c>
      <c r="L32" s="33">
        <f>'3. GAW model'!N24</f>
        <v>283355.56479274516</v>
      </c>
      <c r="M32" s="33">
        <f>'3. GAW model'!O24</f>
        <v>4313.2300164363314</v>
      </c>
      <c r="N32" s="33">
        <f>'3. GAW model'!P24</f>
        <v>3466.8865604979542</v>
      </c>
      <c r="O32" s="46"/>
    </row>
    <row r="33" spans="2:16">
      <c r="F33" s="46"/>
      <c r="H33" s="46"/>
      <c r="I33" s="46"/>
      <c r="J33" s="46"/>
      <c r="K33" s="46"/>
      <c r="L33" s="46"/>
      <c r="M33" s="46"/>
      <c r="N33" s="46"/>
      <c r="O33" s="46"/>
    </row>
    <row r="34" spans="2:16" s="1" customFormat="1">
      <c r="B34" s="1" t="s">
        <v>159</v>
      </c>
    </row>
    <row r="35" spans="2:16">
      <c r="F35" s="46"/>
      <c r="H35" s="46"/>
      <c r="I35" s="46"/>
      <c r="J35" s="46"/>
      <c r="K35" s="46"/>
      <c r="L35" s="46"/>
      <c r="M35" s="47"/>
      <c r="N35" s="47"/>
      <c r="O35" s="24"/>
    </row>
    <row r="36" spans="2:16">
      <c r="B36" s="9" t="s">
        <v>238</v>
      </c>
      <c r="D36" s="9" t="s">
        <v>80</v>
      </c>
      <c r="F36" s="46"/>
      <c r="H36" s="34">
        <f>H22+H30</f>
        <v>964198062.95376241</v>
      </c>
      <c r="I36" s="46"/>
      <c r="J36" s="46"/>
      <c r="K36" s="46"/>
      <c r="L36" s="46"/>
      <c r="M36" s="46"/>
      <c r="N36" s="46"/>
      <c r="O36" s="24"/>
    </row>
    <row r="37" spans="2:16">
      <c r="B37" s="9" t="s">
        <v>242</v>
      </c>
      <c r="D37" s="9" t="s">
        <v>80</v>
      </c>
      <c r="F37" s="46"/>
      <c r="H37" s="46"/>
      <c r="I37" s="46"/>
      <c r="J37" s="34">
        <f>SUM(J23:J25,J31:J32)</f>
        <v>874552983.80802357</v>
      </c>
      <c r="K37" s="34">
        <f t="shared" ref="K37:N37" si="0">SUM(K23:K25,K31:K32)</f>
        <v>829384365.87997341</v>
      </c>
      <c r="L37" s="34">
        <f t="shared" si="0"/>
        <v>783694823.37064552</v>
      </c>
      <c r="M37" s="34">
        <f t="shared" si="0"/>
        <v>737884981.77741659</v>
      </c>
      <c r="N37" s="34">
        <f t="shared" si="0"/>
        <v>692198190.07667112</v>
      </c>
      <c r="O37" s="24"/>
      <c r="P37" s="95">
        <v>6</v>
      </c>
    </row>
    <row r="38" spans="2:16">
      <c r="B38" s="9" t="s">
        <v>243</v>
      </c>
      <c r="D38" s="9" t="s">
        <v>80</v>
      </c>
      <c r="F38" s="46"/>
      <c r="H38" s="54"/>
      <c r="I38" s="54"/>
      <c r="J38" s="34">
        <f>J21+J29</f>
        <v>10844428.713383008</v>
      </c>
      <c r="K38" s="34">
        <f t="shared" ref="K38:N38" si="1">K21+K29</f>
        <v>14860855.227814384</v>
      </c>
      <c r="L38" s="34">
        <f t="shared" si="1"/>
        <v>17894980.254361928</v>
      </c>
      <c r="M38" s="34">
        <f t="shared" si="1"/>
        <v>19911975.469308976</v>
      </c>
      <c r="N38" s="34">
        <f t="shared" si="1"/>
        <v>21342735.099933438</v>
      </c>
      <c r="O38" s="24"/>
      <c r="P38" s="95">
        <v>6</v>
      </c>
    </row>
    <row r="39" spans="2:16">
      <c r="B39" s="9" t="s">
        <v>160</v>
      </c>
      <c r="D39" s="9" t="s">
        <v>80</v>
      </c>
      <c r="F39" s="46"/>
      <c r="H39" s="54"/>
      <c r="I39" s="54"/>
      <c r="J39" s="34">
        <f>MAX(0,J37+J38-$H36)</f>
        <v>0</v>
      </c>
      <c r="K39" s="34">
        <f t="shared" ref="K39:N39" si="2">MAX(0,K37+K38-$H36)</f>
        <v>0</v>
      </c>
      <c r="L39" s="34">
        <f t="shared" si="2"/>
        <v>0</v>
      </c>
      <c r="M39" s="34">
        <f t="shared" si="2"/>
        <v>0</v>
      </c>
      <c r="N39" s="34">
        <f t="shared" si="2"/>
        <v>0</v>
      </c>
      <c r="O39" s="24"/>
      <c r="P39" s="95">
        <v>6</v>
      </c>
    </row>
    <row r="40" spans="2:16">
      <c r="B40" s="9" t="s">
        <v>161</v>
      </c>
      <c r="D40" s="9" t="s">
        <v>75</v>
      </c>
      <c r="F40" s="46"/>
      <c r="H40" s="54"/>
      <c r="I40" s="54"/>
      <c r="J40" s="4">
        <f>J39/J38</f>
        <v>0</v>
      </c>
      <c r="K40" s="4">
        <f t="shared" ref="K40:N40" si="3">K39/K38</f>
        <v>0</v>
      </c>
      <c r="L40" s="4">
        <f t="shared" si="3"/>
        <v>0</v>
      </c>
      <c r="M40" s="4">
        <f t="shared" si="3"/>
        <v>0</v>
      </c>
      <c r="N40" s="4">
        <f t="shared" si="3"/>
        <v>0</v>
      </c>
      <c r="O40" s="24"/>
      <c r="P40" s="95">
        <v>6</v>
      </c>
    </row>
    <row r="41" spans="2:16">
      <c r="B41" s="9" t="s">
        <v>162</v>
      </c>
      <c r="D41" s="9" t="s">
        <v>75</v>
      </c>
      <c r="F41" s="46"/>
      <c r="H41" s="54"/>
      <c r="I41" s="54"/>
      <c r="J41" s="4">
        <f>1-J40</f>
        <v>1</v>
      </c>
      <c r="K41" s="4">
        <f>1-K40</f>
        <v>1</v>
      </c>
      <c r="L41" s="4">
        <f>1-L40</f>
        <v>1</v>
      </c>
      <c r="M41" s="4">
        <f>1-M40</f>
        <v>1</v>
      </c>
      <c r="N41" s="4">
        <f>1-N40</f>
        <v>1</v>
      </c>
      <c r="O41" s="24"/>
      <c r="P41" s="95">
        <v>7</v>
      </c>
    </row>
    <row r="42" spans="2:16" s="46" customFormat="1">
      <c r="H42" s="54"/>
      <c r="I42" s="54"/>
      <c r="J42" s="87"/>
      <c r="K42" s="87"/>
      <c r="L42" s="87"/>
      <c r="M42" s="87"/>
      <c r="N42" s="87"/>
      <c r="O42" s="88"/>
      <c r="P42" s="98"/>
    </row>
    <row r="43" spans="2:16" s="1" customFormat="1">
      <c r="B43" s="1" t="s">
        <v>208</v>
      </c>
    </row>
    <row r="44" spans="2:16">
      <c r="F44" s="46"/>
      <c r="H44" s="46"/>
      <c r="I44" s="46"/>
      <c r="J44" s="46"/>
      <c r="K44" s="46"/>
      <c r="L44" s="46"/>
      <c r="M44" s="46"/>
      <c r="N44" s="46"/>
      <c r="O44" s="24"/>
    </row>
    <row r="45" spans="2:16">
      <c r="B45" s="8" t="s">
        <v>209</v>
      </c>
      <c r="F45" s="46"/>
      <c r="H45" s="46"/>
      <c r="I45" s="46"/>
      <c r="J45" s="46"/>
      <c r="K45" s="46"/>
      <c r="L45" s="46"/>
      <c r="M45" s="46"/>
      <c r="N45" s="46"/>
      <c r="O45" s="24"/>
    </row>
    <row r="46" spans="2:16">
      <c r="B46" s="9" t="s">
        <v>210</v>
      </c>
      <c r="D46" s="9" t="s">
        <v>80</v>
      </c>
      <c r="F46" s="46"/>
      <c r="H46" s="54"/>
      <c r="I46" s="54"/>
      <c r="J46" s="34">
        <f>J$17*J21*J$40+J$16*J21*J$41</f>
        <v>243393.22348596001</v>
      </c>
      <c r="K46" s="34">
        <f t="shared" ref="K46:N46" si="4">K$17*K21*K$40+K$16*K21*K$41</f>
        <v>335426.55023599294</v>
      </c>
      <c r="L46" s="34">
        <f t="shared" si="4"/>
        <v>479359.09151216777</v>
      </c>
      <c r="M46" s="34">
        <f t="shared" si="4"/>
        <v>538091.70551597571</v>
      </c>
      <c r="N46" s="34">
        <f t="shared" si="4"/>
        <v>581832.01720508584</v>
      </c>
      <c r="O46" s="24"/>
      <c r="P46" s="95">
        <v>5</v>
      </c>
    </row>
    <row r="47" spans="2:16">
      <c r="F47" s="46"/>
      <c r="H47" s="46"/>
      <c r="I47" s="46"/>
      <c r="J47" s="59"/>
      <c r="K47" s="59"/>
      <c r="L47" s="59"/>
      <c r="M47" s="59"/>
      <c r="N47" s="59"/>
      <c r="O47" s="24"/>
    </row>
    <row r="48" spans="2:16">
      <c r="B48" s="8" t="s">
        <v>211</v>
      </c>
      <c r="O48" s="24"/>
    </row>
    <row r="49" spans="2:16">
      <c r="B49" s="9" t="s">
        <v>175</v>
      </c>
      <c r="D49" s="9" t="s">
        <v>80</v>
      </c>
      <c r="H49" s="54"/>
      <c r="I49" s="54"/>
      <c r="J49" s="30">
        <f>J46+J20</f>
        <v>1456094.9638781874</v>
      </c>
      <c r="K49" s="30">
        <f>K46+K20</f>
        <v>2381359.4829979008</v>
      </c>
      <c r="L49" s="30">
        <f>L46+L20</f>
        <v>3379149.7639948195</v>
      </c>
      <c r="M49" s="30">
        <f>M46+M20</f>
        <v>4312761.8708737129</v>
      </c>
      <c r="N49" s="30">
        <f>N46+N20</f>
        <v>4913416.4987146212</v>
      </c>
      <c r="O49" s="24"/>
      <c r="P49" s="95">
        <v>5</v>
      </c>
    </row>
    <row r="50" spans="2:16" ht="12.75" customHeight="1"/>
    <row r="51" spans="2:16" s="1" customFormat="1">
      <c r="B51" s="1" t="s">
        <v>244</v>
      </c>
    </row>
    <row r="53" spans="2:16">
      <c r="B53" s="8" t="s">
        <v>209</v>
      </c>
    </row>
    <row r="54" spans="2:16">
      <c r="B54" s="9" t="s">
        <v>245</v>
      </c>
      <c r="D54" s="9" t="s">
        <v>80</v>
      </c>
      <c r="J54" s="34">
        <f>J$17*J29*J$40+J$16*J29*J$41</f>
        <v>60250.780488764212</v>
      </c>
      <c r="K54" s="34">
        <f t="shared" ref="K54:M54" si="5">K$17*K29*K$40+K$16*K29*K$41</f>
        <v>80677.396142809826</v>
      </c>
      <c r="L54" s="34">
        <f t="shared" si="5"/>
        <v>111175.25688177589</v>
      </c>
      <c r="M54" s="34">
        <f t="shared" si="5"/>
        <v>119003.48497122047</v>
      </c>
      <c r="N54" s="34">
        <f>N$17*N29*N$40+N$16*N29*N$41</f>
        <v>122478.24109271765</v>
      </c>
      <c r="P54" s="95">
        <v>5</v>
      </c>
    </row>
    <row r="55" spans="2:16">
      <c r="J55" s="46"/>
      <c r="K55" s="46"/>
      <c r="L55" s="46"/>
      <c r="M55" s="46"/>
      <c r="N55" s="46"/>
    </row>
    <row r="56" spans="2:16">
      <c r="B56" s="8" t="s">
        <v>211</v>
      </c>
    </row>
    <row r="57" spans="2:16">
      <c r="B57" s="9" t="s">
        <v>246</v>
      </c>
      <c r="D57" s="9" t="s">
        <v>80</v>
      </c>
      <c r="J57" s="30">
        <f>J28+J54</f>
        <v>443929.59661790432</v>
      </c>
      <c r="K57" s="30">
        <f t="shared" ref="K57:N57" si="6">K28+K54</f>
        <v>727976.80982042151</v>
      </c>
      <c r="L57" s="30">
        <f t="shared" si="6"/>
        <v>1028621.1672674733</v>
      </c>
      <c r="M57" s="30">
        <f t="shared" si="6"/>
        <v>1313246.8278182647</v>
      </c>
      <c r="N57" s="30">
        <f t="shared" si="6"/>
        <v>1473147.7767184465</v>
      </c>
      <c r="P57" s="95">
        <v>5</v>
      </c>
    </row>
    <row r="58" spans="2:16">
      <c r="J58" s="45"/>
    </row>
  </sheetData>
  <mergeCells count="1">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tabColor rgb="FFFFFFCC"/>
  </sheetPr>
  <dimension ref="A2:T125"/>
  <sheetViews>
    <sheetView showGridLines="0" zoomScale="85" zoomScaleNormal="85" workbookViewId="0">
      <pane xSplit="4" ySplit="11" topLeftCell="E12" activePane="bottomRight" state="frozen"/>
      <selection pane="topRight" activeCell="E1" sqref="E1"/>
      <selection pane="bottomLeft" activeCell="A12" sqref="A12"/>
      <selection pane="bottomRight" activeCell="E12" sqref="E12"/>
    </sheetView>
  </sheetViews>
  <sheetFormatPr defaultColWidth="9.140625" defaultRowHeight="12.75"/>
  <cols>
    <col min="1" max="1" width="4.7109375" style="9" customWidth="1"/>
    <col min="2" max="2" width="98" style="9" customWidth="1"/>
    <col min="3" max="3" width="2.7109375" style="9" customWidth="1"/>
    <col min="4" max="4" width="13.7109375" style="9" customWidth="1"/>
    <col min="5" max="5" width="2.7109375" style="9" customWidth="1"/>
    <col min="6" max="6" width="13.7109375" style="9" customWidth="1"/>
    <col min="7" max="7" width="2.7109375" style="9" customWidth="1"/>
    <col min="8" max="16" width="16.7109375" style="9" customWidth="1"/>
    <col min="17" max="17" width="2.7109375" style="9" customWidth="1"/>
    <col min="18" max="18" width="13.7109375" style="9" customWidth="1"/>
    <col min="19" max="19" width="2.7109375" style="9" customWidth="1"/>
    <col min="20" max="32" width="13.7109375" style="9" customWidth="1"/>
    <col min="33" max="16384" width="9.140625" style="9"/>
  </cols>
  <sheetData>
    <row r="2" spans="1:20" s="23" customFormat="1" ht="18">
      <c r="B2" s="23" t="s">
        <v>98</v>
      </c>
      <c r="R2" s="99"/>
    </row>
    <row r="4" spans="1:20">
      <c r="B4" s="123" t="s">
        <v>56</v>
      </c>
      <c r="C4" s="123"/>
    </row>
    <row r="5" spans="1:20" ht="37.5" customHeight="1">
      <c r="A5" s="40"/>
      <c r="B5" s="120" t="s">
        <v>198</v>
      </c>
      <c r="C5" s="120"/>
      <c r="D5" s="120"/>
      <c r="E5" s="40"/>
      <c r="F5" s="40"/>
    </row>
    <row r="6" spans="1:20">
      <c r="A6" s="40"/>
      <c r="B6" s="42"/>
      <c r="C6" s="42"/>
      <c r="D6" s="42"/>
      <c r="E6" s="40"/>
      <c r="F6" s="40"/>
    </row>
    <row r="7" spans="1:20">
      <c r="A7" s="40"/>
      <c r="B7" s="124" t="s">
        <v>30</v>
      </c>
      <c r="C7" s="124"/>
      <c r="D7" s="42"/>
      <c r="E7" s="40"/>
      <c r="F7" s="40"/>
    </row>
    <row r="8" spans="1:20" ht="153" customHeight="1">
      <c r="A8" s="40"/>
      <c r="B8" s="120" t="s">
        <v>363</v>
      </c>
      <c r="C8" s="120"/>
      <c r="D8" s="120"/>
      <c r="E8" s="40"/>
      <c r="F8" s="40"/>
    </row>
    <row r="9" spans="1:20">
      <c r="A9" s="40"/>
      <c r="B9" s="40"/>
      <c r="C9" s="40"/>
      <c r="D9" s="40"/>
      <c r="E9" s="40"/>
      <c r="F9" s="40"/>
    </row>
    <row r="10" spans="1:20" s="1" customFormat="1">
      <c r="B10" s="1" t="s">
        <v>45</v>
      </c>
      <c r="D10" s="1" t="s">
        <v>27</v>
      </c>
      <c r="F10" s="1" t="s">
        <v>28</v>
      </c>
      <c r="H10" s="1">
        <v>2018</v>
      </c>
      <c r="I10" s="1">
        <v>2019</v>
      </c>
      <c r="J10" s="1">
        <v>2020</v>
      </c>
      <c r="K10" s="1">
        <v>2021</v>
      </c>
      <c r="L10" s="1">
        <v>2022</v>
      </c>
      <c r="M10" s="1">
        <v>2023</v>
      </c>
      <c r="N10" s="1">
        <v>2024</v>
      </c>
      <c r="O10" s="1">
        <v>2025</v>
      </c>
      <c r="P10" s="1">
        <v>2026</v>
      </c>
      <c r="R10" s="1" t="s">
        <v>101</v>
      </c>
      <c r="T10" s="1" t="s">
        <v>47</v>
      </c>
    </row>
    <row r="13" spans="1:20" s="15" customFormat="1">
      <c r="B13" s="15" t="s">
        <v>48</v>
      </c>
    </row>
    <row r="15" spans="1:20">
      <c r="B15" s="8" t="s">
        <v>92</v>
      </c>
    </row>
    <row r="16" spans="1:20">
      <c r="B16" s="9" t="s">
        <v>89</v>
      </c>
      <c r="D16" s="9" t="s">
        <v>97</v>
      </c>
      <c r="L16" s="41">
        <f>'5. Berekening op parameters'!L25</f>
        <v>1.075959948088</v>
      </c>
      <c r="M16" s="41">
        <f>'5. Berekening op parameters'!M25</f>
        <v>1.0953272271535839</v>
      </c>
      <c r="N16" s="41">
        <f>'5. Berekening op parameters'!N25</f>
        <v>1.1150431172423485</v>
      </c>
      <c r="O16" s="41">
        <f>'5. Berekening op parameters'!O25</f>
        <v>1.1351138933527105</v>
      </c>
      <c r="P16" s="41">
        <f>'5. Berekening op parameters'!P25</f>
        <v>1.1555459434330595</v>
      </c>
    </row>
    <row r="17" spans="2:16">
      <c r="B17" s="9" t="s">
        <v>90</v>
      </c>
      <c r="D17" s="9" t="s">
        <v>97</v>
      </c>
      <c r="L17" s="41">
        <f>'5. Berekening op parameters'!L26</f>
        <v>1.0538295280000001</v>
      </c>
      <c r="M17" s="41">
        <f>'5. Berekening op parameters'!M26</f>
        <v>1.0727984595039999</v>
      </c>
      <c r="N17" s="41">
        <f>'5. Berekening op parameters'!N26</f>
        <v>1.092108831775072</v>
      </c>
      <c r="O17" s="41">
        <f>'5. Berekening op parameters'!O26</f>
        <v>1.1117667907470232</v>
      </c>
      <c r="P17" s="41">
        <f>'5. Berekening op parameters'!P26</f>
        <v>1.1317785929804698</v>
      </c>
    </row>
    <row r="18" spans="2:16">
      <c r="B18" s="9" t="s">
        <v>91</v>
      </c>
      <c r="D18" s="9" t="s">
        <v>97</v>
      </c>
      <c r="L18" s="41">
        <f>'5. Berekening op parameters'!L27</f>
        <v>1.025126</v>
      </c>
      <c r="M18" s="41">
        <f>'5. Berekening op parameters'!M27</f>
        <v>1.0435782679999999</v>
      </c>
      <c r="N18" s="41">
        <f>'5. Berekening op parameters'!N27</f>
        <v>1.062362676824</v>
      </c>
      <c r="O18" s="41">
        <f>'5. Berekening op parameters'!O27</f>
        <v>1.081485205006832</v>
      </c>
      <c r="P18" s="41">
        <f>'5. Berekening op parameters'!P27</f>
        <v>1.1009519386969551</v>
      </c>
    </row>
    <row r="19" spans="2:16">
      <c r="B19" s="9" t="s">
        <v>305</v>
      </c>
      <c r="D19" s="9" t="s">
        <v>97</v>
      </c>
      <c r="L19" s="41">
        <f>'5. Berekening op parameters'!L28</f>
        <v>1.018</v>
      </c>
      <c r="M19" s="41">
        <f>'5. Berekening op parameters'!M28</f>
        <v>1.036324</v>
      </c>
      <c r="N19" s="41">
        <f>'5. Berekening op parameters'!N28</f>
        <v>1.0549778320000001</v>
      </c>
      <c r="O19" s="41">
        <f>'5. Berekening op parameters'!O28</f>
        <v>1.0739674329760001</v>
      </c>
      <c r="P19" s="41">
        <f>'5. Berekening op parameters'!P28</f>
        <v>1.0932988467695681</v>
      </c>
    </row>
    <row r="20" spans="2:16">
      <c r="B20" s="9" t="s">
        <v>306</v>
      </c>
      <c r="D20" s="9" t="s">
        <v>97</v>
      </c>
      <c r="L20" s="41">
        <f>'5. Berekening op parameters'!L29</f>
        <v>1</v>
      </c>
      <c r="M20" s="41">
        <f>'5. Berekening op parameters'!M29</f>
        <v>1.018</v>
      </c>
      <c r="N20" s="41">
        <f>'5. Berekening op parameters'!N29</f>
        <v>1.036324</v>
      </c>
      <c r="O20" s="41">
        <f>'5. Berekening op parameters'!O29</f>
        <v>1.0549778320000001</v>
      </c>
      <c r="P20" s="41">
        <f>'5. Berekening op parameters'!P29</f>
        <v>1.0739674329760001</v>
      </c>
    </row>
    <row r="21" spans="2:16">
      <c r="B21" s="9" t="s">
        <v>307</v>
      </c>
      <c r="D21" s="9" t="s">
        <v>97</v>
      </c>
      <c r="L21" s="111"/>
      <c r="M21" s="41">
        <f>'5. Berekening op parameters'!M30</f>
        <v>1</v>
      </c>
      <c r="N21" s="41">
        <f>'5. Berekening op parameters'!N30</f>
        <v>1.018</v>
      </c>
      <c r="O21" s="41">
        <f>'5. Berekening op parameters'!O30</f>
        <v>1.036324</v>
      </c>
      <c r="P21" s="41">
        <f>'5. Berekening op parameters'!P30</f>
        <v>1.0549778320000001</v>
      </c>
    </row>
    <row r="22" spans="2:16">
      <c r="B22" s="9" t="s">
        <v>308</v>
      </c>
      <c r="D22" s="9" t="s">
        <v>97</v>
      </c>
      <c r="L22" s="111"/>
      <c r="M22" s="111"/>
      <c r="N22" s="41">
        <f>'5. Berekening op parameters'!N31</f>
        <v>1</v>
      </c>
      <c r="O22" s="41">
        <f>'5. Berekening op parameters'!O31</f>
        <v>1.018</v>
      </c>
      <c r="P22" s="41">
        <f>'5. Berekening op parameters'!P31</f>
        <v>1.036324</v>
      </c>
    </row>
    <row r="23" spans="2:16">
      <c r="B23" s="9" t="s">
        <v>309</v>
      </c>
      <c r="D23" s="9" t="s">
        <v>97</v>
      </c>
      <c r="L23" s="111"/>
      <c r="M23" s="111"/>
      <c r="N23" s="111"/>
      <c r="O23" s="41">
        <f>'5. Berekening op parameters'!O32</f>
        <v>1</v>
      </c>
      <c r="P23" s="41">
        <f>'5. Berekening op parameters'!P32</f>
        <v>1.018</v>
      </c>
    </row>
    <row r="24" spans="2:16">
      <c r="B24" s="9" t="s">
        <v>310</v>
      </c>
      <c r="D24" s="9" t="s">
        <v>97</v>
      </c>
      <c r="L24" s="111"/>
      <c r="M24" s="111"/>
      <c r="N24" s="111"/>
      <c r="O24" s="111"/>
      <c r="P24" s="41">
        <f>'5. Berekening op parameters'!P33</f>
        <v>1</v>
      </c>
    </row>
    <row r="26" spans="2:16">
      <c r="B26" s="8" t="s">
        <v>93</v>
      </c>
    </row>
    <row r="27" spans="2:16">
      <c r="B27" s="9" t="s">
        <v>94</v>
      </c>
      <c r="D27" s="9" t="s">
        <v>147</v>
      </c>
      <c r="L27" s="41">
        <f>'5. Berekening op parameters'!L40</f>
        <v>0.998</v>
      </c>
      <c r="M27" s="41">
        <f>'5. Berekening op parameters'!M40</f>
        <v>0.996004</v>
      </c>
      <c r="N27" s="41">
        <f>'5. Berekening op parameters'!N40</f>
        <v>0.99401199200000001</v>
      </c>
      <c r="O27" s="41">
        <f>'5. Berekening op parameters'!O40</f>
        <v>0.99202396801600001</v>
      </c>
      <c r="P27" s="41">
        <f>'5. Berekening op parameters'!P40</f>
        <v>0.99003992007996799</v>
      </c>
    </row>
    <row r="28" spans="2:16">
      <c r="B28" s="9" t="s">
        <v>95</v>
      </c>
      <c r="D28" s="9" t="s">
        <v>147</v>
      </c>
      <c r="L28" s="41">
        <f>'5. Berekening op parameters'!L41</f>
        <v>0.998</v>
      </c>
      <c r="M28" s="41">
        <f>'5. Berekening op parameters'!M41</f>
        <v>0.996004</v>
      </c>
      <c r="N28" s="41">
        <f>'5. Berekening op parameters'!N41</f>
        <v>0.99401199200000001</v>
      </c>
      <c r="O28" s="41">
        <f>'5. Berekening op parameters'!O41</f>
        <v>0.99202396801600001</v>
      </c>
      <c r="P28" s="41">
        <f>'5. Berekening op parameters'!P41</f>
        <v>0.99003992007996799</v>
      </c>
    </row>
    <row r="29" spans="2:16">
      <c r="B29" s="9" t="s">
        <v>96</v>
      </c>
      <c r="D29" s="9" t="s">
        <v>147</v>
      </c>
      <c r="L29" s="41">
        <f>'5. Berekening op parameters'!L42</f>
        <v>0.998</v>
      </c>
      <c r="M29" s="41">
        <f>'5. Berekening op parameters'!M42</f>
        <v>0.996004</v>
      </c>
      <c r="N29" s="41">
        <f>'5. Berekening op parameters'!N42</f>
        <v>0.99401199200000001</v>
      </c>
      <c r="O29" s="41">
        <f>'5. Berekening op parameters'!O42</f>
        <v>0.99202396801600001</v>
      </c>
      <c r="P29" s="41">
        <f>'5. Berekening op parameters'!P42</f>
        <v>0.99003992007996799</v>
      </c>
    </row>
    <row r="30" spans="2:16">
      <c r="B30" s="9" t="s">
        <v>311</v>
      </c>
      <c r="D30" s="9" t="s">
        <v>147</v>
      </c>
      <c r="L30" s="41">
        <f>'5. Berekening op parameters'!L43</f>
        <v>0.998</v>
      </c>
      <c r="M30" s="41">
        <f>'5. Berekening op parameters'!M43</f>
        <v>0.996004</v>
      </c>
      <c r="N30" s="41">
        <f>'5. Berekening op parameters'!N43</f>
        <v>0.99401199200000001</v>
      </c>
      <c r="O30" s="41">
        <f>'5. Berekening op parameters'!O43</f>
        <v>0.99202396801600001</v>
      </c>
      <c r="P30" s="41">
        <f>'5. Berekening op parameters'!P43</f>
        <v>0.99003992007996799</v>
      </c>
    </row>
    <row r="31" spans="2:16">
      <c r="B31" s="9" t="s">
        <v>312</v>
      </c>
      <c r="D31" s="9" t="s">
        <v>147</v>
      </c>
      <c r="L31" s="41">
        <f>'5. Berekening op parameters'!L44</f>
        <v>1</v>
      </c>
      <c r="M31" s="41">
        <f>'5. Berekening op parameters'!M44</f>
        <v>0.998</v>
      </c>
      <c r="N31" s="41">
        <f>'5. Berekening op parameters'!N44</f>
        <v>0.996004</v>
      </c>
      <c r="O31" s="41">
        <f>'5. Berekening op parameters'!O44</f>
        <v>0.99401199200000001</v>
      </c>
      <c r="P31" s="41">
        <f>'5. Berekening op parameters'!P44</f>
        <v>0.99202396801600001</v>
      </c>
    </row>
    <row r="32" spans="2:16">
      <c r="B32" s="9" t="s">
        <v>313</v>
      </c>
      <c r="D32" s="9" t="s">
        <v>147</v>
      </c>
      <c r="L32" s="111"/>
      <c r="M32" s="41">
        <f>'5. Berekening op parameters'!M45</f>
        <v>1</v>
      </c>
      <c r="N32" s="41">
        <f>'5. Berekening op parameters'!N45</f>
        <v>0.998</v>
      </c>
      <c r="O32" s="41">
        <f>'5. Berekening op parameters'!O45</f>
        <v>0.996004</v>
      </c>
      <c r="P32" s="41">
        <f>'5. Berekening op parameters'!P45</f>
        <v>0.99401199200000001</v>
      </c>
    </row>
    <row r="33" spans="2:16">
      <c r="B33" s="9" t="s">
        <v>314</v>
      </c>
      <c r="D33" s="9" t="s">
        <v>147</v>
      </c>
      <c r="L33" s="111"/>
      <c r="M33" s="111"/>
      <c r="N33" s="41">
        <f>'5. Berekening op parameters'!N46</f>
        <v>1</v>
      </c>
      <c r="O33" s="41">
        <f>'5. Berekening op parameters'!O46</f>
        <v>0.998</v>
      </c>
      <c r="P33" s="41">
        <f>'5. Berekening op parameters'!P46</f>
        <v>0.996004</v>
      </c>
    </row>
    <row r="34" spans="2:16">
      <c r="B34" s="9" t="s">
        <v>315</v>
      </c>
      <c r="D34" s="9" t="s">
        <v>147</v>
      </c>
      <c r="L34" s="111"/>
      <c r="M34" s="111"/>
      <c r="N34" s="111"/>
      <c r="O34" s="41">
        <f>'5. Berekening op parameters'!O47</f>
        <v>1</v>
      </c>
      <c r="P34" s="41">
        <f>'5. Berekening op parameters'!P47</f>
        <v>0.998</v>
      </c>
    </row>
    <row r="35" spans="2:16">
      <c r="B35" s="9" t="s">
        <v>316</v>
      </c>
      <c r="D35" s="9" t="s">
        <v>147</v>
      </c>
      <c r="L35" s="111"/>
      <c r="M35" s="111"/>
      <c r="N35" s="111"/>
      <c r="O35" s="111"/>
      <c r="P35" s="41">
        <f>'5. Berekening op parameters'!P48</f>
        <v>1</v>
      </c>
    </row>
    <row r="37" spans="2:16">
      <c r="B37" s="8" t="s">
        <v>205</v>
      </c>
    </row>
    <row r="38" spans="2:16">
      <c r="B38" s="9" t="s">
        <v>216</v>
      </c>
      <c r="D38" s="9" t="s">
        <v>75</v>
      </c>
      <c r="F38" s="100">
        <f>'2. Reguleringsparameters'!F34</f>
        <v>0.01</v>
      </c>
    </row>
    <row r="40" spans="2:16">
      <c r="B40" s="8" t="s">
        <v>277</v>
      </c>
    </row>
    <row r="41" spans="2:16">
      <c r="B41" s="9" t="s">
        <v>280</v>
      </c>
      <c r="D41" s="9" t="s">
        <v>75</v>
      </c>
      <c r="F41" s="100">
        <f>'2. Reguleringsparameters'!F38</f>
        <v>0.155</v>
      </c>
    </row>
    <row r="42" spans="2:16">
      <c r="B42" s="9" t="s">
        <v>281</v>
      </c>
      <c r="D42" s="9" t="s">
        <v>75</v>
      </c>
      <c r="F42" s="100">
        <f>'2. Reguleringsparameters'!F39</f>
        <v>0.155</v>
      </c>
    </row>
    <row r="43" spans="2:16">
      <c r="B43" s="9" t="s">
        <v>282</v>
      </c>
      <c r="D43" s="9" t="s">
        <v>75</v>
      </c>
      <c r="F43" s="100">
        <f>'2. Reguleringsparameters'!F40</f>
        <v>6.0999999999999999E-2</v>
      </c>
    </row>
    <row r="44" spans="2:16">
      <c r="B44" s="9" t="s">
        <v>283</v>
      </c>
      <c r="D44" s="9" t="s">
        <v>75</v>
      </c>
      <c r="F44" s="100">
        <f>'2. Reguleringsparameters'!F41</f>
        <v>6.0999999999999999E-2</v>
      </c>
    </row>
    <row r="46" spans="2:16">
      <c r="B46" s="8" t="s">
        <v>299</v>
      </c>
    </row>
    <row r="47" spans="2:16">
      <c r="B47" s="9" t="s">
        <v>300</v>
      </c>
      <c r="D47" s="9" t="s">
        <v>302</v>
      </c>
      <c r="F47" s="33">
        <f>'4. Operationele kosten'!F31</f>
        <v>6636484</v>
      </c>
    </row>
    <row r="48" spans="2:16">
      <c r="B48" s="9" t="s">
        <v>301</v>
      </c>
      <c r="D48" s="9" t="s">
        <v>302</v>
      </c>
      <c r="F48" s="33">
        <f>'4. Operationele kosten'!F32</f>
        <v>6850988</v>
      </c>
    </row>
    <row r="50" spans="2:10">
      <c r="B50" s="8" t="s">
        <v>354</v>
      </c>
    </row>
    <row r="51" spans="2:10">
      <c r="B51" s="9" t="s">
        <v>355</v>
      </c>
      <c r="D51" s="9" t="s">
        <v>106</v>
      </c>
      <c r="F51" s="118" t="s">
        <v>439</v>
      </c>
    </row>
    <row r="52" spans="2:10">
      <c r="B52" s="9" t="s">
        <v>356</v>
      </c>
      <c r="D52" s="9" t="s">
        <v>106</v>
      </c>
      <c r="F52" s="118" t="s">
        <v>440</v>
      </c>
    </row>
    <row r="54" spans="2:10">
      <c r="B54" s="8" t="s">
        <v>174</v>
      </c>
    </row>
    <row r="55" spans="2:10">
      <c r="B55" s="9" t="s">
        <v>364</v>
      </c>
      <c r="D55" s="9" t="s">
        <v>80</v>
      </c>
      <c r="H55" s="33">
        <f>'4. Operationele kosten'!H16</f>
        <v>5782346.089999998</v>
      </c>
      <c r="I55" s="33">
        <f>'4. Operationele kosten'!I16</f>
        <v>6693876.3800000008</v>
      </c>
      <c r="J55" s="33">
        <f>'4. Operationele kosten'!J16</f>
        <v>4681104.044928492</v>
      </c>
    </row>
    <row r="57" spans="2:10">
      <c r="B57" s="8" t="s">
        <v>248</v>
      </c>
    </row>
    <row r="58" spans="2:10">
      <c r="B58" s="9" t="s">
        <v>365</v>
      </c>
      <c r="D58" s="9" t="s">
        <v>80</v>
      </c>
      <c r="H58" s="43"/>
      <c r="I58" s="43"/>
      <c r="J58" s="33">
        <f>'4. Operationele kosten'!J21</f>
        <v>-504461.19492849294</v>
      </c>
    </row>
    <row r="59" spans="2:10" ht="12" customHeight="1"/>
    <row r="60" spans="2:10" ht="12" customHeight="1">
      <c r="B60" s="8" t="s">
        <v>164</v>
      </c>
    </row>
    <row r="61" spans="2:10" ht="12" customHeight="1">
      <c r="B61" s="9" t="s">
        <v>272</v>
      </c>
      <c r="D61" s="9" t="s">
        <v>80</v>
      </c>
      <c r="H61" s="33">
        <f>'4. Operationele kosten'!H26</f>
        <v>95973462.635111362</v>
      </c>
      <c r="I61" s="33">
        <f>'4. Operationele kosten'!I26</f>
        <v>94619920.99212943</v>
      </c>
      <c r="J61" s="33">
        <f>'4. Operationele kosten'!J26</f>
        <v>114764840.91223219</v>
      </c>
    </row>
    <row r="62" spans="2:10" ht="12" customHeight="1">
      <c r="B62" s="9" t="s">
        <v>274</v>
      </c>
      <c r="D62" s="9" t="s">
        <v>80</v>
      </c>
      <c r="H62" s="33">
        <f>'4. Operationele kosten'!H27</f>
        <v>52186641.654888637</v>
      </c>
      <c r="I62" s="33">
        <f>'4. Operationele kosten'!I27</f>
        <v>58966676.657870598</v>
      </c>
      <c r="J62" s="33">
        <f>'4. Operationele kosten'!J27</f>
        <v>57727032.277767785</v>
      </c>
    </row>
    <row r="64" spans="2:10">
      <c r="B64" s="8" t="s">
        <v>250</v>
      </c>
    </row>
    <row r="65" spans="2:16">
      <c r="B65" s="9" t="s">
        <v>317</v>
      </c>
      <c r="C65" s="46"/>
      <c r="D65" s="9" t="s">
        <v>80</v>
      </c>
      <c r="H65" s="33">
        <f>'3. GAW model'!H46</f>
        <v>1348092</v>
      </c>
      <c r="I65" s="33">
        <f>'3. GAW model'!I46</f>
        <v>3971130.52575</v>
      </c>
      <c r="J65" s="33">
        <f>'3. GAW model'!J46</f>
        <v>7694745.9777266672</v>
      </c>
      <c r="K65" s="33">
        <f>'3. GAW model'!K46</f>
        <v>14127836.967987418</v>
      </c>
      <c r="L65" s="33">
        <f>'3. GAW model'!L46</f>
        <v>14382138.033411196</v>
      </c>
      <c r="M65" s="33">
        <f>'3. GAW model'!M46</f>
        <v>14641016.518012598</v>
      </c>
      <c r="N65" s="33">
        <f>'3. GAW model'!N46</f>
        <v>14904554.815336825</v>
      </c>
      <c r="O65" s="33">
        <f>'3. GAW model'!O46</f>
        <v>15172836.802012887</v>
      </c>
      <c r="P65" s="33">
        <f>'3. GAW model'!P46</f>
        <v>15445947.864449115</v>
      </c>
    </row>
    <row r="66" spans="2:16">
      <c r="B66" s="9" t="s">
        <v>318</v>
      </c>
      <c r="C66" s="46"/>
      <c r="D66" s="9" t="s">
        <v>80</v>
      </c>
      <c r="H66" s="39"/>
      <c r="I66" s="39"/>
      <c r="J66" s="39"/>
      <c r="K66" s="33">
        <f>'3. GAW model'!K47</f>
        <v>2545384.2441831953</v>
      </c>
      <c r="L66" s="33">
        <f>'3. GAW model'!L47</f>
        <v>5182402.3211569851</v>
      </c>
      <c r="M66" s="33">
        <f>'3. GAW model'!M47</f>
        <v>5275685.562937811</v>
      </c>
      <c r="N66" s="33">
        <f>'3. GAW model'!N47</f>
        <v>5370647.9030706929</v>
      </c>
      <c r="O66" s="33">
        <f>'3. GAW model'!O47</f>
        <v>5467319.5653259642</v>
      </c>
      <c r="P66" s="33">
        <f>'3. GAW model'!P47</f>
        <v>5565731.3175018327</v>
      </c>
    </row>
    <row r="67" spans="2:16">
      <c r="B67" s="9" t="s">
        <v>319</v>
      </c>
      <c r="D67" s="9" t="s">
        <v>80</v>
      </c>
      <c r="H67" s="39"/>
      <c r="I67" s="39"/>
      <c r="J67" s="39"/>
      <c r="K67" s="39"/>
      <c r="L67" s="33">
        <f>'3. GAW model'!L48</f>
        <v>2586018.7582573355</v>
      </c>
      <c r="M67" s="33">
        <f>'3. GAW model'!M48</f>
        <v>5265134.191811936</v>
      </c>
      <c r="N67" s="33">
        <f>'3. GAW model'!N48</f>
        <v>5359906.6072645504</v>
      </c>
      <c r="O67" s="33">
        <f>'3. GAW model'!O48</f>
        <v>5456384.9261953123</v>
      </c>
      <c r="P67" s="33">
        <f>'3. GAW model'!P48</f>
        <v>5554599.8548668278</v>
      </c>
    </row>
    <row r="68" spans="2:16">
      <c r="B68" s="9" t="s">
        <v>320</v>
      </c>
      <c r="D68" s="9" t="s">
        <v>80</v>
      </c>
      <c r="H68" s="39"/>
      <c r="I68" s="39"/>
      <c r="J68" s="39"/>
      <c r="K68" s="39"/>
      <c r="L68" s="39"/>
      <c r="M68" s="33">
        <f>'3. GAW model'!M49</f>
        <v>2627301.961714156</v>
      </c>
      <c r="N68" s="33">
        <f>'3. GAW model'!N49</f>
        <v>5349186.794050022</v>
      </c>
      <c r="O68" s="33">
        <f>'3. GAW model'!O49</f>
        <v>5445472.1563429227</v>
      </c>
      <c r="P68" s="33">
        <f>'3. GAW model'!P49</f>
        <v>5543490.6551570939</v>
      </c>
    </row>
    <row r="69" spans="2:16">
      <c r="B69" s="9" t="s">
        <v>321</v>
      </c>
      <c r="D69" s="9" t="s">
        <v>80</v>
      </c>
      <c r="H69" s="39"/>
      <c r="I69" s="39"/>
      <c r="J69" s="39"/>
      <c r="K69" s="39"/>
      <c r="L69" s="39"/>
      <c r="M69" s="39"/>
      <c r="N69" s="33">
        <f>'3. GAW model'!N50</f>
        <v>2669244.2102309605</v>
      </c>
      <c r="O69" s="33">
        <f>'3. GAW model'!O50</f>
        <v>5434581.2120302366</v>
      </c>
      <c r="P69" s="33">
        <f>'3. GAW model'!P50</f>
        <v>5532403.6738467803</v>
      </c>
    </row>
    <row r="70" spans="2:16">
      <c r="B70" s="9" t="s">
        <v>322</v>
      </c>
      <c r="D70" s="9" t="s">
        <v>80</v>
      </c>
      <c r="H70" s="39"/>
      <c r="I70" s="39"/>
      <c r="J70" s="39"/>
      <c r="K70" s="39"/>
      <c r="L70" s="39"/>
      <c r="M70" s="39"/>
      <c r="N70" s="39"/>
      <c r="O70" s="33">
        <f>'3. GAW model'!O51</f>
        <v>2711856.024803088</v>
      </c>
      <c r="P70" s="33">
        <f>'3. GAW model'!P51</f>
        <v>5521338.8664990859</v>
      </c>
    </row>
    <row r="71" spans="2:16">
      <c r="B71" s="9" t="s">
        <v>323</v>
      </c>
      <c r="D71" s="9" t="s">
        <v>80</v>
      </c>
      <c r="H71" s="39"/>
      <c r="I71" s="39"/>
      <c r="J71" s="39"/>
      <c r="K71" s="39"/>
      <c r="L71" s="39"/>
      <c r="M71" s="39"/>
      <c r="N71" s="39"/>
      <c r="O71" s="39"/>
      <c r="P71" s="33">
        <f>'3. GAW model'!P52</f>
        <v>2755148.0943830442</v>
      </c>
    </row>
    <row r="73" spans="2:16">
      <c r="B73" s="9" t="s">
        <v>324</v>
      </c>
      <c r="D73" s="9" t="s">
        <v>80</v>
      </c>
      <c r="H73" s="33">
        <f>'3. GAW model'!H54</f>
        <v>0</v>
      </c>
      <c r="I73" s="33">
        <f>'3. GAW model'!I54</f>
        <v>0</v>
      </c>
      <c r="J73" s="33">
        <f>'3. GAW model'!J54</f>
        <v>193395.33333333334</v>
      </c>
      <c r="K73" s="33">
        <f>'3. GAW model'!K54</f>
        <v>1556671.9569999999</v>
      </c>
      <c r="L73" s="33">
        <f>'3. GAW model'!L54</f>
        <v>1584692.052226</v>
      </c>
      <c r="M73" s="33">
        <f>'3. GAW model'!M54</f>
        <v>1613216.5091660679</v>
      </c>
      <c r="N73" s="33">
        <f>'3. GAW model'!N54</f>
        <v>1642254.4063310577</v>
      </c>
      <c r="O73" s="33">
        <f>'3. GAW model'!O54</f>
        <v>1671814.9856450167</v>
      </c>
      <c r="P73" s="33">
        <f>'3. GAW model'!P54</f>
        <v>1701907.6553866272</v>
      </c>
    </row>
    <row r="74" spans="2:16">
      <c r="B74" s="9" t="s">
        <v>325</v>
      </c>
      <c r="D74" s="9" t="s">
        <v>80</v>
      </c>
      <c r="H74" s="39"/>
      <c r="I74" s="39"/>
      <c r="J74" s="39"/>
      <c r="K74" s="33">
        <f>'3. GAW model'!K55</f>
        <v>657565.21722289338</v>
      </c>
      <c r="L74" s="33">
        <f>'3. GAW model'!L55</f>
        <v>1338802.7822658108</v>
      </c>
      <c r="M74" s="33">
        <f>'3. GAW model'!M55</f>
        <v>1362901.2323465953</v>
      </c>
      <c r="N74" s="33">
        <f>'3. GAW model'!N55</f>
        <v>1387433.4545288342</v>
      </c>
      <c r="O74" s="33">
        <f>'3. GAW model'!O55</f>
        <v>1412407.2567103531</v>
      </c>
      <c r="P74" s="33">
        <f>'3. GAW model'!P55</f>
        <v>1437830.5873311395</v>
      </c>
    </row>
    <row r="75" spans="2:16">
      <c r="B75" s="9" t="s">
        <v>326</v>
      </c>
      <c r="D75" s="9" t="s">
        <v>80</v>
      </c>
      <c r="H75" s="39"/>
      <c r="I75" s="39"/>
      <c r="J75" s="39"/>
      <c r="K75" s="39"/>
      <c r="L75" s="33">
        <f>'3. GAW model'!L56</f>
        <v>668062.58835063956</v>
      </c>
      <c r="M75" s="33">
        <f>'3. GAW model'!M56</f>
        <v>1360175.4298819022</v>
      </c>
      <c r="N75" s="33">
        <f>'3. GAW model'!N56</f>
        <v>1384658.5876197764</v>
      </c>
      <c r="O75" s="33">
        <f>'3. GAW model'!O56</f>
        <v>1409582.4421969322</v>
      </c>
      <c r="P75" s="33">
        <f>'3. GAW model'!P56</f>
        <v>1434954.9261564768</v>
      </c>
    </row>
    <row r="76" spans="2:16">
      <c r="B76" s="9" t="s">
        <v>327</v>
      </c>
      <c r="D76" s="9" t="s">
        <v>80</v>
      </c>
      <c r="H76" s="39"/>
      <c r="I76" s="39"/>
      <c r="J76" s="39"/>
      <c r="K76" s="39"/>
      <c r="L76" s="39"/>
      <c r="M76" s="33">
        <f>'3. GAW model'!M57</f>
        <v>678727.53951106919</v>
      </c>
      <c r="N76" s="33">
        <f>'3. GAW model'!N57</f>
        <v>1381889.2704445366</v>
      </c>
      <c r="O76" s="33">
        <f>'3. GAW model'!O57</f>
        <v>1406763.2773125386</v>
      </c>
      <c r="P76" s="33">
        <f>'3. GAW model'!P57</f>
        <v>1432085.0163041644</v>
      </c>
    </row>
    <row r="77" spans="2:16">
      <c r="B77" s="9" t="s">
        <v>328</v>
      </c>
      <c r="D77" s="9" t="s">
        <v>80</v>
      </c>
      <c r="H77" s="39"/>
      <c r="I77" s="39"/>
      <c r="J77" s="39"/>
      <c r="K77" s="39"/>
      <c r="L77" s="39"/>
      <c r="M77" s="39"/>
      <c r="N77" s="33">
        <f>'3. GAW model'!N58</f>
        <v>689562.74595182401</v>
      </c>
      <c r="O77" s="33">
        <f>'3. GAW model'!O58</f>
        <v>1403949.7507579138</v>
      </c>
      <c r="P77" s="33">
        <f>'3. GAW model'!P58</f>
        <v>1429220.8462715561</v>
      </c>
    </row>
    <row r="78" spans="2:16">
      <c r="B78" s="9" t="s">
        <v>329</v>
      </c>
      <c r="D78" s="9" t="s">
        <v>80</v>
      </c>
      <c r="H78" s="39"/>
      <c r="I78" s="39"/>
      <c r="J78" s="39"/>
      <c r="K78" s="39"/>
      <c r="L78" s="39"/>
      <c r="M78" s="39"/>
      <c r="N78" s="39"/>
      <c r="O78" s="33">
        <f>'3. GAW model'!O59</f>
        <v>700570.92562819889</v>
      </c>
      <c r="P78" s="33">
        <f>'3. GAW model'!P59</f>
        <v>1426362.4045790129</v>
      </c>
    </row>
    <row r="79" spans="2:16">
      <c r="B79" s="9" t="s">
        <v>330</v>
      </c>
      <c r="D79" s="9" t="s">
        <v>80</v>
      </c>
      <c r="H79" s="39"/>
      <c r="I79" s="39"/>
      <c r="J79" s="39"/>
      <c r="K79" s="39"/>
      <c r="L79" s="39"/>
      <c r="M79" s="39"/>
      <c r="N79" s="39"/>
      <c r="O79" s="39"/>
      <c r="P79" s="33">
        <f>'3. GAW model'!P60</f>
        <v>711754.8398849275</v>
      </c>
    </row>
    <row r="81" spans="2:18" s="15" customFormat="1">
      <c r="B81" s="15" t="s">
        <v>247</v>
      </c>
    </row>
    <row r="83" spans="2:18">
      <c r="B83" s="8" t="s">
        <v>199</v>
      </c>
      <c r="R83" s="95"/>
    </row>
    <row r="84" spans="2:18">
      <c r="B84" s="9" t="s">
        <v>256</v>
      </c>
      <c r="D84" s="9" t="s">
        <v>80</v>
      </c>
      <c r="L84" s="34">
        <f>AVERAGE(($F$41*$H$61+$F$42*$H$62)*L16*L27,($F$41*$I$61+$F$42*$I$62)*L17*L28,($F$41*$J$61+$F$42*$J$62)*L18*L29)</f>
        <v>25683404.166461971</v>
      </c>
      <c r="M84" s="34">
        <f t="shared" ref="M84:P84" si="0">AVERAGE(($F$41*$H$61+$F$42*$H$62)*M16*M27,($F$41*$I$61+$F$42*$I$62)*M17*M28,($F$41*$J$61+$F$42*$J$62)*M18*M29)</f>
        <v>26093414.030575365</v>
      </c>
      <c r="N84" s="34">
        <f t="shared" si="0"/>
        <v>26509969.292159472</v>
      </c>
      <c r="O84" s="34">
        <f t="shared" si="0"/>
        <v>26933174.441939507</v>
      </c>
      <c r="P84" s="34">
        <f t="shared" si="0"/>
        <v>27363135.63873063</v>
      </c>
      <c r="R84" s="95">
        <v>12</v>
      </c>
    </row>
    <row r="86" spans="2:18">
      <c r="B86" s="8" t="s">
        <v>366</v>
      </c>
    </row>
    <row r="87" spans="2:18">
      <c r="B87" s="9" t="s">
        <v>367</v>
      </c>
      <c r="D87" s="9" t="s">
        <v>80</v>
      </c>
      <c r="L87" s="34">
        <f>L$18*L29*($F$47+$F$48)</f>
        <v>13798705.505029054</v>
      </c>
      <c r="M87" s="34">
        <f>M$18*M29*($F$47+$F$48)</f>
        <v>14018988.039711339</v>
      </c>
      <c r="N87" s="34">
        <f t="shared" ref="N87:O87" si="1">N$18*N29*($F$47+$F$48)</f>
        <v>14242787.164777292</v>
      </c>
      <c r="O87" s="34">
        <f t="shared" si="1"/>
        <v>14470159.019075796</v>
      </c>
      <c r="P87" s="34">
        <f>P$18*P29*($F$47+$F$48)</f>
        <v>14701160.637656324</v>
      </c>
      <c r="R87" s="95">
        <v>10</v>
      </c>
    </row>
    <row r="89" spans="2:18">
      <c r="B89" s="8" t="s">
        <v>200</v>
      </c>
    </row>
    <row r="90" spans="2:18">
      <c r="B90" s="9" t="s">
        <v>249</v>
      </c>
      <c r="D90" s="9" t="s">
        <v>80</v>
      </c>
      <c r="L90" s="117" t="s">
        <v>434</v>
      </c>
      <c r="M90" s="117" t="s">
        <v>435</v>
      </c>
      <c r="N90" s="117" t="s">
        <v>436</v>
      </c>
      <c r="O90" s="117" t="s">
        <v>437</v>
      </c>
      <c r="P90" s="117" t="s">
        <v>438</v>
      </c>
      <c r="R90" s="95">
        <v>13</v>
      </c>
    </row>
    <row r="92" spans="2:18">
      <c r="B92" s="8" t="s">
        <v>368</v>
      </c>
    </row>
    <row r="93" spans="2:18">
      <c r="B93" s="9" t="s">
        <v>364</v>
      </c>
      <c r="D93" s="9" t="s">
        <v>80</v>
      </c>
      <c r="L93" s="34">
        <f>AVERAGE($H55*L$16*L$27,$I55*L$17*L$28,$J55*L$18*L$29)</f>
        <v>6012783.2841034466</v>
      </c>
      <c r="M93" s="34">
        <f>AVERAGE($H55*M$16*M$27,$I55*M$17*M$28,$J55*M$18*M$29)</f>
        <v>6108771.3564508734</v>
      </c>
      <c r="N93" s="34">
        <f>AVERAGE($H55*N$16*N$27,$I55*N$17*N$28,$J55*N$18*N$29)</f>
        <v>6206291.7823852561</v>
      </c>
      <c r="O93" s="34">
        <f>AVERAGE($H55*O$16*O$27,$I55*O$17*O$28,$J55*O$18*O$29)</f>
        <v>6305369.0243992535</v>
      </c>
      <c r="P93" s="34">
        <f>AVERAGE($H55*P$16*P$27,$I55*P$17*P$28,$J55*P$18*P$29)</f>
        <v>6406027.9355047643</v>
      </c>
      <c r="R93" s="95">
        <v>11</v>
      </c>
    </row>
    <row r="94" spans="2:18">
      <c r="R94" s="95"/>
    </row>
    <row r="95" spans="2:18">
      <c r="B95" s="8" t="s">
        <v>217</v>
      </c>
      <c r="R95" s="95"/>
    </row>
    <row r="96" spans="2:18">
      <c r="B96" s="9" t="s">
        <v>347</v>
      </c>
      <c r="D96" s="9" t="s">
        <v>80</v>
      </c>
      <c r="L96" s="34">
        <f>$F$38*L29*(L65-AVERAGE(L16*$H$65,L17*$I$65,L18*$J$65))</f>
        <v>98545.654814989626</v>
      </c>
      <c r="M96" s="34">
        <f>$F$38*M29*(M65-AVERAGE(M16*$H$65,M17*$I$65,M18*$J$65))</f>
        <v>100118.83764845614</v>
      </c>
      <c r="N96" s="34">
        <f>$F$38*N29*(N65-AVERAGE(N16*$H$65,N17*$I$65,N18*$J$65))</f>
        <v>101717.13477267609</v>
      </c>
      <c r="O96" s="34">
        <f>$F$38*O29*(O65-AVERAGE(O16*$H$65,O17*$I$65,O18*$J$65))</f>
        <v>103340.94711218709</v>
      </c>
      <c r="P96" s="34">
        <f>$F$38*P29*(P65-AVERAGE(P16*$H$65,P17*$I$65,P18*$J$65))</f>
        <v>104990.681991886</v>
      </c>
      <c r="R96" s="95">
        <v>14</v>
      </c>
    </row>
    <row r="97" spans="2:18">
      <c r="B97" s="9" t="s">
        <v>341</v>
      </c>
      <c r="D97" s="9" t="s">
        <v>80</v>
      </c>
      <c r="L97" s="34">
        <f t="shared" ref="L97:P98" si="2">$F$38*L30*L66</f>
        <v>51720.375165146717</v>
      </c>
      <c r="M97" s="34">
        <f t="shared" si="2"/>
        <v>52546.039234283111</v>
      </c>
      <c r="N97" s="34">
        <f t="shared" si="2"/>
        <v>53384.884204619229</v>
      </c>
      <c r="O97" s="34">
        <f t="shared" si="2"/>
        <v>54237.120496061754</v>
      </c>
      <c r="P97" s="34">
        <f t="shared" si="2"/>
        <v>55102.961887660895</v>
      </c>
      <c r="R97" s="95">
        <v>14</v>
      </c>
    </row>
    <row r="98" spans="2:18">
      <c r="B98" s="9" t="s">
        <v>342</v>
      </c>
      <c r="D98" s="9" t="s">
        <v>80</v>
      </c>
      <c r="L98" s="34">
        <f t="shared" si="2"/>
        <v>25860.187582573355</v>
      </c>
      <c r="M98" s="34">
        <f t="shared" si="2"/>
        <v>52546.039234283126</v>
      </c>
      <c r="N98" s="34">
        <f t="shared" si="2"/>
        <v>53384.884204619215</v>
      </c>
      <c r="O98" s="34">
        <f t="shared" si="2"/>
        <v>54237.120496061754</v>
      </c>
      <c r="P98" s="34">
        <f t="shared" si="2"/>
        <v>55102.961887660887</v>
      </c>
      <c r="R98" s="95">
        <v>14</v>
      </c>
    </row>
    <row r="99" spans="2:18">
      <c r="B99" s="9" t="s">
        <v>343</v>
      </c>
      <c r="D99" s="9" t="s">
        <v>80</v>
      </c>
      <c r="L99" s="112"/>
      <c r="M99" s="34">
        <f>$F$38*M32*M68</f>
        <v>26273.019617141559</v>
      </c>
      <c r="N99" s="34">
        <f>$F$38*N32*N68</f>
        <v>53384.884204619222</v>
      </c>
      <c r="O99" s="34">
        <f>$F$38*O32*O68</f>
        <v>54237.120496061762</v>
      </c>
      <c r="P99" s="34">
        <f>$F$38*P32*P68</f>
        <v>55102.96188766088</v>
      </c>
      <c r="R99" s="95">
        <v>14</v>
      </c>
    </row>
    <row r="100" spans="2:18">
      <c r="B100" s="9" t="s">
        <v>344</v>
      </c>
      <c r="D100" s="9" t="s">
        <v>80</v>
      </c>
      <c r="L100" s="112"/>
      <c r="M100" s="112"/>
      <c r="N100" s="34">
        <f>$F$38*N33*N69</f>
        <v>26692.442102309607</v>
      </c>
      <c r="O100" s="34">
        <f>$F$38*O33*O69</f>
        <v>54237.120496061769</v>
      </c>
      <c r="P100" s="34">
        <f>$F$38*P33*P69</f>
        <v>55102.961887660887</v>
      </c>
      <c r="R100" s="95">
        <v>14</v>
      </c>
    </row>
    <row r="101" spans="2:18">
      <c r="B101" s="9" t="s">
        <v>345</v>
      </c>
      <c r="D101" s="9" t="s">
        <v>80</v>
      </c>
      <c r="L101" s="112"/>
      <c r="M101" s="112"/>
      <c r="N101" s="112"/>
      <c r="O101" s="34">
        <f>$F$38*O34*O70</f>
        <v>27118.560248030881</v>
      </c>
      <c r="P101" s="34">
        <f>$F$38*P34*P70</f>
        <v>55102.96188766088</v>
      </c>
      <c r="R101" s="95">
        <v>14</v>
      </c>
    </row>
    <row r="102" spans="2:18">
      <c r="B102" s="9" t="s">
        <v>346</v>
      </c>
      <c r="D102" s="9" t="s">
        <v>80</v>
      </c>
      <c r="L102" s="112"/>
      <c r="M102" s="112"/>
      <c r="N102" s="112"/>
      <c r="O102" s="112"/>
      <c r="P102" s="34">
        <f>$F$38*P35*P71</f>
        <v>27551.480943830444</v>
      </c>
      <c r="R102" s="95">
        <v>14</v>
      </c>
    </row>
    <row r="103" spans="2:18">
      <c r="R103" s="110"/>
    </row>
    <row r="104" spans="2:18">
      <c r="B104" s="8" t="s">
        <v>176</v>
      </c>
      <c r="R104" s="95"/>
    </row>
    <row r="105" spans="2:18" ht="12.75" customHeight="1">
      <c r="B105" s="9" t="s">
        <v>255</v>
      </c>
      <c r="D105" s="9" t="s">
        <v>80</v>
      </c>
      <c r="L105" s="30">
        <v>54558377.917918339</v>
      </c>
      <c r="M105" s="30">
        <v>55481893.902234256</v>
      </c>
      <c r="N105" s="30">
        <v>56420991.740694143</v>
      </c>
      <c r="O105" s="30">
        <v>57375933.573338658</v>
      </c>
      <c r="P105" s="30">
        <v>58346985.938791074</v>
      </c>
      <c r="R105" s="95">
        <v>8</v>
      </c>
    </row>
    <row r="107" spans="2:18" s="15" customFormat="1">
      <c r="B107" s="15" t="s">
        <v>251</v>
      </c>
    </row>
    <row r="109" spans="2:18">
      <c r="B109" s="8" t="s">
        <v>199</v>
      </c>
    </row>
    <row r="110" spans="2:18">
      <c r="B110" s="9" t="s">
        <v>253</v>
      </c>
      <c r="D110" s="9" t="s">
        <v>80</v>
      </c>
      <c r="L110" s="34">
        <f>AVERAGE(($F$43*$H$61+$F$44*$H$62)*L16*L27,($F$43*$I$61+$F$44*$I$62)*L17*L28,($F$43*$J$61+$F$44*$J$62)*L18*L29)</f>
        <v>10107662.284865679</v>
      </c>
      <c r="M110" s="34">
        <f t="shared" ref="M110:P110" si="3">AVERAGE(($F$43*$H$61+$F$44*$H$62)*M16*M27,($F$43*$I$61+$F$44*$I$62)*M17*M28,($F$43*$J$61+$F$44*$J$62)*M18*M29)</f>
        <v>10269021.005581273</v>
      </c>
      <c r="N110" s="34">
        <f t="shared" si="3"/>
        <v>10432955.656914374</v>
      </c>
      <c r="O110" s="34">
        <f t="shared" si="3"/>
        <v>10599507.361021353</v>
      </c>
      <c r="P110" s="34">
        <f t="shared" si="3"/>
        <v>10768717.896532699</v>
      </c>
      <c r="R110" s="95">
        <v>12</v>
      </c>
    </row>
    <row r="112" spans="2:18">
      <c r="B112" s="8" t="s">
        <v>368</v>
      </c>
    </row>
    <row r="113" spans="2:18">
      <c r="B113" s="9" t="s">
        <v>365</v>
      </c>
      <c r="D113" s="9" t="s">
        <v>80</v>
      </c>
      <c r="L113" s="34">
        <f>AVERAGE($H58*L$16*L$27,$I58*L$17*L$28,$J58*L$18*L$29)</f>
        <v>-172034.00477948057</v>
      </c>
      <c r="M113" s="34">
        <f>AVERAGE($H58*M$16*M$27,$I58*M$17*M$28,$J58*M$18*M$29)</f>
        <v>-174780.3556317802</v>
      </c>
      <c r="N113" s="34">
        <f>AVERAGE($H58*N$16*N$27,$I58*N$17*N$28,$J58*N$18*N$29)</f>
        <v>-177570.54922908594</v>
      </c>
      <c r="O113" s="34">
        <f>AVERAGE($H58*O$16*O$27,$I58*O$17*O$28,$J58*O$18*O$29)</f>
        <v>-180405.28547697907</v>
      </c>
      <c r="P113" s="34">
        <f>AVERAGE($H58*P$16*P$27,$I58*P$17*P$28,$J58*P$18*P$29)</f>
        <v>-183285.27545433355</v>
      </c>
      <c r="R113" s="95">
        <v>11</v>
      </c>
    </row>
    <row r="115" spans="2:18">
      <c r="B115" s="8" t="s">
        <v>217</v>
      </c>
    </row>
    <row r="116" spans="2:18">
      <c r="B116" s="9" t="s">
        <v>347</v>
      </c>
      <c r="D116" s="9" t="s">
        <v>80</v>
      </c>
      <c r="L116" s="34">
        <f>$F$38*L29*(L73-AVERAGE(L16*$H$73,L17*$I$73,L18*$J$73))</f>
        <v>15155.69976351645</v>
      </c>
      <c r="M116" s="34">
        <f>$F$38*M29*(M73-AVERAGE(M16*$H$73,M17*$I$73,M18*$J$73))</f>
        <v>15397.645354541224</v>
      </c>
      <c r="N116" s="34">
        <f>$F$38*N29*(N73-AVERAGE(N16*$H$73,N17*$I$73,N18*$J$73))</f>
        <v>15643.453364981126</v>
      </c>
      <c r="O116" s="34">
        <f>$F$38*O29*(O73-AVERAGE(O16*$H$73,O17*$I$73,O18*$J$73))</f>
        <v>15893.185454499686</v>
      </c>
      <c r="P116" s="34">
        <f>$F$38*P29*(P73-AVERAGE(P16*$H$73,P17*$I$73,P18*$J$73))</f>
        <v>16146.904267095319</v>
      </c>
      <c r="R116" s="95">
        <v>14</v>
      </c>
    </row>
    <row r="117" spans="2:18">
      <c r="B117" s="9" t="s">
        <v>348</v>
      </c>
      <c r="D117" s="9" t="s">
        <v>80</v>
      </c>
      <c r="L117" s="34">
        <f t="shared" ref="L117:P118" si="4">$F$38*L30*L74</f>
        <v>13361.251767012793</v>
      </c>
      <c r="M117" s="34">
        <f t="shared" si="4"/>
        <v>13574.550790221383</v>
      </c>
      <c r="N117" s="34">
        <f t="shared" si="4"/>
        <v>13791.254919036481</v>
      </c>
      <c r="O117" s="34">
        <f t="shared" si="4"/>
        <v>14011.418512563976</v>
      </c>
      <c r="P117" s="34">
        <f t="shared" si="4"/>
        <v>14235.096797698547</v>
      </c>
      <c r="R117" s="95">
        <v>14</v>
      </c>
    </row>
    <row r="118" spans="2:18">
      <c r="B118" s="9" t="s">
        <v>349</v>
      </c>
      <c r="D118" s="9" t="s">
        <v>80</v>
      </c>
      <c r="L118" s="34">
        <f t="shared" si="4"/>
        <v>6680.6258835063954</v>
      </c>
      <c r="M118" s="34">
        <f t="shared" si="4"/>
        <v>13574.550790221385</v>
      </c>
      <c r="N118" s="34">
        <f t="shared" si="4"/>
        <v>13791.254919036477</v>
      </c>
      <c r="O118" s="34">
        <f t="shared" si="4"/>
        <v>14011.418512563974</v>
      </c>
      <c r="P118" s="34">
        <f t="shared" si="4"/>
        <v>14235.096797698545</v>
      </c>
      <c r="R118" s="95">
        <v>14</v>
      </c>
    </row>
    <row r="119" spans="2:18">
      <c r="B119" s="9" t="s">
        <v>350</v>
      </c>
      <c r="D119" s="9" t="s">
        <v>80</v>
      </c>
      <c r="L119" s="112"/>
      <c r="M119" s="34">
        <f>$F$38*M32*M76</f>
        <v>6787.2753951106924</v>
      </c>
      <c r="N119" s="34">
        <f>$F$38*N32*N76</f>
        <v>13791.254919036477</v>
      </c>
      <c r="O119" s="34">
        <f>$F$38*O32*O76</f>
        <v>14011.418512563976</v>
      </c>
      <c r="P119" s="34">
        <f>$F$38*P32*P76</f>
        <v>14235.09679769855</v>
      </c>
      <c r="R119" s="95">
        <v>14</v>
      </c>
    </row>
    <row r="120" spans="2:18">
      <c r="B120" s="9" t="s">
        <v>351</v>
      </c>
      <c r="D120" s="9" t="s">
        <v>80</v>
      </c>
      <c r="L120" s="112"/>
      <c r="M120" s="112"/>
      <c r="N120" s="34">
        <f>$F$38*N33*N77</f>
        <v>6895.6274595182404</v>
      </c>
      <c r="O120" s="34">
        <f>$F$38*O33*O77</f>
        <v>14011.418512563981</v>
      </c>
      <c r="P120" s="34">
        <f>$F$38*P33*P77</f>
        <v>14235.09679769855</v>
      </c>
      <c r="R120" s="95">
        <v>14</v>
      </c>
    </row>
    <row r="121" spans="2:18">
      <c r="B121" s="9" t="s">
        <v>352</v>
      </c>
      <c r="D121" s="9" t="s">
        <v>80</v>
      </c>
      <c r="L121" s="112"/>
      <c r="M121" s="112"/>
      <c r="N121" s="112"/>
      <c r="O121" s="34">
        <f>$F$38*O34*O78</f>
        <v>7005.7092562819889</v>
      </c>
      <c r="P121" s="34">
        <f>$F$38*P34*P78</f>
        <v>14235.09679769855</v>
      </c>
      <c r="R121" s="95">
        <v>14</v>
      </c>
    </row>
    <row r="122" spans="2:18">
      <c r="B122" s="9" t="s">
        <v>353</v>
      </c>
      <c r="D122" s="9" t="s">
        <v>80</v>
      </c>
      <c r="L122" s="112"/>
      <c r="M122" s="112"/>
      <c r="N122" s="112"/>
      <c r="O122" s="112"/>
      <c r="P122" s="34">
        <f>$F$38*P35*P79</f>
        <v>7117.5483988492751</v>
      </c>
      <c r="R122" s="95">
        <v>14</v>
      </c>
    </row>
    <row r="123" spans="2:18">
      <c r="B123" s="8"/>
    </row>
    <row r="124" spans="2:18">
      <c r="B124" s="8" t="s">
        <v>252</v>
      </c>
    </row>
    <row r="125" spans="2:18">
      <c r="B125" s="9" t="s">
        <v>254</v>
      </c>
      <c r="D125" s="9" t="s">
        <v>80</v>
      </c>
      <c r="L125" s="30">
        <f>SUM(L110,L113,L116:L122)</f>
        <v>9970825.8575002346</v>
      </c>
      <c r="M125" s="30">
        <f t="shared" ref="M125:P125" si="5">SUM(M110,M113,M116:M122)</f>
        <v>10143574.672279585</v>
      </c>
      <c r="N125" s="30">
        <f t="shared" si="5"/>
        <v>10319297.9532669</v>
      </c>
      <c r="O125" s="30">
        <f t="shared" si="5"/>
        <v>10498046.644305412</v>
      </c>
      <c r="P125" s="30">
        <f t="shared" si="5"/>
        <v>10679872.557732806</v>
      </c>
      <c r="R125" s="95">
        <v>8</v>
      </c>
    </row>
  </sheetData>
  <mergeCells count="4">
    <mergeCell ref="B4:C4"/>
    <mergeCell ref="B7:C7"/>
    <mergeCell ref="B8:D8"/>
    <mergeCell ref="B5:D5"/>
  </mergeCells>
  <phoneticPr fontId="35"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rgb="FFFFFFCC"/>
  </sheetPr>
  <dimension ref="A2:X86"/>
  <sheetViews>
    <sheetView showGridLines="0" zoomScale="85" zoomScaleNormal="85" workbookViewId="0">
      <pane xSplit="4" ySplit="11" topLeftCell="E12" activePane="bottomRight" state="frozen"/>
      <selection pane="topRight" activeCell="E1" sqref="E1"/>
      <selection pane="bottomLeft" activeCell="A12" sqref="A12"/>
      <selection pane="bottomRight" activeCell="E12" sqref="E12"/>
    </sheetView>
  </sheetViews>
  <sheetFormatPr defaultColWidth="9.140625" defaultRowHeight="12.75"/>
  <cols>
    <col min="1" max="1" width="4.7109375" style="9" customWidth="1"/>
    <col min="2" max="2" width="75.7109375" style="9" customWidth="1"/>
    <col min="3" max="3" width="2.7109375" style="9" customWidth="1"/>
    <col min="4" max="4" width="26.42578125" style="9" bestFit="1" customWidth="1"/>
    <col min="5" max="5" width="2.7109375" style="9" customWidth="1"/>
    <col min="6" max="6" width="18.28515625" style="9" customWidth="1"/>
    <col min="7" max="7" width="2.7109375" style="9" customWidth="1"/>
    <col min="8" max="12" width="16.7109375" style="9" customWidth="1"/>
    <col min="13" max="13" width="2.7109375" style="9" customWidth="1"/>
    <col min="14" max="14" width="16.7109375" style="95" customWidth="1"/>
    <col min="15" max="15" width="2.7109375" style="9" customWidth="1"/>
    <col min="16" max="17" width="16.7109375" style="9" customWidth="1"/>
    <col min="18" max="20" width="2.7109375" style="9" customWidth="1"/>
    <col min="21" max="35" width="13.7109375" style="9" customWidth="1"/>
    <col min="36" max="16384" width="9.140625" style="9"/>
  </cols>
  <sheetData>
    <row r="2" spans="2:24" s="2" customFormat="1" ht="18">
      <c r="B2" s="2" t="s">
        <v>123</v>
      </c>
    </row>
    <row r="4" spans="2:24">
      <c r="B4" s="28" t="s">
        <v>56</v>
      </c>
      <c r="D4" s="8"/>
      <c r="H4" s="8"/>
    </row>
    <row r="5" spans="2:24" ht="78.75" customHeight="1">
      <c r="B5" s="120" t="s">
        <v>212</v>
      </c>
      <c r="C5" s="120"/>
      <c r="D5" s="40"/>
      <c r="E5" s="40"/>
      <c r="F5" s="40"/>
      <c r="G5" s="40"/>
      <c r="H5" s="40"/>
      <c r="I5" s="40"/>
      <c r="J5" s="60"/>
      <c r="K5" s="60"/>
      <c r="L5" s="60"/>
      <c r="M5" s="40"/>
      <c r="N5" s="96"/>
      <c r="O5" s="40"/>
      <c r="P5" s="60"/>
      <c r="Q5" s="60"/>
      <c r="R5" s="60"/>
      <c r="S5" s="60"/>
      <c r="T5" s="60"/>
      <c r="U5" s="60"/>
      <c r="V5" s="60"/>
      <c r="W5" s="60"/>
      <c r="X5" s="60"/>
    </row>
    <row r="6" spans="2:24" ht="12.75" customHeight="1">
      <c r="B6" s="42"/>
      <c r="C6" s="42"/>
      <c r="D6" s="42"/>
      <c r="H6" s="60"/>
      <c r="I6" s="60"/>
      <c r="J6" s="60"/>
      <c r="K6" s="60"/>
      <c r="L6" s="60"/>
      <c r="N6" s="96"/>
      <c r="P6" s="60"/>
      <c r="Q6" s="60"/>
      <c r="R6" s="60"/>
      <c r="S6" s="60"/>
      <c r="T6" s="60"/>
      <c r="U6" s="60"/>
      <c r="V6" s="60"/>
      <c r="W6" s="60"/>
      <c r="X6" s="60"/>
    </row>
    <row r="7" spans="2:24" ht="12.75" customHeight="1">
      <c r="B7" s="29" t="s">
        <v>30</v>
      </c>
      <c r="C7" s="42"/>
      <c r="D7" s="42"/>
      <c r="H7" s="60"/>
      <c r="I7" s="60"/>
      <c r="J7" s="60"/>
      <c r="K7" s="60"/>
      <c r="L7" s="60"/>
      <c r="N7" s="96"/>
      <c r="P7" s="60"/>
      <c r="Q7" s="60"/>
      <c r="R7" s="60"/>
      <c r="S7" s="60"/>
      <c r="T7" s="60"/>
      <c r="U7" s="60"/>
      <c r="V7" s="60"/>
      <c r="W7" s="60"/>
      <c r="X7" s="60"/>
    </row>
    <row r="8" spans="2:24" ht="41.25" customHeight="1">
      <c r="B8" s="120" t="s">
        <v>122</v>
      </c>
      <c r="C8" s="120"/>
      <c r="D8" s="40"/>
      <c r="E8" s="40"/>
      <c r="F8" s="40"/>
      <c r="G8" s="40"/>
      <c r="H8" s="40"/>
      <c r="I8" s="40"/>
      <c r="J8" s="60"/>
      <c r="K8" s="60"/>
      <c r="L8" s="60"/>
      <c r="M8" s="40"/>
      <c r="N8" s="96"/>
      <c r="O8" s="40"/>
      <c r="P8" s="60"/>
      <c r="Q8" s="60"/>
      <c r="R8" s="60"/>
      <c r="S8" s="60"/>
      <c r="T8" s="60"/>
      <c r="U8" s="60"/>
      <c r="V8" s="60"/>
      <c r="W8" s="60"/>
      <c r="X8" s="60"/>
    </row>
    <row r="9" spans="2:24" ht="12.75" customHeight="1">
      <c r="B9" s="42"/>
      <c r="C9" s="42"/>
      <c r="D9" s="42"/>
      <c r="H9" s="61"/>
      <c r="I9" s="61"/>
      <c r="J9" s="61"/>
      <c r="K9" s="61"/>
      <c r="L9" s="61"/>
      <c r="N9" s="97"/>
      <c r="P9" s="60"/>
      <c r="Q9" s="60"/>
      <c r="R9" s="60"/>
      <c r="S9" s="60"/>
      <c r="T9" s="60"/>
      <c r="U9" s="60"/>
      <c r="V9" s="60"/>
      <c r="W9" s="60"/>
      <c r="X9" s="60"/>
    </row>
    <row r="10" spans="2:24" s="1" customFormat="1">
      <c r="B10" s="1" t="s">
        <v>45</v>
      </c>
      <c r="D10" s="1" t="s">
        <v>27</v>
      </c>
      <c r="F10" s="1" t="s">
        <v>28</v>
      </c>
      <c r="H10" s="1">
        <v>2022</v>
      </c>
      <c r="I10" s="1">
        <v>2023</v>
      </c>
      <c r="J10" s="1">
        <v>2024</v>
      </c>
      <c r="K10" s="1">
        <v>2025</v>
      </c>
      <c r="L10" s="1">
        <v>2026</v>
      </c>
      <c r="N10" s="1" t="s">
        <v>101</v>
      </c>
      <c r="P10" s="1" t="s">
        <v>47</v>
      </c>
    </row>
    <row r="13" spans="2:24" s="1" customFormat="1">
      <c r="B13" s="1" t="s">
        <v>48</v>
      </c>
    </row>
    <row r="14" spans="2:24">
      <c r="J14" s="46"/>
      <c r="K14" s="46"/>
      <c r="L14" s="46"/>
      <c r="N14" s="98"/>
    </row>
    <row r="15" spans="2:24">
      <c r="B15" s="28" t="s">
        <v>121</v>
      </c>
      <c r="J15" s="46"/>
      <c r="K15" s="46"/>
      <c r="L15" s="46"/>
      <c r="N15" s="98"/>
    </row>
    <row r="16" spans="2:24">
      <c r="B16" s="44" t="s">
        <v>166</v>
      </c>
      <c r="D16" s="9" t="s">
        <v>97</v>
      </c>
      <c r="H16" s="5">
        <f>'5. Berekening op parameters'!L55</f>
        <v>1</v>
      </c>
      <c r="I16" s="5">
        <f>'5. Berekening op parameters'!M55</f>
        <v>1.0369999999999999</v>
      </c>
      <c r="J16" s="5">
        <f>'5. Berekening op parameters'!N55</f>
        <v>1.080554</v>
      </c>
      <c r="K16" s="5">
        <f>'5. Berekening op parameters'!O55</f>
        <v>1.1259372680000002</v>
      </c>
      <c r="L16" s="5">
        <f>'5. Berekening op parameters'!P55</f>
        <v>1.1732266332560002</v>
      </c>
      <c r="N16" s="98"/>
    </row>
    <row r="17" spans="2:14">
      <c r="B17" s="28"/>
      <c r="N17" s="9"/>
    </row>
    <row r="18" spans="2:14">
      <c r="B18" s="28" t="s">
        <v>78</v>
      </c>
      <c r="J18" s="46"/>
      <c r="K18" s="46"/>
      <c r="L18" s="46"/>
      <c r="N18" s="98"/>
    </row>
    <row r="19" spans="2:14">
      <c r="B19" s="44" t="s">
        <v>120</v>
      </c>
      <c r="D19" s="9" t="s">
        <v>75</v>
      </c>
      <c r="H19" s="6">
        <f>'2. Reguleringsparameters'!L22</f>
        <v>1.7999999999999999E-2</v>
      </c>
      <c r="I19" s="6">
        <f>'2. Reguleringsparameters'!M22</f>
        <v>1.7999999999999999E-2</v>
      </c>
      <c r="J19" s="6">
        <f>'2. Reguleringsparameters'!N22</f>
        <v>1.7999999999999999E-2</v>
      </c>
      <c r="K19" s="6">
        <f>'2. Reguleringsparameters'!O22</f>
        <v>1.7999999999999999E-2</v>
      </c>
      <c r="L19" s="6">
        <f>'2. Reguleringsparameters'!P22</f>
        <v>1.7999999999999999E-2</v>
      </c>
      <c r="N19" s="98"/>
    </row>
    <row r="20" spans="2:14">
      <c r="B20" s="44" t="s">
        <v>119</v>
      </c>
      <c r="D20" s="9" t="s">
        <v>97</v>
      </c>
      <c r="F20" s="5">
        <f>'5. Berekening op parameters'!P28</f>
        <v>1.0932988467695681</v>
      </c>
      <c r="J20" s="46"/>
      <c r="K20" s="46"/>
      <c r="L20" s="46"/>
      <c r="N20" s="98"/>
    </row>
    <row r="21" spans="2:14">
      <c r="B21" s="28"/>
      <c r="J21" s="46"/>
      <c r="K21" s="46"/>
      <c r="L21" s="46"/>
      <c r="N21" s="98"/>
    </row>
    <row r="22" spans="2:14">
      <c r="B22" s="28" t="s">
        <v>177</v>
      </c>
      <c r="J22" s="46"/>
      <c r="K22" s="46"/>
      <c r="L22" s="46"/>
      <c r="N22" s="98"/>
    </row>
    <row r="23" spans="2:14">
      <c r="B23" s="9" t="s">
        <v>258</v>
      </c>
      <c r="D23" s="9" t="s">
        <v>80</v>
      </c>
      <c r="H23" s="33">
        <f>'6. Berekening doorrollen '!H40</f>
        <v>74282867.831217796</v>
      </c>
      <c r="I23" s="33">
        <f>'6. Berekening doorrollen '!I40</f>
        <v>73537492.385773376</v>
      </c>
      <c r="J23" s="33">
        <f>'6. Berekening doorrollen '!J40</f>
        <v>76669294.139479399</v>
      </c>
      <c r="K23" s="33">
        <f>'6. Berekening doorrollen '!K40</f>
        <v>75662780.28376776</v>
      </c>
      <c r="L23" s="33">
        <f>'6. Berekening doorrollen '!L40</f>
        <v>74631938.965828046</v>
      </c>
      <c r="N23" s="98"/>
    </row>
    <row r="24" spans="2:14">
      <c r="B24" s="9" t="s">
        <v>369</v>
      </c>
      <c r="D24" s="9" t="s">
        <v>80</v>
      </c>
      <c r="H24" s="33">
        <f>'6. Berekening doorrollen '!H41</f>
        <v>2432492.7668371522</v>
      </c>
      <c r="I24" s="33">
        <f>'6. Berekening doorrollen '!I41</f>
        <v>2392048.6581230261</v>
      </c>
      <c r="J24" s="33">
        <f>'6. Berekening doorrollen '!J41</f>
        <v>2018339.2413164368</v>
      </c>
      <c r="K24" s="33">
        <f>'6. Berekening doorrollen '!K41</f>
        <v>1268784.2470014999</v>
      </c>
      <c r="L24" s="33">
        <f>'6. Berekening doorrollen '!L41</f>
        <v>537358.27366182324</v>
      </c>
      <c r="N24" s="98"/>
    </row>
    <row r="25" spans="2:14">
      <c r="B25" s="44" t="s">
        <v>259</v>
      </c>
      <c r="D25" s="9" t="s">
        <v>80</v>
      </c>
      <c r="H25" s="33">
        <f>'7. Berekening bijschatten '!J49</f>
        <v>1456094.9638781874</v>
      </c>
      <c r="I25" s="33">
        <f>'7. Berekening bijschatten '!K49</f>
        <v>2381359.4829979008</v>
      </c>
      <c r="J25" s="33">
        <f>'7. Berekening bijschatten '!L49</f>
        <v>3379149.7639948195</v>
      </c>
      <c r="K25" s="33">
        <f>'7. Berekening bijschatten '!M49</f>
        <v>4312761.8708737129</v>
      </c>
      <c r="L25" s="33">
        <f>'7. Berekening bijschatten '!N49</f>
        <v>4913416.4987146212</v>
      </c>
      <c r="N25" s="98"/>
    </row>
    <row r="26" spans="2:14">
      <c r="B26" s="44" t="s">
        <v>255</v>
      </c>
      <c r="D26" s="9" t="s">
        <v>80</v>
      </c>
      <c r="H26" s="33">
        <f>'8. Berekening oper. kosten'!L105</f>
        <v>54558377.917918339</v>
      </c>
      <c r="I26" s="33">
        <f>'8. Berekening oper. kosten'!M105</f>
        <v>55481893.902234256</v>
      </c>
      <c r="J26" s="33">
        <f>'8. Berekening oper. kosten'!N105</f>
        <v>56420991.740694143</v>
      </c>
      <c r="K26" s="33">
        <f>'8. Berekening oper. kosten'!O105</f>
        <v>57375933.573338658</v>
      </c>
      <c r="L26" s="33">
        <f>'8. Berekening oper. kosten'!P105</f>
        <v>58346985.938791074</v>
      </c>
      <c r="N26" s="98"/>
    </row>
    <row r="27" spans="2:14">
      <c r="B27" s="44"/>
      <c r="N27" s="98"/>
    </row>
    <row r="28" spans="2:14">
      <c r="B28" s="28" t="s">
        <v>257</v>
      </c>
      <c r="N28" s="98"/>
    </row>
    <row r="29" spans="2:14">
      <c r="B29" s="9" t="s">
        <v>260</v>
      </c>
      <c r="D29" s="9" t="s">
        <v>80</v>
      </c>
      <c r="H29" s="33">
        <f>'6. Berekening doorrollen '!H50</f>
        <v>0</v>
      </c>
      <c r="I29" s="33">
        <f>'6. Berekening doorrollen '!I50</f>
        <v>0</v>
      </c>
      <c r="J29" s="33">
        <f>'6. Berekening doorrollen '!J50</f>
        <v>0</v>
      </c>
      <c r="K29" s="33">
        <f>'6. Berekening doorrollen '!K50</f>
        <v>0</v>
      </c>
      <c r="L29" s="33">
        <f>'6. Berekening doorrollen '!L50</f>
        <v>0</v>
      </c>
      <c r="N29" s="98"/>
    </row>
    <row r="30" spans="2:14">
      <c r="B30" s="9" t="s">
        <v>370</v>
      </c>
      <c r="D30" s="9" t="s">
        <v>80</v>
      </c>
      <c r="H30" s="33">
        <f>'6. Berekening doorrollen '!H51</f>
        <v>338619.26405236224</v>
      </c>
      <c r="I30" s="33">
        <f>'6. Berekening doorrollen '!I51</f>
        <v>332815.98306484992</v>
      </c>
      <c r="J30" s="33">
        <f>'6. Berekening doorrollen '!J51</f>
        <v>328297.59268313786</v>
      </c>
      <c r="K30" s="33">
        <f>'6. Berekening doorrollen '!K51</f>
        <v>281734.87144998595</v>
      </c>
      <c r="L30" s="33">
        <f>'6. Berekening doorrollen '!L51</f>
        <v>999.56978258273568</v>
      </c>
      <c r="N30" s="98"/>
    </row>
    <row r="31" spans="2:14">
      <c r="B31" s="44" t="s">
        <v>261</v>
      </c>
      <c r="D31" s="9" t="s">
        <v>80</v>
      </c>
      <c r="H31" s="33">
        <f>'7. Berekening bijschatten '!J57</f>
        <v>443929.59661790432</v>
      </c>
      <c r="I31" s="33">
        <f>'7. Berekening bijschatten '!K57</f>
        <v>727976.80982042151</v>
      </c>
      <c r="J31" s="33">
        <f>'7. Berekening bijschatten '!L57</f>
        <v>1028621.1672674733</v>
      </c>
      <c r="K31" s="33">
        <f>'7. Berekening bijschatten '!M57</f>
        <v>1313246.8278182647</v>
      </c>
      <c r="L31" s="33">
        <f>'7. Berekening bijschatten '!N57</f>
        <v>1473147.7767184465</v>
      </c>
      <c r="N31" s="98"/>
    </row>
    <row r="32" spans="2:14">
      <c r="B32" s="44" t="s">
        <v>254</v>
      </c>
      <c r="D32" s="9" t="s">
        <v>80</v>
      </c>
      <c r="H32" s="33">
        <f>'8. Berekening oper. kosten'!L125</f>
        <v>9970825.8575002346</v>
      </c>
      <c r="I32" s="33">
        <f>'8. Berekening oper. kosten'!M125</f>
        <v>10143574.672279585</v>
      </c>
      <c r="J32" s="33">
        <f>'8. Berekening oper. kosten'!N125</f>
        <v>10319297.9532669</v>
      </c>
      <c r="K32" s="33">
        <f>'8. Berekening oper. kosten'!O125</f>
        <v>10498046.644305412</v>
      </c>
      <c r="L32" s="33">
        <f>'8. Berekening oper. kosten'!P125</f>
        <v>10679872.557732806</v>
      </c>
      <c r="N32" s="98"/>
    </row>
    <row r="33" spans="2:14">
      <c r="B33" s="28"/>
      <c r="I33" s="32"/>
      <c r="J33" s="32"/>
      <c r="K33" s="32"/>
      <c r="L33" s="32"/>
      <c r="N33" s="98"/>
    </row>
    <row r="34" spans="2:14" s="1" customFormat="1">
      <c r="B34" s="1" t="s">
        <v>118</v>
      </c>
    </row>
    <row r="35" spans="2:14">
      <c r="B35" s="28"/>
      <c r="J35" s="46"/>
      <c r="K35" s="46"/>
      <c r="L35" s="46"/>
      <c r="N35" s="98"/>
    </row>
    <row r="36" spans="2:14">
      <c r="B36" s="28" t="s">
        <v>179</v>
      </c>
      <c r="J36" s="46"/>
      <c r="K36" s="46"/>
      <c r="L36" s="46"/>
      <c r="N36" s="98"/>
    </row>
    <row r="37" spans="2:14">
      <c r="B37" s="44" t="s">
        <v>179</v>
      </c>
      <c r="D37" s="9" t="s">
        <v>80</v>
      </c>
      <c r="H37" s="34">
        <f>H23+H24+H25+H26</f>
        <v>132729833.47985147</v>
      </c>
      <c r="I37" s="34">
        <f t="shared" ref="I37:L37" si="0">I23+I24+I25+I26</f>
        <v>133792794.42912856</v>
      </c>
      <c r="J37" s="34">
        <f t="shared" si="0"/>
        <v>138487774.88548478</v>
      </c>
      <c r="K37" s="34">
        <f>K23+K24+K25+K26</f>
        <v>138620259.97498164</v>
      </c>
      <c r="L37" s="34">
        <f t="shared" si="0"/>
        <v>138429699.67699558</v>
      </c>
      <c r="N37" s="98">
        <v>2</v>
      </c>
    </row>
    <row r="38" spans="2:14">
      <c r="B38" s="57" t="s">
        <v>178</v>
      </c>
      <c r="D38" s="9" t="s">
        <v>109</v>
      </c>
      <c r="F38" s="34">
        <f>H37/H$16+I37/I$16+J37/J$16+K37/K$16+L37/L$16</f>
        <v>631018625.13056004</v>
      </c>
      <c r="H38" s="85"/>
      <c r="N38" s="95">
        <v>19</v>
      </c>
    </row>
    <row r="39" spans="2:14">
      <c r="B39" s="57"/>
      <c r="H39" s="85"/>
    </row>
    <row r="40" spans="2:14">
      <c r="B40" s="28" t="s">
        <v>262</v>
      </c>
      <c r="H40" s="85"/>
    </row>
    <row r="41" spans="2:14">
      <c r="B41" s="44" t="s">
        <v>262</v>
      </c>
      <c r="D41" s="9" t="s">
        <v>80</v>
      </c>
      <c r="H41" s="34">
        <f>H29+H30+H31+H32</f>
        <v>10753374.718170501</v>
      </c>
      <c r="I41" s="34">
        <f t="shared" ref="I41:L41" si="1">I29+I30+I31+I32</f>
        <v>11204367.465164857</v>
      </c>
      <c r="J41" s="34">
        <f t="shared" si="1"/>
        <v>11676216.713217512</v>
      </c>
      <c r="K41" s="34">
        <f t="shared" si="1"/>
        <v>12093028.343573663</v>
      </c>
      <c r="L41" s="34">
        <f t="shared" si="1"/>
        <v>12154019.904233836</v>
      </c>
      <c r="N41" s="98">
        <v>2</v>
      </c>
    </row>
    <row r="42" spans="2:14">
      <c r="B42" s="57" t="s">
        <v>263</v>
      </c>
      <c r="D42" s="9" t="s">
        <v>109</v>
      </c>
      <c r="F42" s="34">
        <f>H41/H$16+I41/I$16+J41/J$16+K41/K$16+L41/L$16</f>
        <v>53463633.050919846</v>
      </c>
      <c r="H42" s="85"/>
      <c r="N42" s="95">
        <v>19</v>
      </c>
    </row>
    <row r="43" spans="2:14">
      <c r="B43" s="57"/>
      <c r="C43" s="57"/>
      <c r="D43" s="57"/>
      <c r="E43" s="57"/>
      <c r="F43" s="57"/>
      <c r="G43" s="57"/>
      <c r="H43" s="57"/>
    </row>
    <row r="44" spans="2:14">
      <c r="B44" s="58" t="s">
        <v>265</v>
      </c>
      <c r="C44" s="57"/>
      <c r="D44" s="57"/>
      <c r="E44" s="57"/>
      <c r="F44" s="57"/>
      <c r="G44" s="57"/>
      <c r="H44" s="57"/>
    </row>
    <row r="45" spans="2:14">
      <c r="B45" s="57" t="s">
        <v>266</v>
      </c>
      <c r="C45" s="57"/>
      <c r="D45" s="9" t="s">
        <v>80</v>
      </c>
      <c r="E45" s="57"/>
      <c r="F45" s="57"/>
      <c r="G45" s="57"/>
      <c r="H45" s="30">
        <f>H37+H41</f>
        <v>143483208.19802198</v>
      </c>
      <c r="I45" s="30">
        <f t="shared" ref="I45:K45" si="2">I37+I41</f>
        <v>144997161.89429343</v>
      </c>
      <c r="J45" s="30">
        <f t="shared" si="2"/>
        <v>150163991.59870231</v>
      </c>
      <c r="K45" s="30">
        <f t="shared" si="2"/>
        <v>150713288.3185553</v>
      </c>
      <c r="L45" s="30">
        <f>L37+L41</f>
        <v>150583719.58122942</v>
      </c>
      <c r="N45" s="95">
        <v>1</v>
      </c>
    </row>
    <row r="46" spans="2:14">
      <c r="B46" s="57"/>
      <c r="C46" s="57"/>
      <c r="D46" s="57"/>
      <c r="E46" s="57"/>
      <c r="F46" s="57"/>
      <c r="G46" s="57"/>
      <c r="H46" s="57"/>
    </row>
    <row r="47" spans="2:14">
      <c r="B47" s="58" t="s">
        <v>264</v>
      </c>
      <c r="C47" s="57"/>
      <c r="D47" s="57"/>
      <c r="E47" s="57"/>
      <c r="F47" s="57"/>
      <c r="G47" s="57"/>
      <c r="H47" s="57"/>
    </row>
    <row r="48" spans="2:14">
      <c r="B48" s="57" t="s">
        <v>264</v>
      </c>
      <c r="C48" s="57"/>
      <c r="D48" s="9" t="s">
        <v>109</v>
      </c>
      <c r="E48" s="57"/>
      <c r="F48" s="34">
        <f>H45/H$16+I45/I$16+J45/J$16+K45/K$16+L45/L$16</f>
        <v>684482258.18147981</v>
      </c>
      <c r="G48" s="57"/>
      <c r="H48" s="57"/>
      <c r="N48" s="95">
        <v>19</v>
      </c>
    </row>
    <row r="49" spans="1:16">
      <c r="A49" s="57"/>
      <c r="B49" s="57"/>
      <c r="C49" s="57"/>
      <c r="D49" s="57"/>
      <c r="E49" s="57"/>
      <c r="F49" s="57"/>
      <c r="G49" s="57"/>
      <c r="H49" s="57"/>
    </row>
    <row r="50" spans="1:16" s="1" customFormat="1">
      <c r="B50" s="1" t="s">
        <v>117</v>
      </c>
    </row>
    <row r="52" spans="1:16">
      <c r="B52" s="58" t="s">
        <v>116</v>
      </c>
    </row>
    <row r="53" spans="1:16">
      <c r="B53" s="57" t="s">
        <v>107</v>
      </c>
      <c r="D53" s="9" t="s">
        <v>115</v>
      </c>
      <c r="F53" s="78">
        <v>144016821.01113665</v>
      </c>
      <c r="N53" s="95">
        <v>17</v>
      </c>
      <c r="P53" s="9" t="s">
        <v>114</v>
      </c>
    </row>
    <row r="54" spans="1:16">
      <c r="B54" s="57" t="s">
        <v>113</v>
      </c>
      <c r="D54" s="9" t="s">
        <v>112</v>
      </c>
      <c r="F54" s="33">
        <f>L45</f>
        <v>150583719.58122942</v>
      </c>
      <c r="N54" s="95">
        <v>16</v>
      </c>
    </row>
    <row r="55" spans="1:16" ht="12.75" customHeight="1">
      <c r="B55" s="57" t="s">
        <v>105</v>
      </c>
      <c r="D55" s="9" t="s">
        <v>75</v>
      </c>
      <c r="F55" s="7">
        <f>$F$20^(1/5)-(F54/F53)^(1/5)</f>
        <v>9.0422976802397859E-3</v>
      </c>
      <c r="N55" s="95">
        <v>15</v>
      </c>
    </row>
    <row r="56" spans="1:16" s="46" customFormat="1" ht="12.75" customHeight="1">
      <c r="A56" s="9"/>
      <c r="B56" s="57"/>
      <c r="F56" s="56"/>
      <c r="N56" s="98"/>
    </row>
    <row r="57" spans="1:16" s="46" customFormat="1" ht="12.75" customHeight="1">
      <c r="A57" s="9"/>
      <c r="B57" s="57" t="s">
        <v>111</v>
      </c>
      <c r="D57" s="46" t="s">
        <v>106</v>
      </c>
      <c r="F57" s="56"/>
      <c r="H57" s="34">
        <f>F53*(1+H$19-$F55)</f>
        <v>145306880.82279259</v>
      </c>
      <c r="I57" s="34">
        <f>H57*(1+I$19-$F$55)</f>
        <v>146608496.60621604</v>
      </c>
      <c r="J57" s="34">
        <f>I57*(1+J$19-$F$55)</f>
        <v>147921771.87636212</v>
      </c>
      <c r="K57" s="34">
        <f>J57*(1+K$19-$F$55)</f>
        <v>149246811.07544205</v>
      </c>
      <c r="L57" s="34">
        <f>K57*(1+L$19-$F$55)</f>
        <v>150583719.58122936</v>
      </c>
      <c r="N57" s="98">
        <v>20</v>
      </c>
    </row>
    <row r="58" spans="1:16" s="46" customFormat="1" ht="12.75" customHeight="1">
      <c r="B58" s="57" t="s">
        <v>110</v>
      </c>
      <c r="D58" s="9" t="s">
        <v>109</v>
      </c>
      <c r="F58" s="34">
        <f>H57/H$16+I57/I$16+J57/J$16+K57/K$16+L57/L$16</f>
        <v>684482258.18256772</v>
      </c>
      <c r="H58" s="59"/>
      <c r="I58" s="59"/>
      <c r="J58" s="59"/>
      <c r="K58" s="59"/>
      <c r="L58" s="59"/>
      <c r="N58" s="98">
        <v>20</v>
      </c>
    </row>
    <row r="59" spans="1:16" s="46" customFormat="1" ht="12.75" customHeight="1">
      <c r="B59" s="57"/>
      <c r="F59" s="56"/>
      <c r="H59" s="59"/>
      <c r="I59" s="59"/>
      <c r="J59" s="59"/>
      <c r="K59" s="59"/>
      <c r="L59" s="59"/>
      <c r="N59" s="98"/>
    </row>
    <row r="60" spans="1:16" s="46" customFormat="1" ht="12.75" customHeight="1">
      <c r="B60" s="58" t="s">
        <v>108</v>
      </c>
      <c r="F60" s="56"/>
      <c r="N60" s="98"/>
    </row>
    <row r="61" spans="1:16" s="46" customFormat="1" ht="12.75" customHeight="1">
      <c r="B61" s="57" t="s">
        <v>107</v>
      </c>
      <c r="D61" s="46" t="s">
        <v>106</v>
      </c>
      <c r="F61" s="30">
        <f>IF(ABS(F58-F48)&lt;10,F53,"De berekening komt nog niet uit. Probeer de solver functie uit te voeren (zie uitleg)")</f>
        <v>144016821.01113665</v>
      </c>
      <c r="N61" s="98"/>
    </row>
    <row r="62" spans="1:16" s="46" customFormat="1" ht="12.75" customHeight="1">
      <c r="B62" s="57" t="s">
        <v>105</v>
      </c>
      <c r="D62" s="46" t="s">
        <v>75</v>
      </c>
      <c r="F62" s="3">
        <f>IF(ABS(F58-F48)&lt;1,F55,"")</f>
        <v>9.0422976802397859E-3</v>
      </c>
      <c r="N62" s="98"/>
    </row>
    <row r="63" spans="1:16" s="46" customFormat="1" ht="12.75" customHeight="1">
      <c r="B63" s="57" t="s">
        <v>104</v>
      </c>
      <c r="D63" s="46" t="s">
        <v>75</v>
      </c>
      <c r="F63" s="3">
        <f>IF(F62&gt;0,ROUNDDOWN(F62,4),ROUNDUP(F62,4))</f>
        <v>8.9999999999999993E-3</v>
      </c>
      <c r="N63" s="98">
        <v>15</v>
      </c>
    </row>
    <row r="64" spans="1:16" s="46" customFormat="1" ht="12.75" customHeight="1">
      <c r="B64" s="57" t="s">
        <v>103</v>
      </c>
      <c r="D64" s="46" t="s">
        <v>80</v>
      </c>
      <c r="F64" s="56"/>
      <c r="H64" s="30">
        <f>F61*(1+H$19-$F$63)</f>
        <v>145312972.4002369</v>
      </c>
      <c r="I64" s="30">
        <f>H64*(1+I$19-$F63)</f>
        <v>146620789.15183905</v>
      </c>
      <c r="J64" s="30">
        <f>I64*(1+J$19-$F63)</f>
        <v>147940376.25420561</v>
      </c>
      <c r="K64" s="30">
        <f>J64*(1+K$19-$F63)</f>
        <v>149271839.64049348</v>
      </c>
      <c r="L64" s="30">
        <f>K64*(1+L$19-$F63)</f>
        <v>150615286.19725794</v>
      </c>
      <c r="N64" s="98" t="s">
        <v>411</v>
      </c>
    </row>
    <row r="65" spans="2:15" s="46" customFormat="1" ht="12.75" customHeight="1">
      <c r="B65" s="57"/>
      <c r="F65" s="56"/>
      <c r="G65" s="56"/>
      <c r="H65" s="56"/>
      <c r="I65" s="56"/>
      <c r="J65" s="56"/>
      <c r="K65" s="56"/>
      <c r="L65" s="56"/>
      <c r="M65" s="56"/>
      <c r="N65" s="98"/>
      <c r="O65" s="56"/>
    </row>
    <row r="66" spans="2:15" s="1" customFormat="1">
      <c r="B66" s="1" t="s">
        <v>267</v>
      </c>
    </row>
    <row r="67" spans="2:15" ht="12.75" customHeight="1"/>
    <row r="68" spans="2:15" ht="12.75" customHeight="1">
      <c r="B68" s="9" t="s">
        <v>268</v>
      </c>
      <c r="D68" s="9" t="s">
        <v>106</v>
      </c>
      <c r="F68" s="30">
        <f>(F38/F48)*F61</f>
        <v>132767935.62416442</v>
      </c>
      <c r="N68" s="98">
        <v>18</v>
      </c>
    </row>
    <row r="69" spans="2:15" ht="12.75" customHeight="1">
      <c r="B69" s="9" t="s">
        <v>269</v>
      </c>
      <c r="D69" s="9" t="s">
        <v>80</v>
      </c>
      <c r="H69" s="30">
        <f>$F68*(1+H$19-$F$63)</f>
        <v>133962847.04478191</v>
      </c>
      <c r="I69" s="30">
        <f>H69*(1+I$19-$F63)</f>
        <v>135168512.66818497</v>
      </c>
      <c r="J69" s="30">
        <f t="shared" ref="J69:L69" si="3">I69*(1+J$19-$F63)</f>
        <v>136385029.28219864</v>
      </c>
      <c r="K69" s="30">
        <f t="shared" si="3"/>
        <v>137612494.54573843</v>
      </c>
      <c r="L69" s="30">
        <f t="shared" si="3"/>
        <v>138851006.9966501</v>
      </c>
      <c r="N69" s="98" t="s">
        <v>411</v>
      </c>
    </row>
    <row r="70" spans="2:15" ht="12.75" customHeight="1"/>
    <row r="71" spans="2:15" ht="12.75" customHeight="1">
      <c r="B71" s="9" t="s">
        <v>270</v>
      </c>
      <c r="D71" s="9" t="s">
        <v>106</v>
      </c>
      <c r="F71" s="30">
        <f>(F42/F48)*F61</f>
        <v>11248885.386972247</v>
      </c>
      <c r="N71" s="98">
        <v>18</v>
      </c>
    </row>
    <row r="72" spans="2:15" ht="12.75" customHeight="1">
      <c r="B72" s="9" t="s">
        <v>271</v>
      </c>
      <c r="D72" s="9" t="s">
        <v>80</v>
      </c>
      <c r="H72" s="30">
        <f>$F71*(1+H$19-$F$63)</f>
        <v>11350125.355454998</v>
      </c>
      <c r="I72" s="30">
        <f>H72*(1+I$19-$F63)</f>
        <v>11452276.483654095</v>
      </c>
      <c r="J72" s="30">
        <f t="shared" ref="J72:L72" si="4">I72*(1+J$19-$F63)</f>
        <v>11555346.972006982</v>
      </c>
      <c r="K72" s="30">
        <f>J72*(1+K$19-$F63)</f>
        <v>11659345.094755046</v>
      </c>
      <c r="L72" s="30">
        <f t="shared" si="4"/>
        <v>11764279.200607844</v>
      </c>
      <c r="N72" s="98" t="s">
        <v>411</v>
      </c>
    </row>
    <row r="73" spans="2:15" ht="12.75" customHeight="1"/>
    <row r="74" spans="2:15" ht="12.75" customHeight="1"/>
    <row r="75" spans="2:15" ht="12.75" customHeight="1"/>
    <row r="76" spans="2:15" ht="12.75" customHeight="1"/>
    <row r="77" spans="2:15" ht="12.75" customHeight="1"/>
    <row r="78" spans="2:15" ht="12.75" customHeight="1"/>
    <row r="79" spans="2:15" ht="12.75" customHeight="1"/>
    <row r="80" spans="2:15" ht="12.75" customHeight="1"/>
    <row r="81" ht="12.75" customHeight="1"/>
    <row r="82" ht="12.75" customHeight="1"/>
    <row r="83" ht="12.75" customHeight="1"/>
    <row r="84" ht="12.75" customHeight="1"/>
    <row r="85" ht="12.75" customHeight="1"/>
    <row r="86" ht="12.75" customHeight="1"/>
  </sheetData>
  <mergeCells count="2">
    <mergeCell ref="B5:C5"/>
    <mergeCell ref="B8:C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CCC8D9"/>
  </sheetPr>
  <dimension ref="B2:Q77"/>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9" customWidth="1"/>
    <col min="2" max="2" width="19.140625" style="9" customWidth="1"/>
    <col min="3" max="3" width="2.7109375" style="9" customWidth="1"/>
    <col min="4" max="4" width="40.7109375" style="9" customWidth="1"/>
    <col min="5" max="5" width="2.7109375" style="9" customWidth="1"/>
    <col min="6" max="6" width="20.7109375" style="9" customWidth="1"/>
    <col min="7" max="7" width="2.7109375" style="9" customWidth="1"/>
    <col min="8" max="8" width="40.7109375" style="9" customWidth="1"/>
    <col min="9" max="9" width="2.7109375" style="9" customWidth="1"/>
    <col min="10" max="10" width="20.7109375" style="9" customWidth="1"/>
    <col min="11" max="11" width="4.7109375" style="9" customWidth="1"/>
    <col min="12" max="12" width="40.7109375" style="9" customWidth="1"/>
    <col min="13" max="13" width="4.7109375" style="9" customWidth="1"/>
    <col min="14" max="14" width="20.7109375" style="9" customWidth="1"/>
    <col min="15" max="15" width="4.7109375" style="9" customWidth="1"/>
    <col min="16" max="16" width="40.7109375" style="9" customWidth="1"/>
    <col min="17" max="17" width="4.7109375" style="9" customWidth="1"/>
    <col min="18" max="16384" width="9.140625" style="9"/>
  </cols>
  <sheetData>
    <row r="2" spans="2:13" s="2" customFormat="1" ht="18">
      <c r="B2" s="2" t="s">
        <v>52</v>
      </c>
    </row>
    <row r="5" spans="2:13" s="1" customFormat="1">
      <c r="B5" s="1" t="s">
        <v>15</v>
      </c>
    </row>
    <row r="7" spans="2:13" ht="115.5" customHeight="1">
      <c r="B7" s="120" t="s">
        <v>427</v>
      </c>
      <c r="C7" s="120"/>
      <c r="D7" s="120"/>
      <c r="E7" s="120"/>
      <c r="F7" s="120"/>
      <c r="G7" s="120"/>
      <c r="H7" s="120"/>
    </row>
    <row r="9" spans="2:13" s="1" customFormat="1">
      <c r="B9" s="1" t="s">
        <v>127</v>
      </c>
    </row>
    <row r="10" spans="2:13">
      <c r="F10" s="64"/>
    </row>
    <row r="11" spans="2:13">
      <c r="F11" s="64"/>
    </row>
    <row r="12" spans="2:13">
      <c r="F12" s="64"/>
    </row>
    <row r="13" spans="2:13">
      <c r="C13" s="65"/>
      <c r="D13" s="66"/>
      <c r="E13" s="67"/>
      <c r="G13" s="65"/>
      <c r="H13" s="66"/>
      <c r="I13" s="67"/>
      <c r="K13" s="65"/>
      <c r="L13" s="66"/>
      <c r="M13" s="67"/>
    </row>
    <row r="14" spans="2:13">
      <c r="C14" s="68"/>
      <c r="D14" s="69" t="s">
        <v>128</v>
      </c>
      <c r="E14" s="70"/>
      <c r="G14" s="68"/>
      <c r="H14" s="71" t="s">
        <v>129</v>
      </c>
      <c r="I14" s="70"/>
      <c r="K14" s="68"/>
      <c r="L14" s="72" t="s">
        <v>130</v>
      </c>
      <c r="M14" s="70"/>
    </row>
    <row r="15" spans="2:13">
      <c r="C15" s="73"/>
      <c r="D15" s="74"/>
      <c r="E15" s="75"/>
      <c r="G15" s="73"/>
      <c r="H15" s="74"/>
      <c r="I15" s="75"/>
      <c r="K15" s="73"/>
      <c r="L15" s="74"/>
      <c r="M15" s="75"/>
    </row>
    <row r="17" spans="2:16" s="1" customFormat="1">
      <c r="B17" s="1" t="s">
        <v>59</v>
      </c>
    </row>
    <row r="19" spans="2:16">
      <c r="B19" s="9" t="s">
        <v>131</v>
      </c>
    </row>
    <row r="21" spans="2:16">
      <c r="D21" s="76" t="s">
        <v>180</v>
      </c>
      <c r="H21" s="76" t="s">
        <v>132</v>
      </c>
      <c r="P21" s="76" t="s">
        <v>33</v>
      </c>
    </row>
    <row r="22" spans="2:16">
      <c r="D22" s="76"/>
    </row>
    <row r="23" spans="2:16">
      <c r="C23" s="65"/>
      <c r="D23" s="66"/>
      <c r="E23" s="67"/>
      <c r="G23" s="65"/>
      <c r="H23" s="66"/>
      <c r="I23" s="67"/>
    </row>
    <row r="24" spans="2:16">
      <c r="C24" s="68"/>
      <c r="D24" s="69" t="s">
        <v>133</v>
      </c>
      <c r="E24" s="70"/>
      <c r="G24" s="68"/>
      <c r="H24" s="71" t="s">
        <v>134</v>
      </c>
      <c r="I24" s="70"/>
    </row>
    <row r="25" spans="2:16">
      <c r="C25" s="73"/>
      <c r="D25" s="74"/>
      <c r="E25" s="75"/>
      <c r="G25" s="73"/>
      <c r="H25" s="74"/>
      <c r="I25" s="75"/>
    </row>
    <row r="28" spans="2:16">
      <c r="G28" s="65"/>
      <c r="H28" s="66"/>
      <c r="I28" s="67"/>
    </row>
    <row r="29" spans="2:16">
      <c r="G29" s="68"/>
      <c r="H29" s="77" t="s">
        <v>135</v>
      </c>
      <c r="I29" s="70"/>
    </row>
    <row r="30" spans="2:16">
      <c r="G30" s="73"/>
      <c r="H30" s="74"/>
      <c r="I30" s="75"/>
    </row>
    <row r="33" spans="2:17">
      <c r="C33" s="65"/>
      <c r="D33" s="66"/>
      <c r="E33" s="67"/>
      <c r="G33" s="65"/>
      <c r="H33" s="66"/>
      <c r="I33" s="67"/>
    </row>
    <row r="34" spans="2:17">
      <c r="C34" s="68"/>
      <c r="D34" s="69" t="s">
        <v>136</v>
      </c>
      <c r="E34" s="70"/>
      <c r="G34" s="68"/>
      <c r="H34" s="71" t="s">
        <v>137</v>
      </c>
      <c r="I34" s="70"/>
    </row>
    <row r="35" spans="2:17">
      <c r="C35" s="73"/>
      <c r="D35" s="74"/>
      <c r="E35" s="75"/>
      <c r="G35" s="73"/>
      <c r="H35" s="74"/>
      <c r="I35" s="75"/>
    </row>
    <row r="38" spans="2:17">
      <c r="G38" s="65"/>
      <c r="H38" s="66"/>
      <c r="I38" s="67"/>
      <c r="K38" s="65"/>
      <c r="L38" s="66"/>
      <c r="M38" s="67"/>
      <c r="O38" s="65"/>
      <c r="P38" s="66"/>
      <c r="Q38" s="67"/>
    </row>
    <row r="39" spans="2:17">
      <c r="G39" s="68"/>
      <c r="H39" s="71" t="s">
        <v>138</v>
      </c>
      <c r="I39" s="70"/>
      <c r="K39" s="68"/>
      <c r="L39" s="71" t="s">
        <v>139</v>
      </c>
      <c r="M39" s="70"/>
      <c r="O39" s="68"/>
      <c r="P39" s="72" t="s">
        <v>140</v>
      </c>
      <c r="Q39" s="70"/>
    </row>
    <row r="40" spans="2:17">
      <c r="G40" s="73"/>
      <c r="H40" s="74"/>
      <c r="I40" s="75"/>
      <c r="K40" s="73"/>
      <c r="L40" s="74"/>
      <c r="M40" s="75"/>
      <c r="O40" s="73"/>
      <c r="P40" s="74"/>
      <c r="Q40" s="75"/>
    </row>
    <row r="43" spans="2:17">
      <c r="C43" s="65"/>
      <c r="D43" s="66"/>
      <c r="E43" s="67"/>
      <c r="G43" s="65"/>
      <c r="H43" s="66"/>
      <c r="I43" s="67"/>
    </row>
    <row r="44" spans="2:17">
      <c r="C44" s="68"/>
      <c r="D44" s="69" t="s">
        <v>141</v>
      </c>
      <c r="E44" s="70"/>
      <c r="G44" s="68"/>
      <c r="H44" s="71" t="s">
        <v>142</v>
      </c>
      <c r="I44" s="70"/>
    </row>
    <row r="45" spans="2:17">
      <c r="C45" s="73"/>
      <c r="D45" s="74"/>
      <c r="E45" s="75"/>
      <c r="G45" s="73"/>
      <c r="H45" s="74"/>
      <c r="I45" s="75"/>
    </row>
    <row r="47" spans="2:17" s="1" customFormat="1">
      <c r="B47" s="1" t="s">
        <v>16</v>
      </c>
    </row>
    <row r="49" spans="2:9">
      <c r="B49" s="28" t="s">
        <v>39</v>
      </c>
      <c r="D49" s="28" t="s">
        <v>17</v>
      </c>
      <c r="F49" s="12"/>
    </row>
    <row r="51" spans="2:9">
      <c r="B51" s="31">
        <v>123</v>
      </c>
      <c r="D51" s="9" t="s">
        <v>69</v>
      </c>
    </row>
    <row r="52" spans="2:9">
      <c r="B52" s="33">
        <f>B51</f>
        <v>123</v>
      </c>
      <c r="D52" s="9" t="s">
        <v>18</v>
      </c>
    </row>
    <row r="53" spans="2:9">
      <c r="B53" s="34">
        <f>B52+B51</f>
        <v>246</v>
      </c>
      <c r="D53" s="9" t="s">
        <v>19</v>
      </c>
    </row>
    <row r="54" spans="2:9">
      <c r="B54" s="30">
        <f>B52+B53</f>
        <v>369</v>
      </c>
      <c r="D54" s="9" t="s">
        <v>70</v>
      </c>
      <c r="E54" s="12"/>
      <c r="F54" s="12"/>
      <c r="G54" s="12"/>
      <c r="I54" s="12"/>
    </row>
    <row r="55" spans="2:9">
      <c r="B55" s="43"/>
      <c r="D55" s="9" t="s">
        <v>20</v>
      </c>
      <c r="E55" s="12"/>
      <c r="G55" s="12"/>
      <c r="I55" s="12"/>
    </row>
    <row r="57" spans="2:9">
      <c r="B57" s="29" t="s">
        <v>21</v>
      </c>
    </row>
    <row r="58" spans="2:9">
      <c r="B58" s="78">
        <f>B54+16</f>
        <v>385</v>
      </c>
      <c r="D58" s="9" t="s">
        <v>71</v>
      </c>
    </row>
    <row r="59" spans="2:9">
      <c r="B59" s="102">
        <f>B52*PI()</f>
        <v>386.41589639154455</v>
      </c>
      <c r="C59" s="18"/>
      <c r="D59" s="9" t="s">
        <v>22</v>
      </c>
    </row>
    <row r="60" spans="2:9">
      <c r="B60" s="18"/>
      <c r="C60" s="18"/>
    </row>
    <row r="61" spans="2:9">
      <c r="B61" s="29" t="s">
        <v>23</v>
      </c>
      <c r="C61" s="19"/>
    </row>
    <row r="62" spans="2:9">
      <c r="B62" s="79">
        <v>123</v>
      </c>
      <c r="C62" s="19"/>
      <c r="D62" s="9" t="s">
        <v>72</v>
      </c>
    </row>
    <row r="63" spans="2:9">
      <c r="B63" s="80">
        <v>124</v>
      </c>
      <c r="C63" s="19"/>
      <c r="D63" s="9" t="s">
        <v>74</v>
      </c>
    </row>
    <row r="64" spans="2:9">
      <c r="B64" s="81">
        <f>B62-B63</f>
        <v>-1</v>
      </c>
      <c r="C64" s="20"/>
      <c r="D64" s="9" t="s">
        <v>58</v>
      </c>
    </row>
    <row r="67" spans="2:4">
      <c r="B67" s="28" t="s">
        <v>34</v>
      </c>
    </row>
    <row r="68" spans="2:4">
      <c r="B68" s="8"/>
    </row>
    <row r="69" spans="2:4">
      <c r="B69" s="29" t="s">
        <v>40</v>
      </c>
    </row>
    <row r="70" spans="2:4">
      <c r="B70" s="104" t="s">
        <v>33</v>
      </c>
      <c r="D70" s="9" t="s">
        <v>43</v>
      </c>
    </row>
    <row r="71" spans="2:4">
      <c r="B71" s="103" t="s">
        <v>31</v>
      </c>
      <c r="D71" s="9" t="s">
        <v>35</v>
      </c>
    </row>
    <row r="72" spans="2:4">
      <c r="B72" s="105" t="s">
        <v>32</v>
      </c>
      <c r="D72" s="9" t="s">
        <v>36</v>
      </c>
    </row>
    <row r="73" spans="2:4">
      <c r="B73" s="106" t="s">
        <v>32</v>
      </c>
      <c r="D73" s="9" t="s">
        <v>38</v>
      </c>
    </row>
    <row r="75" spans="2:4">
      <c r="B75" s="29" t="s">
        <v>42</v>
      </c>
    </row>
    <row r="76" spans="2:4">
      <c r="B76" s="25" t="s">
        <v>37</v>
      </c>
      <c r="D76" s="9" t="s">
        <v>44</v>
      </c>
    </row>
    <row r="77" spans="2:4">
      <c r="B77" s="109" t="s">
        <v>41</v>
      </c>
      <c r="D77" s="9" t="s">
        <v>73</v>
      </c>
    </row>
  </sheetData>
  <mergeCells count="1">
    <mergeCell ref="B7:H7"/>
  </mergeCells>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CCC8D9"/>
  </sheetPr>
  <dimension ref="B2:F33"/>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cols>
    <col min="1" max="1" width="4.7109375" style="9" customWidth="1"/>
    <col min="2" max="2" width="7.5703125" style="9" customWidth="1"/>
    <col min="3" max="3" width="62" style="9" customWidth="1"/>
    <col min="4" max="4" width="78" style="9" customWidth="1"/>
    <col min="5" max="5" width="36.28515625" style="9" customWidth="1"/>
    <col min="6" max="6" width="40.7109375" style="9" customWidth="1"/>
    <col min="7" max="7" width="4.5703125" style="9" customWidth="1"/>
    <col min="8" max="16384" width="9.140625" style="9"/>
  </cols>
  <sheetData>
    <row r="2" spans="2:6" s="23" customFormat="1" ht="18">
      <c r="B2" s="23" t="s">
        <v>24</v>
      </c>
    </row>
    <row r="5" spans="2:6" s="15" customFormat="1">
      <c r="B5" s="15" t="s">
        <v>25</v>
      </c>
    </row>
    <row r="7" spans="2:6">
      <c r="B7" s="29" t="s">
        <v>64</v>
      </c>
    </row>
    <row r="8" spans="2:6">
      <c r="B8" s="29" t="s">
        <v>65</v>
      </c>
    </row>
    <row r="10" spans="2:6">
      <c r="B10" s="21" t="s">
        <v>53</v>
      </c>
      <c r="C10" s="21" t="s">
        <v>54</v>
      </c>
      <c r="D10" s="21" t="s">
        <v>55</v>
      </c>
      <c r="E10" s="21" t="s">
        <v>63</v>
      </c>
      <c r="F10" s="21" t="s">
        <v>60</v>
      </c>
    </row>
    <row r="11" spans="2:6">
      <c r="B11" s="22"/>
      <c r="C11" s="26" t="s">
        <v>62</v>
      </c>
      <c r="D11" s="26" t="s">
        <v>26</v>
      </c>
      <c r="E11" s="26" t="s">
        <v>66</v>
      </c>
      <c r="F11" s="26" t="s">
        <v>61</v>
      </c>
    </row>
    <row r="12" spans="2:6">
      <c r="B12" s="13">
        <v>1</v>
      </c>
      <c r="C12" s="13" t="s">
        <v>288</v>
      </c>
      <c r="D12" s="13" t="s">
        <v>289</v>
      </c>
      <c r="E12" s="13"/>
      <c r="F12" s="13"/>
    </row>
    <row r="13" spans="2:6">
      <c r="B13" s="13">
        <v>2</v>
      </c>
      <c r="C13" s="13" t="s">
        <v>290</v>
      </c>
      <c r="D13" s="13" t="s">
        <v>291</v>
      </c>
      <c r="E13" s="13"/>
      <c r="F13" s="13"/>
    </row>
    <row r="14" spans="2:6">
      <c r="B14" s="13">
        <v>3</v>
      </c>
      <c r="C14" s="13" t="s">
        <v>292</v>
      </c>
      <c r="D14" s="13" t="s">
        <v>293</v>
      </c>
      <c r="E14" s="13"/>
      <c r="F14" s="13"/>
    </row>
    <row r="15" spans="2:6">
      <c r="B15" s="13">
        <v>4</v>
      </c>
      <c r="C15" s="13" t="s">
        <v>297</v>
      </c>
      <c r="D15" s="13" t="s">
        <v>298</v>
      </c>
      <c r="E15" s="13"/>
      <c r="F15" s="13"/>
    </row>
    <row r="16" spans="2:6">
      <c r="B16" s="13">
        <v>5</v>
      </c>
      <c r="C16" s="13" t="s">
        <v>182</v>
      </c>
      <c r="D16" s="80" t="s">
        <v>183</v>
      </c>
      <c r="E16" s="13"/>
      <c r="F16" s="83" t="s">
        <v>155</v>
      </c>
    </row>
    <row r="17" spans="2:6">
      <c r="B17" s="13">
        <v>6</v>
      </c>
      <c r="C17" s="13" t="s">
        <v>213</v>
      </c>
      <c r="D17" s="9" t="s">
        <v>214</v>
      </c>
      <c r="E17" s="13" t="s">
        <v>215</v>
      </c>
      <c r="F17" s="83" t="s">
        <v>155</v>
      </c>
    </row>
    <row r="18" spans="2:6">
      <c r="B18" s="13">
        <v>7</v>
      </c>
      <c r="C18" s="13" t="s">
        <v>424</v>
      </c>
      <c r="D18" s="80" t="s">
        <v>428</v>
      </c>
      <c r="E18" s="115" t="s">
        <v>429</v>
      </c>
      <c r="F18" s="83" t="s">
        <v>155</v>
      </c>
    </row>
    <row r="19" spans="2:6">
      <c r="B19" s="13">
        <v>8</v>
      </c>
      <c r="C19" s="13" t="s">
        <v>165</v>
      </c>
      <c r="D19" s="13" t="s">
        <v>441</v>
      </c>
      <c r="E19" s="13"/>
      <c r="F19" s="13"/>
    </row>
    <row r="20" spans="2:6">
      <c r="B20" s="13">
        <v>9</v>
      </c>
      <c r="C20" s="13" t="s">
        <v>357</v>
      </c>
      <c r="D20" s="13" t="s">
        <v>358</v>
      </c>
      <c r="E20" s="13"/>
      <c r="F20" s="13"/>
    </row>
    <row r="21" spans="2:6">
      <c r="B21" s="13">
        <v>10</v>
      </c>
      <c r="C21" s="13" t="s">
        <v>425</v>
      </c>
      <c r="D21" s="13" t="s">
        <v>426</v>
      </c>
      <c r="E21" s="13"/>
      <c r="F21" s="83" t="s">
        <v>155</v>
      </c>
    </row>
    <row r="23" spans="2:6" s="1" customFormat="1">
      <c r="B23" s="1" t="s">
        <v>51</v>
      </c>
    </row>
    <row r="25" spans="2:6">
      <c r="B25" s="29" t="s">
        <v>49</v>
      </c>
    </row>
    <row r="26" spans="2:6">
      <c r="B26" s="29" t="s">
        <v>50</v>
      </c>
    </row>
    <row r="28" spans="2:6">
      <c r="B28" s="8" t="s">
        <v>143</v>
      </c>
    </row>
    <row r="29" spans="2:6" ht="168.75" customHeight="1">
      <c r="B29" s="120" t="s">
        <v>148</v>
      </c>
      <c r="C29" s="120"/>
      <c r="D29" s="120"/>
      <c r="E29" s="120"/>
      <c r="F29" s="120"/>
    </row>
    <row r="30" spans="2:6">
      <c r="B30" s="8" t="s">
        <v>144</v>
      </c>
    </row>
    <row r="31" spans="2:6" ht="114.75" customHeight="1">
      <c r="B31" s="120" t="s">
        <v>184</v>
      </c>
      <c r="C31" s="120"/>
      <c r="D31" s="120"/>
      <c r="E31" s="120"/>
      <c r="F31" s="120"/>
    </row>
    <row r="32" spans="2:6" ht="28.5" customHeight="1">
      <c r="B32" s="121" t="s">
        <v>145</v>
      </c>
      <c r="C32" s="121"/>
      <c r="D32" s="121"/>
      <c r="E32" s="121"/>
      <c r="F32" s="121"/>
    </row>
    <row r="33" spans="2:6" s="49" customFormat="1" ht="95.25" customHeight="1">
      <c r="B33" s="120" t="s">
        <v>146</v>
      </c>
      <c r="C33" s="120"/>
      <c r="D33" s="120"/>
      <c r="E33" s="120"/>
      <c r="F33" s="120"/>
    </row>
  </sheetData>
  <mergeCells count="4">
    <mergeCell ref="B29:F29"/>
    <mergeCell ref="B31:F31"/>
    <mergeCell ref="B32:F32"/>
    <mergeCell ref="B33:F33"/>
  </mergeCells>
  <phoneticPr fontId="35" type="noConversion"/>
  <hyperlinks>
    <hyperlink ref="B32" r:id="rId1" xr:uid="{00000000-0004-0000-0500-000000000000}"/>
    <hyperlink ref="F16" r:id="rId2" location="/CBS/nl/dataset/70936NED/table?fromstatweb" xr:uid="{00000000-0004-0000-0500-000001000000}"/>
    <hyperlink ref="F17" r:id="rId3" xr:uid="{00000000-0004-0000-0500-000002000000}"/>
    <hyperlink ref="F21" r:id="rId4" location="!/details?id=ECLI:NL:CBB:2023:318" xr:uid="{38ED84D5-1212-4A7C-8DA0-FEC5BDCA3C5B}"/>
    <hyperlink ref="F18" r:id="rId5" xr:uid="{1020C56D-C4E8-4C58-BA58-004120500E6A}"/>
  </hyperlinks>
  <pageMargins left="0.75" right="0.75" top="1" bottom="1" header="0.5" footer="0.5"/>
  <pageSetup paperSize="9" orientation="portrait"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tabColor rgb="FFCCFFFF"/>
  </sheetPr>
  <dimension ref="B2:L24"/>
  <sheetViews>
    <sheetView showGridLines="0" zoomScale="85" zoomScaleNormal="85"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2.75"/>
  <cols>
    <col min="1" max="1" width="4.7109375" style="9" customWidth="1"/>
    <col min="2" max="2" width="75.7109375" style="9" customWidth="1"/>
    <col min="3" max="3" width="2.7109375" style="9" customWidth="1"/>
    <col min="4" max="4" width="13.7109375" style="9" customWidth="1"/>
    <col min="5" max="5" width="2.7109375" style="9" customWidth="1"/>
    <col min="6" max="6" width="16.7109375" style="9" customWidth="1"/>
    <col min="7" max="7" width="2.7109375" style="9" customWidth="1"/>
    <col min="8" max="12" width="16.7109375" style="9" customWidth="1"/>
    <col min="13" max="13" width="13.7109375" style="9" customWidth="1"/>
    <col min="14" max="16384" width="9.140625" style="9"/>
  </cols>
  <sheetData>
    <row r="2" spans="2:12" s="2" customFormat="1" ht="18">
      <c r="B2" s="2" t="s">
        <v>86</v>
      </c>
    </row>
    <row r="4" spans="2:12">
      <c r="B4" s="28" t="s">
        <v>57</v>
      </c>
      <c r="D4" s="8"/>
      <c r="G4" s="8"/>
    </row>
    <row r="5" spans="2:12" ht="105" customHeight="1">
      <c r="B5" s="120" t="s">
        <v>192</v>
      </c>
      <c r="C5" s="120"/>
    </row>
    <row r="6" spans="2:12">
      <c r="B6" s="11"/>
    </row>
    <row r="7" spans="2:12" s="1" customFormat="1">
      <c r="B7" s="1" t="s">
        <v>45</v>
      </c>
      <c r="D7" s="1" t="s">
        <v>27</v>
      </c>
      <c r="F7" s="1" t="s">
        <v>28</v>
      </c>
      <c r="H7" s="1">
        <v>2022</v>
      </c>
      <c r="I7" s="1">
        <v>2023</v>
      </c>
      <c r="J7" s="1">
        <v>2024</v>
      </c>
      <c r="K7" s="1">
        <v>2025</v>
      </c>
      <c r="L7" s="1">
        <v>2026</v>
      </c>
    </row>
    <row r="8" spans="2:12" s="107" customFormat="1"/>
    <row r="9" spans="2:12" s="108" customFormat="1"/>
    <row r="10" spans="2:12" s="1" customFormat="1">
      <c r="B10" s="1" t="s">
        <v>125</v>
      </c>
    </row>
    <row r="12" spans="2:12">
      <c r="B12" s="9" t="s">
        <v>359</v>
      </c>
      <c r="D12" s="62" t="s">
        <v>106</v>
      </c>
      <c r="E12" s="63"/>
      <c r="F12" s="30">
        <f>'9. Berekening x-factor'!F61</f>
        <v>144016821.01113665</v>
      </c>
    </row>
    <row r="13" spans="2:12">
      <c r="B13" s="113" t="s">
        <v>413</v>
      </c>
      <c r="D13" s="62" t="s">
        <v>106</v>
      </c>
      <c r="E13" s="63"/>
      <c r="F13" s="30">
        <f>'9. Berekening x-factor'!F68</f>
        <v>132767935.62416442</v>
      </c>
    </row>
    <row r="14" spans="2:12">
      <c r="B14" s="113" t="s">
        <v>414</v>
      </c>
      <c r="D14" s="62" t="s">
        <v>106</v>
      </c>
      <c r="E14" s="63"/>
      <c r="F14" s="30">
        <f>'9. Berekening x-factor'!F71</f>
        <v>11248885.386972247</v>
      </c>
    </row>
    <row r="15" spans="2:12">
      <c r="B15" s="63"/>
    </row>
    <row r="16" spans="2:12">
      <c r="B16" s="9" t="s">
        <v>104</v>
      </c>
      <c r="D16" s="9" t="s">
        <v>75</v>
      </c>
      <c r="F16" s="3">
        <f>'9. Berekening x-factor'!F63</f>
        <v>8.9999999999999993E-3</v>
      </c>
    </row>
    <row r="18" spans="2:12" s="1" customFormat="1">
      <c r="B18" s="1" t="s">
        <v>126</v>
      </c>
    </row>
    <row r="20" spans="2:12">
      <c r="B20" s="62" t="s">
        <v>78</v>
      </c>
      <c r="D20" s="9" t="s">
        <v>75</v>
      </c>
      <c r="H20" s="6">
        <f>'5. Berekening op parameters'!L13</f>
        <v>1.7999999999999999E-2</v>
      </c>
      <c r="I20" s="6">
        <f>'5. Berekening op parameters'!M13</f>
        <v>1.7999999999999999E-2</v>
      </c>
      <c r="J20" s="6">
        <f>'5. Berekening op parameters'!N13</f>
        <v>1.7999999999999999E-2</v>
      </c>
      <c r="K20" s="6">
        <f>'5. Berekening op parameters'!O13</f>
        <v>1.7999999999999999E-2</v>
      </c>
      <c r="L20" s="6">
        <f>'5. Berekening op parameters'!P13</f>
        <v>1.7999999999999999E-2</v>
      </c>
    </row>
    <row r="22" spans="2:12" s="1" customFormat="1">
      <c r="B22" s="1" t="s">
        <v>103</v>
      </c>
    </row>
    <row r="24" spans="2:12">
      <c r="B24" s="9" t="s">
        <v>294</v>
      </c>
      <c r="D24" s="9" t="s">
        <v>80</v>
      </c>
      <c r="H24" s="30">
        <f>'9. Berekening x-factor'!H64</f>
        <v>145312972.4002369</v>
      </c>
      <c r="I24" s="30">
        <f>'9. Berekening x-factor'!I64</f>
        <v>146620789.15183905</v>
      </c>
      <c r="J24" s="30">
        <f>'9. Berekening x-factor'!J64</f>
        <v>147940376.25420561</v>
      </c>
      <c r="K24" s="30">
        <f>'9. Berekening x-factor'!K64</f>
        <v>149271839.64049348</v>
      </c>
      <c r="L24" s="30">
        <f>'9. Berekening x-factor'!L64</f>
        <v>150615286.19725794</v>
      </c>
    </row>
  </sheetData>
  <mergeCells count="1">
    <mergeCell ref="B5:C5"/>
  </mergeCells>
  <phoneticPr fontId="3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tabColor theme="0" tint="-4.9989318521683403E-2"/>
  </sheetPr>
  <dimension ref="A1"/>
  <sheetViews>
    <sheetView showGridLines="0" zoomScale="85" zoomScaleNormal="85" workbookViewId="0"/>
  </sheetViews>
  <sheetFormatPr defaultColWidth="9.140625" defaultRowHeight="12.75"/>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tabColor rgb="FFE1FFE1"/>
  </sheetPr>
  <dimension ref="B2:T41"/>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9" customWidth="1"/>
    <col min="2" max="2" width="97.85546875" style="9" customWidth="1"/>
    <col min="3" max="3" width="2.7109375" style="9" customWidth="1"/>
    <col min="4" max="4" width="13.7109375" style="9" customWidth="1"/>
    <col min="5" max="5" width="2.7109375" style="9" customWidth="1"/>
    <col min="6" max="6" width="13.7109375" style="9" customWidth="1"/>
    <col min="7" max="7" width="2.7109375" style="9" customWidth="1"/>
    <col min="8" max="9" width="13.7109375" style="9" customWidth="1"/>
    <col min="10" max="16" width="12.5703125" style="9" customWidth="1"/>
    <col min="17" max="17" width="2.7109375" style="9" customWidth="1"/>
    <col min="18" max="18" width="64.42578125" style="9" customWidth="1"/>
    <col min="19" max="19" width="2.7109375" style="9" customWidth="1"/>
    <col min="20" max="20" width="13.7109375" style="9" customWidth="1"/>
    <col min="21" max="21" width="2.7109375" style="9" customWidth="1"/>
    <col min="22" max="36" width="13.7109375" style="9" customWidth="1"/>
    <col min="37" max="16384" width="9.140625" style="9"/>
  </cols>
  <sheetData>
    <row r="2" spans="2:20" s="23" customFormat="1" ht="18">
      <c r="B2" s="23" t="s">
        <v>181</v>
      </c>
    </row>
    <row r="4" spans="2:20">
      <c r="B4" s="28" t="s">
        <v>29</v>
      </c>
      <c r="J4"/>
    </row>
    <row r="5" spans="2:20" ht="64.5" customHeight="1">
      <c r="B5" s="120" t="s">
        <v>204</v>
      </c>
      <c r="C5" s="120"/>
      <c r="D5" s="40"/>
      <c r="E5" s="40"/>
      <c r="F5" s="40"/>
    </row>
    <row r="6" spans="2:20" ht="12.75" customHeight="1">
      <c r="B6" s="42"/>
      <c r="C6" s="42"/>
      <c r="D6" s="40"/>
      <c r="E6" s="40"/>
      <c r="F6" s="40"/>
    </row>
    <row r="7" spans="2:20" ht="12.75" customHeight="1">
      <c r="B7" s="55" t="s">
        <v>30</v>
      </c>
      <c r="C7" s="42"/>
      <c r="D7" s="40"/>
      <c r="E7" s="40"/>
      <c r="F7" s="40"/>
    </row>
    <row r="8" spans="2:20" ht="26.25" customHeight="1">
      <c r="B8" s="42" t="s">
        <v>431</v>
      </c>
      <c r="C8" s="42"/>
      <c r="D8" s="40"/>
      <c r="E8" s="40"/>
      <c r="F8" s="40"/>
    </row>
    <row r="9" spans="2:20" ht="12.75" customHeight="1">
      <c r="B9" s="40"/>
      <c r="C9" s="40"/>
      <c r="D9" s="40"/>
      <c r="E9" s="40"/>
      <c r="F9" s="40"/>
    </row>
    <row r="10" spans="2:20" s="1" customFormat="1">
      <c r="B10" s="1" t="s">
        <v>45</v>
      </c>
      <c r="D10" s="1" t="s">
        <v>27</v>
      </c>
      <c r="F10" s="1" t="s">
        <v>28</v>
      </c>
      <c r="H10" s="1">
        <v>2018</v>
      </c>
      <c r="I10" s="1">
        <v>2019</v>
      </c>
      <c r="J10" s="1">
        <v>2020</v>
      </c>
      <c r="K10" s="1">
        <v>2021</v>
      </c>
      <c r="L10" s="1">
        <v>2022</v>
      </c>
      <c r="M10" s="1">
        <v>2023</v>
      </c>
      <c r="N10" s="1">
        <v>2024</v>
      </c>
      <c r="O10" s="1">
        <v>2025</v>
      </c>
      <c r="P10" s="1">
        <v>2026</v>
      </c>
      <c r="R10" s="1" t="s">
        <v>46</v>
      </c>
      <c r="T10" s="1" t="s">
        <v>47</v>
      </c>
    </row>
    <row r="11" spans="2:20" ht="12.75" customHeight="1"/>
    <row r="13" spans="2:20" s="15" customFormat="1">
      <c r="B13" s="15" t="s">
        <v>85</v>
      </c>
    </row>
    <row r="15" spans="2:20">
      <c r="B15" s="9" t="s">
        <v>372</v>
      </c>
      <c r="D15" s="9" t="s">
        <v>75</v>
      </c>
      <c r="H15" s="43"/>
      <c r="I15" s="43"/>
      <c r="J15" s="43"/>
      <c r="K15" s="43"/>
      <c r="L15" s="114">
        <v>2.8000000000000001E-2</v>
      </c>
      <c r="M15" s="114">
        <v>2.8000000000000001E-2</v>
      </c>
      <c r="N15" s="114">
        <v>3.3000000000000002E-2</v>
      </c>
      <c r="O15" s="114">
        <v>3.3000000000000002E-2</v>
      </c>
      <c r="P15" s="114">
        <v>3.3000000000000002E-2</v>
      </c>
      <c r="R15" s="9" t="s">
        <v>418</v>
      </c>
      <c r="T15" s="9" t="s">
        <v>423</v>
      </c>
    </row>
    <row r="16" spans="2:20">
      <c r="B16" s="9" t="s">
        <v>373</v>
      </c>
      <c r="D16" s="9" t="s">
        <v>75</v>
      </c>
      <c r="H16" s="43"/>
      <c r="I16" s="43"/>
      <c r="J16" s="43"/>
      <c r="K16" s="43"/>
      <c r="L16" s="114">
        <v>2.8000000000000001E-2</v>
      </c>
      <c r="M16" s="114">
        <v>2.8000000000000001E-2</v>
      </c>
      <c r="N16" s="114">
        <v>3.3000000000000002E-2</v>
      </c>
      <c r="O16" s="114">
        <v>3.3000000000000002E-2</v>
      </c>
      <c r="P16" s="114">
        <v>3.3000000000000002E-2</v>
      </c>
      <c r="R16" s="9" t="s">
        <v>418</v>
      </c>
      <c r="T16" s="9" t="s">
        <v>423</v>
      </c>
    </row>
    <row r="17" spans="2:20">
      <c r="B17" s="9" t="s">
        <v>124</v>
      </c>
      <c r="D17" s="9" t="s">
        <v>75</v>
      </c>
      <c r="H17" s="43"/>
      <c r="I17" s="43"/>
      <c r="J17" s="43"/>
      <c r="K17" s="43"/>
      <c r="L17" s="114">
        <v>3.6999999999999998E-2</v>
      </c>
      <c r="M17" s="114">
        <v>3.6999999999999998E-2</v>
      </c>
      <c r="N17" s="114">
        <v>4.2000000000000003E-2</v>
      </c>
      <c r="O17" s="114">
        <v>4.2000000000000003E-2</v>
      </c>
      <c r="P17" s="114">
        <v>4.2000000000000003E-2</v>
      </c>
      <c r="R17" s="9" t="s">
        <v>418</v>
      </c>
      <c r="T17" s="9" t="s">
        <v>423</v>
      </c>
    </row>
    <row r="19" spans="2:20" s="15" customFormat="1">
      <c r="B19" s="15" t="s">
        <v>78</v>
      </c>
    </row>
    <row r="21" spans="2:20">
      <c r="B21" s="8" t="s">
        <v>76</v>
      </c>
    </row>
    <row r="22" spans="2:20">
      <c r="B22" s="9" t="s">
        <v>84</v>
      </c>
      <c r="D22" s="9" t="s">
        <v>75</v>
      </c>
      <c r="F22" s="36"/>
      <c r="H22" s="101">
        <v>1.4E-2</v>
      </c>
      <c r="I22" s="101">
        <v>2.1000000000000001E-2</v>
      </c>
      <c r="J22" s="101">
        <v>2.8000000000000001E-2</v>
      </c>
      <c r="K22" s="101">
        <v>7.0000000000000001E-3</v>
      </c>
      <c r="L22" s="101">
        <v>1.7999999999999999E-2</v>
      </c>
      <c r="M22" s="101">
        <v>1.7999999999999999E-2</v>
      </c>
      <c r="N22" s="101">
        <v>1.7999999999999999E-2</v>
      </c>
      <c r="O22" s="101">
        <v>1.7999999999999999E-2</v>
      </c>
      <c r="P22" s="101">
        <v>1.7999999999999999E-2</v>
      </c>
      <c r="R22" s="9" t="s">
        <v>419</v>
      </c>
    </row>
    <row r="24" spans="2:20" s="15" customFormat="1">
      <c r="B24" s="15" t="s">
        <v>203</v>
      </c>
    </row>
    <row r="26" spans="2:20">
      <c r="B26" s="9" t="s">
        <v>202</v>
      </c>
      <c r="D26" s="9" t="s">
        <v>75</v>
      </c>
      <c r="F26" s="114">
        <v>1</v>
      </c>
      <c r="R26" s="9" t="s">
        <v>420</v>
      </c>
      <c r="T26" s="9" t="s">
        <v>423</v>
      </c>
    </row>
    <row r="28" spans="2:20" s="15" customFormat="1">
      <c r="B28" s="15" t="s">
        <v>79</v>
      </c>
    </row>
    <row r="30" spans="2:20">
      <c r="B30" s="9" t="s">
        <v>79</v>
      </c>
      <c r="D30" s="9" t="s">
        <v>75</v>
      </c>
      <c r="F30" s="36"/>
      <c r="H30" s="101">
        <v>0</v>
      </c>
      <c r="I30" s="101">
        <v>0</v>
      </c>
      <c r="J30" s="101">
        <v>0</v>
      </c>
      <c r="K30" s="101">
        <v>0</v>
      </c>
      <c r="L30" s="101">
        <v>2E-3</v>
      </c>
      <c r="M30" s="101">
        <v>2E-3</v>
      </c>
      <c r="N30" s="101">
        <v>2E-3</v>
      </c>
      <c r="O30" s="101">
        <v>2E-3</v>
      </c>
      <c r="P30" s="101">
        <v>2E-3</v>
      </c>
      <c r="R30" s="9" t="s">
        <v>422</v>
      </c>
    </row>
    <row r="32" spans="2:20" s="15" customFormat="1">
      <c r="B32" s="15" t="s">
        <v>205</v>
      </c>
    </row>
    <row r="34" spans="2:18">
      <c r="B34" s="9" t="s">
        <v>216</v>
      </c>
      <c r="D34" s="9" t="s">
        <v>75</v>
      </c>
      <c r="F34" s="101">
        <v>0.01</v>
      </c>
      <c r="R34" s="9" t="s">
        <v>421</v>
      </c>
    </row>
    <row r="36" spans="2:18" s="15" customFormat="1">
      <c r="B36" s="1" t="s">
        <v>277</v>
      </c>
    </row>
    <row r="38" spans="2:18">
      <c r="B38" s="9" t="s">
        <v>284</v>
      </c>
      <c r="D38" s="9" t="s">
        <v>75</v>
      </c>
      <c r="F38" s="101">
        <v>0.155</v>
      </c>
      <c r="R38" s="9" t="s">
        <v>278</v>
      </c>
    </row>
    <row r="39" spans="2:18">
      <c r="B39" s="9" t="s">
        <v>285</v>
      </c>
      <c r="D39" s="9" t="s">
        <v>75</v>
      </c>
      <c r="F39" s="101">
        <v>0.155</v>
      </c>
      <c r="R39" s="9" t="s">
        <v>279</v>
      </c>
    </row>
    <row r="40" spans="2:18">
      <c r="B40" s="9" t="s">
        <v>286</v>
      </c>
      <c r="D40" s="9" t="s">
        <v>75</v>
      </c>
      <c r="F40" s="101">
        <v>6.0999999999999999E-2</v>
      </c>
      <c r="R40" s="9" t="s">
        <v>278</v>
      </c>
    </row>
    <row r="41" spans="2:18">
      <c r="B41" s="9" t="s">
        <v>287</v>
      </c>
      <c r="D41" s="9" t="s">
        <v>75</v>
      </c>
      <c r="F41" s="101">
        <v>6.0999999999999999E-2</v>
      </c>
      <c r="R41" s="9" t="s">
        <v>279</v>
      </c>
    </row>
  </sheetData>
  <mergeCells count="1">
    <mergeCell ref="B5:C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rgb="FFE1FFE1"/>
  </sheetPr>
  <dimension ref="A1:T60"/>
  <sheetViews>
    <sheetView showGridLines="0" zoomScale="85" zoomScaleNormal="85" workbookViewId="0">
      <pane xSplit="4" ySplit="8" topLeftCell="E18" activePane="bottomRight" state="frozen"/>
      <selection pane="topRight" activeCell="E1" sqref="E1"/>
      <selection pane="bottomLeft" activeCell="A9" sqref="A9"/>
      <selection pane="bottomRight" activeCell="E9" sqref="E9"/>
    </sheetView>
  </sheetViews>
  <sheetFormatPr defaultColWidth="9.140625" defaultRowHeight="12.75"/>
  <cols>
    <col min="1" max="1" width="4.7109375" style="9" customWidth="1"/>
    <col min="2" max="2" width="74.7109375" style="9" customWidth="1"/>
    <col min="3" max="3" width="2.7109375" style="9" customWidth="1"/>
    <col min="4" max="4" width="11.5703125" style="9" bestFit="1" customWidth="1"/>
    <col min="5" max="5" width="2.7109375" style="9" customWidth="1"/>
    <col min="6" max="6" width="13.7109375" style="9" customWidth="1"/>
    <col min="7" max="7" width="2.7109375" style="9" customWidth="1"/>
    <col min="8" max="16" width="14.7109375" style="9" customWidth="1"/>
    <col min="17" max="17" width="2.7109375" style="9" customWidth="1"/>
    <col min="18" max="18" width="43.5703125" style="9" bestFit="1" customWidth="1"/>
    <col min="19" max="19" width="2.7109375" style="9" customWidth="1"/>
    <col min="20" max="16384" width="9.140625" style="9"/>
  </cols>
  <sheetData>
    <row r="1" spans="1:20">
      <c r="B1"/>
      <c r="D1"/>
      <c r="F1"/>
      <c r="H1"/>
      <c r="I1"/>
      <c r="J1"/>
      <c r="K1"/>
      <c r="L1"/>
      <c r="M1"/>
      <c r="N1"/>
      <c r="O1"/>
      <c r="P1"/>
      <c r="R1"/>
      <c r="T1"/>
    </row>
    <row r="2" spans="1:20" s="23" customFormat="1" ht="18">
      <c r="B2" s="23" t="s">
        <v>99</v>
      </c>
    </row>
    <row r="4" spans="1:20">
      <c r="A4"/>
      <c r="B4" s="28" t="s">
        <v>29</v>
      </c>
      <c r="C4"/>
      <c r="D4"/>
      <c r="E4"/>
      <c r="F4"/>
      <c r="G4"/>
      <c r="H4"/>
      <c r="I4"/>
      <c r="J4"/>
      <c r="K4"/>
      <c r="L4"/>
      <c r="M4"/>
      <c r="N4"/>
      <c r="O4"/>
      <c r="P4"/>
      <c r="Q4"/>
      <c r="R4"/>
      <c r="S4"/>
      <c r="T4"/>
    </row>
    <row r="5" spans="1:20" ht="102" customHeight="1">
      <c r="A5"/>
      <c r="B5" s="120" t="s">
        <v>360</v>
      </c>
      <c r="C5" s="120"/>
      <c r="D5" s="40"/>
      <c r="E5" s="49"/>
      <c r="F5" s="49"/>
      <c r="G5" s="49"/>
      <c r="H5" s="49"/>
      <c r="I5" s="49"/>
      <c r="J5" s="49"/>
      <c r="K5" s="49"/>
      <c r="L5" s="49"/>
      <c r="M5" s="49"/>
      <c r="N5" s="49"/>
      <c r="O5" s="49"/>
      <c r="P5" s="49"/>
      <c r="Q5" s="49"/>
      <c r="R5" s="49"/>
      <c r="S5" s="49"/>
      <c r="T5" s="49"/>
    </row>
    <row r="7" spans="1:20" s="1" customFormat="1">
      <c r="B7" s="1" t="s">
        <v>45</v>
      </c>
      <c r="D7" s="1" t="s">
        <v>27</v>
      </c>
      <c r="F7" s="1" t="s">
        <v>28</v>
      </c>
      <c r="H7" s="1">
        <v>2018</v>
      </c>
      <c r="I7" s="1" t="s">
        <v>83</v>
      </c>
      <c r="J7" s="1">
        <v>2020</v>
      </c>
      <c r="K7" s="1">
        <v>2021</v>
      </c>
      <c r="L7" s="1">
        <v>2022</v>
      </c>
      <c r="M7" s="1">
        <v>2023</v>
      </c>
      <c r="N7" s="1">
        <v>2024</v>
      </c>
      <c r="O7" s="1">
        <v>2025</v>
      </c>
      <c r="P7" s="1">
        <v>2026</v>
      </c>
      <c r="R7" s="1" t="s">
        <v>46</v>
      </c>
      <c r="T7" s="1" t="s">
        <v>47</v>
      </c>
    </row>
    <row r="10" spans="1:20" s="15" customFormat="1">
      <c r="B10" s="15" t="s">
        <v>167</v>
      </c>
    </row>
    <row r="12" spans="1:20">
      <c r="B12" s="9" t="s">
        <v>384</v>
      </c>
      <c r="D12" s="9" t="s">
        <v>80</v>
      </c>
      <c r="H12" s="43"/>
      <c r="I12" s="43"/>
      <c r="J12" s="43"/>
      <c r="K12" s="43"/>
      <c r="L12" s="31">
        <v>45346619.803327523</v>
      </c>
      <c r="M12" s="31">
        <v>45754739.381557465</v>
      </c>
      <c r="N12" s="31">
        <v>46166532.035991475</v>
      </c>
      <c r="O12" s="31">
        <v>46582030.824315384</v>
      </c>
      <c r="P12" s="31">
        <v>47001269.101734221</v>
      </c>
      <c r="Q12"/>
      <c r="R12" s="9" t="s">
        <v>331</v>
      </c>
    </row>
    <row r="13" spans="1:20">
      <c r="B13" s="9" t="s">
        <v>385</v>
      </c>
      <c r="D13" s="9" t="s">
        <v>80</v>
      </c>
      <c r="H13" s="43"/>
      <c r="I13" s="43"/>
      <c r="J13" s="43"/>
      <c r="K13" s="43"/>
      <c r="L13" s="31">
        <v>785106367.4295336</v>
      </c>
      <c r="M13" s="31">
        <v>746417585.35484171</v>
      </c>
      <c r="N13" s="31">
        <v>706968811.58704376</v>
      </c>
      <c r="O13" s="31">
        <v>666749500.06701159</v>
      </c>
      <c r="P13" s="31">
        <v>625748976.46588063</v>
      </c>
      <c r="Q13"/>
      <c r="R13" s="9" t="s">
        <v>332</v>
      </c>
    </row>
    <row r="14" spans="1:20">
      <c r="B14" s="9" t="s">
        <v>386</v>
      </c>
      <c r="D14" s="9" t="s">
        <v>80</v>
      </c>
      <c r="H14" s="43"/>
      <c r="I14" s="43"/>
      <c r="J14" s="43"/>
      <c r="K14" s="43"/>
      <c r="L14" s="31">
        <v>4700147.0069999993</v>
      </c>
      <c r="M14" s="31">
        <v>4742448.3300629985</v>
      </c>
      <c r="N14" s="31">
        <v>4785130.3650335651</v>
      </c>
      <c r="O14" s="31">
        <v>4828196.5383188659</v>
      </c>
      <c r="P14" s="31">
        <v>4871650.3071637359</v>
      </c>
      <c r="Q14"/>
      <c r="R14" s="9" t="s">
        <v>388</v>
      </c>
    </row>
    <row r="15" spans="1:20">
      <c r="B15" s="9" t="s">
        <v>387</v>
      </c>
      <c r="D15" s="9" t="s">
        <v>80</v>
      </c>
      <c r="H15" s="43"/>
      <c r="I15" s="43"/>
      <c r="J15" s="43"/>
      <c r="K15" s="43"/>
      <c r="L15" s="31">
        <v>80468669.030833304</v>
      </c>
      <c r="M15" s="31">
        <v>76450438.722047806</v>
      </c>
      <c r="N15" s="31">
        <v>72353362.305512652</v>
      </c>
      <c r="O15" s="31">
        <v>68176346.027943403</v>
      </c>
      <c r="P15" s="31">
        <v>63918282.835031144</v>
      </c>
      <c r="Q15"/>
      <c r="R15" s="9" t="s">
        <v>389</v>
      </c>
    </row>
    <row r="16" spans="1:20">
      <c r="B16" s="9" t="s">
        <v>188</v>
      </c>
      <c r="D16" s="9" t="s">
        <v>80</v>
      </c>
      <c r="H16" s="43"/>
      <c r="I16" s="43"/>
      <c r="J16" s="43"/>
      <c r="K16" s="43"/>
      <c r="L16" s="31">
        <v>2206447.1051840312</v>
      </c>
      <c r="M16" s="31">
        <v>2226305.1291306866</v>
      </c>
      <c r="N16" s="31">
        <v>1883392.5421776592</v>
      </c>
      <c r="O16" s="31">
        <v>1171275.10607081</v>
      </c>
      <c r="P16" s="31">
        <v>453951.96531825978</v>
      </c>
      <c r="Q16"/>
      <c r="R16" s="9" t="s">
        <v>396</v>
      </c>
    </row>
    <row r="17" spans="1:20">
      <c r="B17" s="9" t="s">
        <v>189</v>
      </c>
      <c r="C17"/>
      <c r="D17" s="9" t="s">
        <v>80</v>
      </c>
      <c r="E17"/>
      <c r="F17"/>
      <c r="G17"/>
      <c r="H17" s="43"/>
      <c r="I17" s="43"/>
      <c r="J17" s="43"/>
      <c r="K17" s="43"/>
      <c r="L17" s="31">
        <v>8073059.344754315</v>
      </c>
      <c r="M17" s="31">
        <v>5919411.7497264156</v>
      </c>
      <c r="N17" s="31">
        <v>4089293.913296293</v>
      </c>
      <c r="O17" s="31">
        <v>2954822.452445149</v>
      </c>
      <c r="P17" s="31">
        <v>2527463.8891988946</v>
      </c>
      <c r="Q17"/>
      <c r="R17" s="9" t="s">
        <v>397</v>
      </c>
      <c r="S17"/>
      <c r="T17"/>
    </row>
    <row r="18" spans="1:20">
      <c r="A18"/>
      <c r="C18"/>
      <c r="E18"/>
      <c r="F18"/>
      <c r="G18"/>
      <c r="S18"/>
      <c r="T18"/>
    </row>
    <row r="19" spans="1:20" s="15" customFormat="1">
      <c r="B19" s="15" t="s">
        <v>218</v>
      </c>
    </row>
    <row r="20" spans="1:20">
      <c r="A20"/>
      <c r="C20"/>
      <c r="E20"/>
      <c r="F20"/>
      <c r="G20"/>
      <c r="T20"/>
    </row>
    <row r="21" spans="1:20">
      <c r="A21"/>
      <c r="B21" s="9" t="s">
        <v>219</v>
      </c>
      <c r="D21" s="9" t="s">
        <v>80</v>
      </c>
      <c r="E21"/>
      <c r="F21"/>
      <c r="G21"/>
      <c r="H21" s="43"/>
      <c r="I21" s="43"/>
      <c r="J21" s="43"/>
      <c r="K21" s="43"/>
      <c r="L21" s="31">
        <v>0</v>
      </c>
      <c r="M21" s="31">
        <v>0</v>
      </c>
      <c r="N21" s="31">
        <v>0</v>
      </c>
      <c r="O21" s="31">
        <v>0</v>
      </c>
      <c r="P21" s="31">
        <v>0</v>
      </c>
      <c r="R21" s="9" t="s">
        <v>390</v>
      </c>
      <c r="S21"/>
      <c r="T21"/>
    </row>
    <row r="22" spans="1:20">
      <c r="A22"/>
      <c r="B22" s="9" t="s">
        <v>220</v>
      </c>
      <c r="D22" s="9" t="s">
        <v>80</v>
      </c>
      <c r="E22"/>
      <c r="F22"/>
      <c r="G22"/>
      <c r="H22" s="43"/>
      <c r="I22" s="43"/>
      <c r="J22" s="43"/>
      <c r="K22" s="43"/>
      <c r="L22" s="31">
        <v>0</v>
      </c>
      <c r="M22" s="31">
        <v>0</v>
      </c>
      <c r="N22" s="31">
        <v>0</v>
      </c>
      <c r="O22" s="31">
        <v>0</v>
      </c>
      <c r="P22" s="31">
        <v>0</v>
      </c>
      <c r="R22" s="9" t="s">
        <v>391</v>
      </c>
      <c r="S22"/>
      <c r="T22"/>
    </row>
    <row r="23" spans="1:20">
      <c r="A23"/>
      <c r="B23" s="9" t="s">
        <v>221</v>
      </c>
      <c r="D23" s="9" t="s">
        <v>80</v>
      </c>
      <c r="E23"/>
      <c r="F23"/>
      <c r="G23"/>
      <c r="H23" s="43"/>
      <c r="I23" s="43"/>
      <c r="J23" s="43"/>
      <c r="K23" s="43"/>
      <c r="L23" s="31">
        <v>313282.39997109992</v>
      </c>
      <c r="M23" s="31">
        <v>316101.94157083979</v>
      </c>
      <c r="N23" s="31">
        <v>318946.85904497729</v>
      </c>
      <c r="O23" s="31">
        <v>281592.53485944355</v>
      </c>
      <c r="P23" s="31">
        <v>885.16252608630316</v>
      </c>
      <c r="R23" s="9" t="s">
        <v>398</v>
      </c>
      <c r="S23"/>
      <c r="T23"/>
    </row>
    <row r="24" spans="1:20">
      <c r="A24"/>
      <c r="B24" s="9" t="s">
        <v>222</v>
      </c>
      <c r="C24"/>
      <c r="D24" s="9" t="s">
        <v>80</v>
      </c>
      <c r="E24"/>
      <c r="F24"/>
      <c r="G24"/>
      <c r="H24" s="43"/>
      <c r="I24" s="43"/>
      <c r="J24" s="43"/>
      <c r="K24" s="43"/>
      <c r="L24" s="31">
        <v>904888.00290222489</v>
      </c>
      <c r="M24" s="31">
        <v>596930.05335750501</v>
      </c>
      <c r="N24" s="31">
        <v>283355.56479274516</v>
      </c>
      <c r="O24" s="31">
        <v>4313.2300164363314</v>
      </c>
      <c r="P24" s="31">
        <v>3466.8865604979542</v>
      </c>
      <c r="R24" s="9" t="s">
        <v>399</v>
      </c>
      <c r="S24"/>
      <c r="T24"/>
    </row>
    <row r="25" spans="1:20">
      <c r="A25"/>
      <c r="C25"/>
      <c r="E25"/>
      <c r="F25"/>
      <c r="G25"/>
      <c r="T25"/>
    </row>
    <row r="26" spans="1:20" s="15" customFormat="1">
      <c r="B26" s="15" t="s">
        <v>168</v>
      </c>
    </row>
    <row r="27" spans="1:20">
      <c r="A27"/>
      <c r="B27" s="8"/>
      <c r="C27"/>
      <c r="D27"/>
      <c r="E27"/>
      <c r="F27"/>
      <c r="G27"/>
      <c r="H27"/>
      <c r="I27"/>
      <c r="J27"/>
      <c r="K27"/>
      <c r="L27"/>
      <c r="M27"/>
      <c r="N27"/>
      <c r="O27"/>
      <c r="P27"/>
      <c r="Q27"/>
      <c r="R27"/>
      <c r="S27"/>
    </row>
    <row r="28" spans="1:20">
      <c r="A28"/>
      <c r="B28" s="9" t="s">
        <v>190</v>
      </c>
      <c r="C28"/>
      <c r="D28" s="9" t="s">
        <v>80</v>
      </c>
      <c r="E28"/>
      <c r="F28"/>
      <c r="G28"/>
      <c r="H28" s="43"/>
      <c r="I28" s="43"/>
      <c r="J28" s="43"/>
      <c r="K28" s="43"/>
      <c r="L28" s="31">
        <v>1212701.7403922274</v>
      </c>
      <c r="M28" s="31">
        <v>2045932.932761908</v>
      </c>
      <c r="N28" s="31">
        <v>2899790.6724826517</v>
      </c>
      <c r="O28" s="31">
        <v>3774670.1653577369</v>
      </c>
      <c r="P28" s="31">
        <v>4331584.4815095356</v>
      </c>
      <c r="Q28"/>
      <c r="R28" s="9" t="s">
        <v>400</v>
      </c>
      <c r="S28"/>
    </row>
    <row r="29" spans="1:20">
      <c r="A29"/>
      <c r="B29" s="9" t="s">
        <v>191</v>
      </c>
      <c r="C29"/>
      <c r="D29" s="9" t="s">
        <v>80</v>
      </c>
      <c r="E29"/>
      <c r="F29"/>
      <c r="G29"/>
      <c r="H29" s="43"/>
      <c r="I29" s="43"/>
      <c r="J29" s="43"/>
      <c r="K29" s="43"/>
      <c r="L29" s="31">
        <v>8692615.1244985722</v>
      </c>
      <c r="M29" s="31">
        <v>11979519.651285462</v>
      </c>
      <c r="N29" s="31">
        <v>14526033.076126296</v>
      </c>
      <c r="O29" s="31">
        <v>16305809.25805987</v>
      </c>
      <c r="P29" s="31">
        <v>17631273.248638965</v>
      </c>
      <c r="Q29"/>
      <c r="R29" s="9" t="s">
        <v>401</v>
      </c>
      <c r="S29"/>
    </row>
    <row r="30" spans="1:20">
      <c r="A30"/>
      <c r="C30"/>
      <c r="E30"/>
      <c r="F30"/>
      <c r="G30"/>
      <c r="H30"/>
      <c r="I30"/>
      <c r="J30"/>
      <c r="K30"/>
      <c r="L30"/>
      <c r="M30"/>
      <c r="N30"/>
      <c r="O30"/>
      <c r="P30"/>
      <c r="Q30"/>
      <c r="R30"/>
      <c r="S30"/>
    </row>
    <row r="31" spans="1:20" s="15" customFormat="1">
      <c r="B31" s="15" t="s">
        <v>169</v>
      </c>
    </row>
    <row r="32" spans="1:20">
      <c r="A32"/>
      <c r="B32"/>
      <c r="C32"/>
      <c r="D32"/>
      <c r="E32"/>
      <c r="F32"/>
      <c r="G32"/>
      <c r="H32" s="45"/>
      <c r="I32"/>
      <c r="J32"/>
      <c r="K32"/>
      <c r="L32"/>
      <c r="M32"/>
      <c r="N32"/>
      <c r="O32"/>
      <c r="P32"/>
      <c r="Q32"/>
      <c r="R32"/>
      <c r="S32"/>
    </row>
    <row r="33" spans="1:19">
      <c r="A33"/>
      <c r="B33" s="9" t="s">
        <v>170</v>
      </c>
      <c r="C33" s="46"/>
      <c r="D33" s="9" t="s">
        <v>80</v>
      </c>
      <c r="E33" s="46"/>
      <c r="F33" s="46"/>
      <c r="G33" s="46"/>
      <c r="H33" s="43"/>
      <c r="I33" s="43"/>
      <c r="J33" s="31">
        <v>962690820.97876239</v>
      </c>
      <c r="K33" s="43"/>
      <c r="L33" s="43"/>
      <c r="M33" s="43"/>
      <c r="N33" s="43"/>
      <c r="O33" s="43"/>
      <c r="P33" s="43"/>
      <c r="Q33" s="46"/>
      <c r="R33" s="9" t="s">
        <v>402</v>
      </c>
      <c r="S33" s="46"/>
    </row>
    <row r="34" spans="1:19">
      <c r="A34"/>
      <c r="C34"/>
      <c r="E34"/>
      <c r="F34"/>
      <c r="G34"/>
      <c r="H34"/>
      <c r="I34"/>
      <c r="J34"/>
      <c r="K34"/>
      <c r="L34"/>
      <c r="M34"/>
      <c r="N34"/>
      <c r="O34"/>
      <c r="P34"/>
      <c r="Q34"/>
      <c r="R34"/>
      <c r="S34"/>
    </row>
    <row r="35" spans="1:19" s="15" customFormat="1">
      <c r="B35" s="15" t="s">
        <v>223</v>
      </c>
    </row>
    <row r="36" spans="1:19">
      <c r="A36"/>
      <c r="C36"/>
      <c r="E36"/>
      <c r="F36"/>
      <c r="G36"/>
      <c r="H36"/>
      <c r="I36"/>
      <c r="J36"/>
      <c r="K36"/>
      <c r="L36"/>
      <c r="M36"/>
      <c r="N36"/>
      <c r="O36"/>
      <c r="P36"/>
      <c r="Q36"/>
      <c r="R36"/>
      <c r="S36"/>
    </row>
    <row r="37" spans="1:19">
      <c r="A37"/>
      <c r="B37" s="9" t="s">
        <v>224</v>
      </c>
      <c r="C37"/>
      <c r="D37" s="9" t="s">
        <v>80</v>
      </c>
      <c r="E37"/>
      <c r="F37"/>
      <c r="G37"/>
      <c r="H37" s="43"/>
      <c r="I37" s="43"/>
      <c r="J37" s="43"/>
      <c r="K37" s="43"/>
      <c r="L37" s="31">
        <v>383678.81612914009</v>
      </c>
      <c r="M37" s="31">
        <v>647299.41367761174</v>
      </c>
      <c r="N37" s="31">
        <v>917445.91038569738</v>
      </c>
      <c r="O37" s="31">
        <v>1194243.3428470443</v>
      </c>
      <c r="P37" s="31">
        <v>1350669.5356257288</v>
      </c>
      <c r="Q37"/>
      <c r="R37" s="9" t="s">
        <v>403</v>
      </c>
      <c r="S37"/>
    </row>
    <row r="38" spans="1:19">
      <c r="A38"/>
      <c r="B38" s="9" t="s">
        <v>225</v>
      </c>
      <c r="C38"/>
      <c r="D38" s="9" t="s">
        <v>80</v>
      </c>
      <c r="E38" s="50"/>
      <c r="F38"/>
      <c r="G38" s="50"/>
      <c r="H38" s="43"/>
      <c r="I38" s="43"/>
      <c r="J38" s="43"/>
      <c r="K38" s="43"/>
      <c r="L38" s="31">
        <v>2151813.5888844361</v>
      </c>
      <c r="M38" s="31">
        <v>2881335.5765289222</v>
      </c>
      <c r="N38" s="31">
        <v>3368947.1782356328</v>
      </c>
      <c r="O38" s="31">
        <v>3606166.2112491052</v>
      </c>
      <c r="P38" s="31">
        <v>3711461.8512944742</v>
      </c>
      <c r="Q38" s="50"/>
      <c r="R38" s="9" t="s">
        <v>404</v>
      </c>
      <c r="S38" s="50"/>
    </row>
    <row r="39" spans="1:19">
      <c r="A39" s="50"/>
      <c r="B39" s="50"/>
      <c r="C39" s="50"/>
      <c r="D39" s="50"/>
      <c r="E39" s="50"/>
      <c r="F39"/>
      <c r="G39" s="50"/>
      <c r="H39"/>
      <c r="I39"/>
      <c r="J39"/>
      <c r="K39"/>
      <c r="L39"/>
      <c r="M39"/>
      <c r="N39"/>
      <c r="O39"/>
      <c r="P39"/>
      <c r="Q39"/>
      <c r="R39"/>
      <c r="S39"/>
    </row>
    <row r="40" spans="1:19" s="15" customFormat="1">
      <c r="B40" s="15" t="s">
        <v>226</v>
      </c>
    </row>
    <row r="42" spans="1:19">
      <c r="B42" s="9" t="s">
        <v>227</v>
      </c>
      <c r="D42" s="9" t="s">
        <v>80</v>
      </c>
      <c r="H42" s="43"/>
      <c r="I42" s="43"/>
      <c r="J42" s="31">
        <v>1507241.9749999996</v>
      </c>
      <c r="K42" s="43"/>
      <c r="L42" s="43"/>
      <c r="M42" s="43"/>
      <c r="N42" s="43"/>
      <c r="O42" s="43"/>
      <c r="P42" s="43"/>
      <c r="R42" s="9" t="s">
        <v>405</v>
      </c>
    </row>
    <row r="43" spans="1:19">
      <c r="A43" s="46"/>
      <c r="B43" s="46"/>
      <c r="C43" s="46"/>
      <c r="D43" s="46"/>
      <c r="E43" s="46"/>
      <c r="F43" s="46"/>
      <c r="G43" s="46"/>
      <c r="H43" s="46"/>
      <c r="I43" s="46"/>
      <c r="J43" s="48"/>
      <c r="K43" s="46"/>
      <c r="L43" s="46"/>
      <c r="M43" s="46"/>
      <c r="N43" s="46"/>
      <c r="O43" s="46"/>
      <c r="P43" s="46"/>
      <c r="Q43" s="46"/>
      <c r="R43" s="46"/>
      <c r="S43" s="46"/>
    </row>
    <row r="44" spans="1:19" s="15" customFormat="1">
      <c r="B44" s="15" t="s">
        <v>295</v>
      </c>
    </row>
    <row r="45" spans="1:19">
      <c r="H45" s="45"/>
    </row>
    <row r="46" spans="1:19">
      <c r="B46" s="9" t="s">
        <v>317</v>
      </c>
      <c r="C46" s="46"/>
      <c r="D46" s="9" t="s">
        <v>80</v>
      </c>
      <c r="H46" s="31">
        <v>1348092</v>
      </c>
      <c r="I46" s="31">
        <v>3971130.52575</v>
      </c>
      <c r="J46" s="31">
        <v>7694745.9777266672</v>
      </c>
      <c r="K46" s="31">
        <v>14127836.967987418</v>
      </c>
      <c r="L46" s="31">
        <v>14382138.033411196</v>
      </c>
      <c r="M46" s="31">
        <v>14641016.518012598</v>
      </c>
      <c r="N46" s="31">
        <v>14904554.815336825</v>
      </c>
      <c r="O46" s="31">
        <v>15172836.802012887</v>
      </c>
      <c r="P46" s="31">
        <v>15445947.864449115</v>
      </c>
      <c r="R46" s="9" t="s">
        <v>333</v>
      </c>
    </row>
    <row r="47" spans="1:19">
      <c r="B47" s="9" t="s">
        <v>318</v>
      </c>
      <c r="C47" s="46"/>
      <c r="D47" s="9" t="s">
        <v>80</v>
      </c>
      <c r="H47" s="43"/>
      <c r="I47" s="43"/>
      <c r="J47" s="43"/>
      <c r="K47" s="31">
        <v>2545384.2441831953</v>
      </c>
      <c r="L47" s="31">
        <v>5182402.3211569851</v>
      </c>
      <c r="M47" s="31">
        <v>5275685.562937811</v>
      </c>
      <c r="N47" s="31">
        <v>5370647.9030706929</v>
      </c>
      <c r="O47" s="31">
        <v>5467319.5653259642</v>
      </c>
      <c r="P47" s="31">
        <v>5565731.3175018327</v>
      </c>
      <c r="R47" s="9" t="s">
        <v>334</v>
      </c>
    </row>
    <row r="48" spans="1:19">
      <c r="B48" s="9" t="s">
        <v>319</v>
      </c>
      <c r="D48" s="9" t="s">
        <v>80</v>
      </c>
      <c r="H48" s="43"/>
      <c r="I48" s="43"/>
      <c r="J48" s="43"/>
      <c r="K48" s="43"/>
      <c r="L48" s="31">
        <v>2586018.7582573355</v>
      </c>
      <c r="M48" s="31">
        <v>5265134.191811936</v>
      </c>
      <c r="N48" s="31">
        <v>5359906.6072645504</v>
      </c>
      <c r="O48" s="31">
        <v>5456384.9261953123</v>
      </c>
      <c r="P48" s="31">
        <v>5554599.8548668278</v>
      </c>
      <c r="R48" s="9" t="s">
        <v>335</v>
      </c>
    </row>
    <row r="49" spans="2:18">
      <c r="B49" s="9" t="s">
        <v>320</v>
      </c>
      <c r="D49" s="9" t="s">
        <v>80</v>
      </c>
      <c r="H49" s="43"/>
      <c r="I49" s="43"/>
      <c r="J49" s="43"/>
      <c r="K49" s="43"/>
      <c r="L49" s="43"/>
      <c r="M49" s="31">
        <v>2627301.961714156</v>
      </c>
      <c r="N49" s="31">
        <v>5349186.794050022</v>
      </c>
      <c r="O49" s="31">
        <v>5445472.1563429227</v>
      </c>
      <c r="P49" s="31">
        <v>5543490.6551570939</v>
      </c>
      <c r="R49" s="9" t="s">
        <v>392</v>
      </c>
    </row>
    <row r="50" spans="2:18">
      <c r="B50" s="9" t="s">
        <v>321</v>
      </c>
      <c r="D50" s="9" t="s">
        <v>80</v>
      </c>
      <c r="H50" s="43"/>
      <c r="I50" s="43"/>
      <c r="J50" s="43"/>
      <c r="K50" s="43"/>
      <c r="L50" s="43"/>
      <c r="M50" s="43"/>
      <c r="N50" s="31">
        <v>2669244.2102309605</v>
      </c>
      <c r="O50" s="31">
        <v>5434581.2120302366</v>
      </c>
      <c r="P50" s="31">
        <v>5532403.6738467803</v>
      </c>
      <c r="R50" s="9" t="s">
        <v>336</v>
      </c>
    </row>
    <row r="51" spans="2:18">
      <c r="B51" s="9" t="s">
        <v>322</v>
      </c>
      <c r="D51" s="9" t="s">
        <v>80</v>
      </c>
      <c r="H51" s="43"/>
      <c r="I51" s="43"/>
      <c r="J51" s="43"/>
      <c r="K51" s="43"/>
      <c r="L51" s="43"/>
      <c r="M51" s="43"/>
      <c r="N51" s="43"/>
      <c r="O51" s="31">
        <v>2711856.024803088</v>
      </c>
      <c r="P51" s="31">
        <v>5521338.8664990859</v>
      </c>
      <c r="R51" s="9" t="s">
        <v>406</v>
      </c>
    </row>
    <row r="52" spans="2:18">
      <c r="B52" s="9" t="s">
        <v>323</v>
      </c>
      <c r="D52" s="9" t="s">
        <v>80</v>
      </c>
      <c r="H52" s="43"/>
      <c r="I52" s="43"/>
      <c r="J52" s="43"/>
      <c r="K52" s="43"/>
      <c r="L52" s="43"/>
      <c r="M52" s="43"/>
      <c r="N52" s="43"/>
      <c r="O52" s="43"/>
      <c r="P52" s="31">
        <v>2755148.0943830442</v>
      </c>
      <c r="R52" s="9" t="s">
        <v>337</v>
      </c>
    </row>
    <row r="54" spans="2:18">
      <c r="B54" s="9" t="s">
        <v>324</v>
      </c>
      <c r="D54" s="9" t="s">
        <v>80</v>
      </c>
      <c r="H54" s="31">
        <v>0</v>
      </c>
      <c r="I54" s="31">
        <v>0</v>
      </c>
      <c r="J54" s="31">
        <v>193395.33333333334</v>
      </c>
      <c r="K54" s="31">
        <v>1556671.9569999999</v>
      </c>
      <c r="L54" s="31">
        <v>1584692.052226</v>
      </c>
      <c r="M54" s="31">
        <v>1613216.5091660679</v>
      </c>
      <c r="N54" s="31">
        <v>1642254.4063310577</v>
      </c>
      <c r="O54" s="31">
        <v>1671814.9856450167</v>
      </c>
      <c r="P54" s="31">
        <v>1701907.6553866272</v>
      </c>
      <c r="R54" s="9" t="s">
        <v>338</v>
      </c>
    </row>
    <row r="55" spans="2:18">
      <c r="B55" s="9" t="s">
        <v>325</v>
      </c>
      <c r="D55" s="9" t="s">
        <v>80</v>
      </c>
      <c r="H55" s="43"/>
      <c r="I55" s="43"/>
      <c r="J55" s="43"/>
      <c r="K55" s="31">
        <v>657565.21722289338</v>
      </c>
      <c r="L55" s="31">
        <v>1338802.7822658108</v>
      </c>
      <c r="M55" s="31">
        <v>1362901.2323465953</v>
      </c>
      <c r="N55" s="31">
        <v>1387433.4545288342</v>
      </c>
      <c r="O55" s="31">
        <v>1412407.2567103531</v>
      </c>
      <c r="P55" s="31">
        <v>1437830.5873311395</v>
      </c>
      <c r="R55" s="9" t="s">
        <v>339</v>
      </c>
    </row>
    <row r="56" spans="2:18">
      <c r="B56" s="9" t="s">
        <v>326</v>
      </c>
      <c r="D56" s="9" t="s">
        <v>80</v>
      </c>
      <c r="H56" s="43"/>
      <c r="I56" s="43"/>
      <c r="J56" s="43"/>
      <c r="K56" s="43"/>
      <c r="L56" s="31">
        <v>668062.58835063956</v>
      </c>
      <c r="M56" s="31">
        <v>1360175.4298819022</v>
      </c>
      <c r="N56" s="31">
        <v>1384658.5876197764</v>
      </c>
      <c r="O56" s="31">
        <v>1409582.4421969322</v>
      </c>
      <c r="P56" s="31">
        <v>1434954.9261564768</v>
      </c>
      <c r="R56" s="9" t="s">
        <v>340</v>
      </c>
    </row>
    <row r="57" spans="2:18">
      <c r="B57" s="9" t="s">
        <v>327</v>
      </c>
      <c r="D57" s="9" t="s">
        <v>80</v>
      </c>
      <c r="H57" s="43"/>
      <c r="I57" s="43"/>
      <c r="J57" s="43"/>
      <c r="K57" s="43"/>
      <c r="L57" s="43"/>
      <c r="M57" s="31">
        <v>678727.53951106919</v>
      </c>
      <c r="N57" s="31">
        <v>1381889.2704445366</v>
      </c>
      <c r="O57" s="31">
        <v>1406763.2773125386</v>
      </c>
      <c r="P57" s="31">
        <v>1432085.0163041644</v>
      </c>
      <c r="R57" s="9" t="s">
        <v>393</v>
      </c>
    </row>
    <row r="58" spans="2:18">
      <c r="B58" s="9" t="s">
        <v>328</v>
      </c>
      <c r="D58" s="9" t="s">
        <v>80</v>
      </c>
      <c r="H58" s="43"/>
      <c r="I58" s="43"/>
      <c r="J58" s="43"/>
      <c r="K58" s="43"/>
      <c r="L58" s="43"/>
      <c r="M58" s="43"/>
      <c r="N58" s="31">
        <v>689562.74595182401</v>
      </c>
      <c r="O58" s="31">
        <v>1403949.7507579138</v>
      </c>
      <c r="P58" s="31">
        <v>1429220.8462715561</v>
      </c>
      <c r="R58" s="9" t="s">
        <v>394</v>
      </c>
    </row>
    <row r="59" spans="2:18">
      <c r="B59" s="9" t="s">
        <v>329</v>
      </c>
      <c r="D59" s="9" t="s">
        <v>80</v>
      </c>
      <c r="H59" s="43"/>
      <c r="I59" s="43"/>
      <c r="J59" s="43"/>
      <c r="K59" s="43"/>
      <c r="L59" s="43"/>
      <c r="M59" s="43"/>
      <c r="N59" s="43"/>
      <c r="O59" s="31">
        <v>700570.92562819889</v>
      </c>
      <c r="P59" s="31">
        <v>1426362.4045790129</v>
      </c>
      <c r="R59" s="9" t="s">
        <v>407</v>
      </c>
    </row>
    <row r="60" spans="2:18">
      <c r="B60" s="9" t="s">
        <v>330</v>
      </c>
      <c r="D60" s="9" t="s">
        <v>80</v>
      </c>
      <c r="H60" s="43"/>
      <c r="I60" s="43"/>
      <c r="J60" s="43"/>
      <c r="K60" s="43"/>
      <c r="L60" s="43"/>
      <c r="M60" s="43"/>
      <c r="N60" s="43"/>
      <c r="O60" s="43"/>
      <c r="P60" s="31">
        <v>711754.8398849275</v>
      </c>
      <c r="R60" s="9" t="s">
        <v>408</v>
      </c>
    </row>
  </sheetData>
  <mergeCells count="1">
    <mergeCell ref="B5:C5"/>
  </mergeCells>
  <phoneticPr fontId="35" type="noConversion"/>
  <pageMargins left="0.7" right="0.7" top="0.75" bottom="0.75" header="0.3" footer="0.3"/>
  <pageSetup paperSize="9" orientation="portrait" r:id="rId1"/>
  <ignoredErrors>
    <ignoredError sqref="I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rgb="FFE1FFE1"/>
  </sheetPr>
  <dimension ref="B2:T37"/>
  <sheetViews>
    <sheetView showGridLines="0" zoomScale="85" zoomScaleNormal="85" workbookViewId="0">
      <pane xSplit="4" ySplit="11" topLeftCell="E12" activePane="bottomRight" state="frozen"/>
      <selection activeCell="R6" sqref="R6"/>
      <selection pane="topRight" activeCell="R6" sqref="R6"/>
      <selection pane="bottomLeft" activeCell="R6" sqref="R6"/>
      <selection pane="bottomRight" activeCell="E12" sqref="E12"/>
    </sheetView>
  </sheetViews>
  <sheetFormatPr defaultColWidth="9.140625" defaultRowHeight="12.75"/>
  <cols>
    <col min="1" max="1" width="4.7109375" style="9" customWidth="1"/>
    <col min="2" max="2" width="75.5703125" style="9" customWidth="1"/>
    <col min="3" max="3" width="2.7109375" style="9" customWidth="1"/>
    <col min="4" max="4" width="13.7109375" style="9" customWidth="1"/>
    <col min="5" max="5" width="2.7109375" style="9" customWidth="1"/>
    <col min="6" max="6" width="13.7109375" style="9" customWidth="1"/>
    <col min="7" max="7" width="2.7109375" style="9" customWidth="1"/>
    <col min="8" max="16" width="12.5703125" style="9" customWidth="1"/>
    <col min="17" max="17" width="2.7109375" style="9" customWidth="1"/>
    <col min="18" max="18" width="80.5703125" style="9" bestFit="1" customWidth="1"/>
    <col min="19" max="19" width="2.7109375" style="9" customWidth="1"/>
    <col min="20" max="20" width="13.7109375" style="9" customWidth="1"/>
    <col min="21" max="21" width="2.7109375" style="9" customWidth="1"/>
    <col min="22" max="36" width="13.7109375" style="9" customWidth="1"/>
    <col min="37" max="16384" width="9.140625" style="9"/>
  </cols>
  <sheetData>
    <row r="2" spans="2:20" s="23" customFormat="1" ht="18">
      <c r="B2" s="23" t="s">
        <v>87</v>
      </c>
    </row>
    <row r="4" spans="2:20" ht="13.5" customHeight="1">
      <c r="B4" s="28" t="s">
        <v>29</v>
      </c>
      <c r="H4"/>
    </row>
    <row r="5" spans="2:20" ht="87" customHeight="1">
      <c r="B5" s="120" t="s">
        <v>371</v>
      </c>
      <c r="C5" s="120"/>
      <c r="D5" s="120"/>
      <c r="E5" s="120"/>
      <c r="F5" s="120"/>
      <c r="G5" s="120"/>
    </row>
    <row r="6" spans="2:20">
      <c r="B6" s="40"/>
      <c r="C6" s="40"/>
      <c r="D6" s="40"/>
      <c r="E6" s="40"/>
      <c r="F6" s="40"/>
    </row>
    <row r="7" spans="2:20">
      <c r="B7" s="92" t="s">
        <v>206</v>
      </c>
      <c r="C7" s="40"/>
      <c r="D7" s="40"/>
      <c r="E7" s="40"/>
      <c r="F7" s="40"/>
    </row>
    <row r="8" spans="2:20" ht="138" customHeight="1">
      <c r="B8" s="122" t="s">
        <v>361</v>
      </c>
      <c r="C8" s="122"/>
      <c r="D8" s="122"/>
      <c r="E8" s="122"/>
      <c r="F8" s="122"/>
      <c r="G8" s="122"/>
    </row>
    <row r="10" spans="2:20" s="1" customFormat="1">
      <c r="B10" s="1" t="s">
        <v>45</v>
      </c>
      <c r="D10" s="1" t="s">
        <v>27</v>
      </c>
      <c r="F10" s="1" t="s">
        <v>28</v>
      </c>
      <c r="H10" s="1">
        <v>2018</v>
      </c>
      <c r="I10" s="1">
        <v>2019</v>
      </c>
      <c r="J10" s="1">
        <v>2020</v>
      </c>
      <c r="K10" s="1">
        <v>2021</v>
      </c>
      <c r="L10" s="1">
        <v>2022</v>
      </c>
      <c r="M10" s="1">
        <v>2023</v>
      </c>
      <c r="N10" s="1">
        <v>2024</v>
      </c>
      <c r="O10" s="1">
        <v>2025</v>
      </c>
      <c r="P10" s="1">
        <v>2026</v>
      </c>
      <c r="R10" s="1" t="s">
        <v>46</v>
      </c>
      <c r="T10" s="1" t="s">
        <v>47</v>
      </c>
    </row>
    <row r="13" spans="2:20" s="15" customFormat="1">
      <c r="B13" s="15" t="s">
        <v>374</v>
      </c>
    </row>
    <row r="15" spans="2:20">
      <c r="B15" s="8" t="s">
        <v>362</v>
      </c>
      <c r="I15" s="93"/>
      <c r="J15" s="93"/>
    </row>
    <row r="16" spans="2:20">
      <c r="B16" s="9" t="s">
        <v>362</v>
      </c>
      <c r="D16" s="9" t="s">
        <v>80</v>
      </c>
      <c r="H16" s="31">
        <v>5782346.089999998</v>
      </c>
      <c r="I16" s="31">
        <v>6693876.3800000008</v>
      </c>
      <c r="J16" s="31">
        <v>4681104.044928492</v>
      </c>
      <c r="K16" s="84"/>
      <c r="L16" s="39"/>
      <c r="M16" s="39"/>
      <c r="N16" s="39"/>
      <c r="O16" s="39"/>
      <c r="P16" s="39"/>
      <c r="R16" s="9" t="s">
        <v>296</v>
      </c>
    </row>
    <row r="17" spans="2:18" s="46" customFormat="1">
      <c r="H17" s="89"/>
      <c r="I17" s="89"/>
      <c r="J17" s="94"/>
      <c r="K17" s="90"/>
      <c r="L17" s="91"/>
      <c r="M17" s="91"/>
      <c r="N17" s="91"/>
      <c r="O17" s="91"/>
      <c r="P17" s="91"/>
    </row>
    <row r="18" spans="2:18" s="15" customFormat="1">
      <c r="B18" s="15" t="s">
        <v>375</v>
      </c>
    </row>
    <row r="19" spans="2:18">
      <c r="J19" s="51"/>
    </row>
    <row r="20" spans="2:18">
      <c r="B20" s="8" t="s">
        <v>362</v>
      </c>
    </row>
    <row r="21" spans="2:18">
      <c r="B21" s="9" t="s">
        <v>362</v>
      </c>
      <c r="D21" s="9" t="s">
        <v>80</v>
      </c>
      <c r="H21" s="39"/>
      <c r="I21" s="39"/>
      <c r="J21" s="31">
        <v>-504461.19492849294</v>
      </c>
      <c r="K21" s="84"/>
      <c r="L21" s="39"/>
      <c r="M21" s="39"/>
      <c r="N21" s="39"/>
      <c r="O21" s="39"/>
      <c r="P21" s="39"/>
      <c r="R21" s="9" t="s">
        <v>276</v>
      </c>
    </row>
    <row r="23" spans="2:18" s="15" customFormat="1">
      <c r="B23" s="1" t="s">
        <v>376</v>
      </c>
    </row>
    <row r="25" spans="2:18">
      <c r="B25" s="8" t="s">
        <v>164</v>
      </c>
    </row>
    <row r="26" spans="2:18">
      <c r="B26" s="9" t="s">
        <v>272</v>
      </c>
      <c r="D26" s="9" t="s">
        <v>80</v>
      </c>
      <c r="H26" s="31">
        <v>95973462.635111362</v>
      </c>
      <c r="I26" s="31">
        <v>94619920.99212943</v>
      </c>
      <c r="J26" s="31">
        <v>114764840.91223219</v>
      </c>
      <c r="K26" s="39"/>
      <c r="L26" s="39"/>
      <c r="M26" s="39"/>
      <c r="N26" s="39"/>
      <c r="O26" s="39"/>
      <c r="P26" s="39"/>
      <c r="R26" s="9" t="s">
        <v>273</v>
      </c>
    </row>
    <row r="27" spans="2:18">
      <c r="B27" s="9" t="s">
        <v>274</v>
      </c>
      <c r="D27" s="9" t="s">
        <v>80</v>
      </c>
      <c r="H27" s="31">
        <v>52186641.654888637</v>
      </c>
      <c r="I27" s="31">
        <v>58966676.657870598</v>
      </c>
      <c r="J27" s="31">
        <v>57727032.277767785</v>
      </c>
      <c r="K27" s="39"/>
      <c r="L27" s="39"/>
      <c r="M27" s="39"/>
      <c r="N27" s="39"/>
      <c r="O27" s="39"/>
      <c r="P27" s="39"/>
      <c r="R27" s="9" t="s">
        <v>275</v>
      </c>
    </row>
    <row r="29" spans="2:18" s="15" customFormat="1">
      <c r="B29" s="1" t="s">
        <v>299</v>
      </c>
    </row>
    <row r="31" spans="2:18">
      <c r="B31" s="9" t="s">
        <v>303</v>
      </c>
      <c r="D31" s="9" t="s">
        <v>302</v>
      </c>
      <c r="F31" s="31">
        <v>6636484</v>
      </c>
      <c r="R31" s="116" t="s">
        <v>421</v>
      </c>
    </row>
    <row r="32" spans="2:18">
      <c r="B32" s="9" t="s">
        <v>304</v>
      </c>
      <c r="D32" s="9" t="s">
        <v>302</v>
      </c>
      <c r="F32" s="31">
        <v>6850988</v>
      </c>
      <c r="R32" s="116" t="s">
        <v>430</v>
      </c>
    </row>
    <row r="34" spans="2:18" s="15" customFormat="1">
      <c r="B34" s="1" t="s">
        <v>354</v>
      </c>
    </row>
    <row r="36" spans="2:18">
      <c r="B36" s="9" t="s">
        <v>355</v>
      </c>
      <c r="D36" s="9" t="s">
        <v>106</v>
      </c>
      <c r="F36" s="119"/>
      <c r="R36" s="9" t="s">
        <v>433</v>
      </c>
    </row>
    <row r="37" spans="2:18">
      <c r="B37" s="9" t="s">
        <v>356</v>
      </c>
      <c r="D37" s="9" t="s">
        <v>106</v>
      </c>
      <c r="F37" s="119"/>
      <c r="R37" s="9" t="s">
        <v>433</v>
      </c>
    </row>
  </sheetData>
  <mergeCells count="2">
    <mergeCell ref="B5:G5"/>
    <mergeCell ref="B8:G8"/>
  </mergeCells>
  <phoneticPr fontId="3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tabColor theme="0" tint="-4.9989318521683403E-2"/>
  </sheetPr>
  <dimension ref="A1"/>
  <sheetViews>
    <sheetView showGridLines="0" zoomScale="85" zoomScaleNormal="85" workbookViewId="0"/>
  </sheetViews>
  <sheetFormatPr defaultColWidth="9.140625" defaultRowHeight="12.75"/>
  <cols>
    <col min="1" max="16384" width="9.140625" style="25"/>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GAW model</vt:lpstr>
      <vt:lpstr>4. Operationele kosten</vt:lpstr>
      <vt:lpstr>Berekeningen --&gt;</vt:lpstr>
      <vt:lpstr>5. Berekening op parameters</vt:lpstr>
      <vt:lpstr>6. Berekening doorrollen </vt:lpstr>
      <vt:lpstr>7. Berekening bijschatten </vt:lpstr>
      <vt:lpstr>8. Berekening oper. kosten</vt:lpstr>
      <vt:lpstr>9. Berekening x-factor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2024-03-27T15:50:32Z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