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defaultThemeVersion="124226"/>
  <xr:revisionPtr revIDLastSave="0" documentId="13_ncr:1_{3D9DA7FD-352B-4817-A0F5-3B79066DC460}" xr6:coauthVersionLast="47" xr6:coauthVersionMax="47" xr10:uidLastSave="{00000000-0000-0000-0000-000000000000}"/>
  <bookViews>
    <workbookView xWindow="-120" yWindow="-120" windowWidth="29040" windowHeight="15840" tabRatio="759" xr2:uid="{00000000-000D-0000-FFFF-FFFF00000000}"/>
  </bookViews>
  <sheets>
    <sheet name="Titelblad" sheetId="9" r:id="rId1"/>
    <sheet name="Toelichting" sheetId="10" r:id="rId2"/>
    <sheet name="Bronnen en toepassingen" sheetId="11" r:id="rId3"/>
    <sheet name="Resultaat" sheetId="21" r:id="rId4"/>
    <sheet name="Input --&gt;" sheetId="13" r:id="rId5"/>
    <sheet name="Reguleringsparameters" sheetId="25" r:id="rId6"/>
    <sheet name="BW &amp; afsch" sheetId="24" r:id="rId7"/>
    <sheet name="Investeringen 2018-2020" sheetId="18" r:id="rId8"/>
    <sheet name="BW &amp; afsch investeringen 21-26" sheetId="26" r:id="rId9"/>
    <sheet name="Berekeningen --&gt;" sheetId="15" r:id="rId10"/>
    <sheet name="Investeringen 2021-2026" sheetId="28" r:id="rId11"/>
    <sheet name="Berekening kapitaalkosten" sheetId="2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92" i="28" l="1"/>
  <c r="H27" i="28" l="1"/>
  <c r="H26" i="28"/>
  <c r="M87" i="24" l="1"/>
  <c r="L16" i="24" l="1"/>
  <c r="H23" i="28"/>
  <c r="R87" i="24" l="1"/>
  <c r="Q87" i="24"/>
  <c r="P87" i="24"/>
  <c r="O87" i="24"/>
  <c r="N87" i="24"/>
  <c r="L87" i="24"/>
  <c r="M16" i="24"/>
  <c r="N16" i="24"/>
  <c r="O16" i="24"/>
  <c r="P16" i="24"/>
  <c r="Q16" i="24"/>
  <c r="R16" i="24"/>
  <c r="J25" i="26" l="1"/>
  <c r="J24" i="26"/>
  <c r="J23" i="26"/>
  <c r="J22" i="26"/>
  <c r="J19" i="26"/>
  <c r="J18" i="26"/>
  <c r="J17" i="26"/>
  <c r="J16" i="26"/>
  <c r="H18" i="25" l="1"/>
  <c r="Q19" i="25" s="1"/>
  <c r="J57" i="24"/>
  <c r="T19" i="25" l="1"/>
  <c r="S19" i="25"/>
  <c r="R19" i="25"/>
  <c r="P19" i="25"/>
  <c r="J16" i="18"/>
  <c r="L32" i="28" s="1"/>
  <c r="J68" i="24" l="1"/>
  <c r="J147" i="24" l="1"/>
  <c r="J139" i="24"/>
  <c r="J131" i="24"/>
  <c r="J123" i="24"/>
  <c r="J113" i="24"/>
  <c r="J105" i="24"/>
  <c r="J97" i="24"/>
  <c r="J89" i="24"/>
  <c r="J76" i="24"/>
  <c r="J60" i="24"/>
  <c r="J52" i="24"/>
  <c r="J42" i="24"/>
  <c r="J34" i="24"/>
  <c r="J26" i="24"/>
  <c r="J18" i="24"/>
  <c r="J152" i="24" l="1"/>
  <c r="P39" i="22" s="1"/>
  <c r="J151" i="24"/>
  <c r="O39" i="22" s="1"/>
  <c r="J150" i="24"/>
  <c r="N39" i="22" s="1"/>
  <c r="J149" i="24"/>
  <c r="M39" i="22" s="1"/>
  <c r="J148" i="24"/>
  <c r="L39" i="22" s="1"/>
  <c r="J144" i="24"/>
  <c r="P38" i="22" s="1"/>
  <c r="J143" i="24"/>
  <c r="O38" i="22" s="1"/>
  <c r="J142" i="24"/>
  <c r="N38" i="22" s="1"/>
  <c r="J141" i="24"/>
  <c r="M38" i="22" s="1"/>
  <c r="J140" i="24"/>
  <c r="L38" i="22" s="1"/>
  <c r="J136" i="24"/>
  <c r="P37" i="22" s="1"/>
  <c r="J135" i="24"/>
  <c r="O37" i="22" s="1"/>
  <c r="J134" i="24"/>
  <c r="N37" i="22" s="1"/>
  <c r="J133" i="24"/>
  <c r="M37" i="22" s="1"/>
  <c r="J132" i="24"/>
  <c r="L37" i="22" s="1"/>
  <c r="J128" i="24"/>
  <c r="P36" i="22" s="1"/>
  <c r="J127" i="24"/>
  <c r="O36" i="22" s="1"/>
  <c r="J126" i="24"/>
  <c r="N36" i="22" s="1"/>
  <c r="J125" i="24"/>
  <c r="M36" i="22" s="1"/>
  <c r="J124" i="24"/>
  <c r="L36" i="22" s="1"/>
  <c r="J118" i="24"/>
  <c r="P35" i="22" s="1"/>
  <c r="J117" i="24"/>
  <c r="O35" i="22" s="1"/>
  <c r="J116" i="24"/>
  <c r="N35" i="22" s="1"/>
  <c r="J115" i="24"/>
  <c r="M35" i="22" s="1"/>
  <c r="J114" i="24"/>
  <c r="L35" i="22" s="1"/>
  <c r="J110" i="24"/>
  <c r="P34" i="22" s="1"/>
  <c r="J109" i="24"/>
  <c r="O34" i="22" s="1"/>
  <c r="J108" i="24"/>
  <c r="N34" i="22" s="1"/>
  <c r="J107" i="24"/>
  <c r="M34" i="22" s="1"/>
  <c r="J106" i="24"/>
  <c r="L34" i="22" s="1"/>
  <c r="J102" i="24"/>
  <c r="P33" i="22" s="1"/>
  <c r="J101" i="24"/>
  <c r="O33" i="22" s="1"/>
  <c r="J100" i="24"/>
  <c r="N33" i="22" s="1"/>
  <c r="J99" i="24"/>
  <c r="M33" i="22" s="1"/>
  <c r="J98" i="24"/>
  <c r="L33" i="22" s="1"/>
  <c r="J94" i="24"/>
  <c r="P32" i="22" s="1"/>
  <c r="J93" i="24"/>
  <c r="O32" i="22" s="1"/>
  <c r="J92" i="24"/>
  <c r="N32" i="22" s="1"/>
  <c r="J91" i="24"/>
  <c r="M32" i="22" s="1"/>
  <c r="J90" i="24"/>
  <c r="L32" i="22" s="1"/>
  <c r="J65" i="24"/>
  <c r="P27" i="22" s="1"/>
  <c r="J64" i="24"/>
  <c r="O27" i="22" s="1"/>
  <c r="J63" i="24"/>
  <c r="N27" i="22" s="1"/>
  <c r="J62" i="24"/>
  <c r="M27" i="22" s="1"/>
  <c r="J61" i="24"/>
  <c r="P26" i="22"/>
  <c r="J56" i="24"/>
  <c r="O26" i="22" s="1"/>
  <c r="J55" i="24"/>
  <c r="N26" i="22" s="1"/>
  <c r="J54" i="24"/>
  <c r="M26" i="22" s="1"/>
  <c r="J53" i="24"/>
  <c r="J47" i="24"/>
  <c r="P25" i="22" s="1"/>
  <c r="J46" i="24"/>
  <c r="O25" i="22" s="1"/>
  <c r="J45" i="24"/>
  <c r="N25" i="22" s="1"/>
  <c r="J44" i="24"/>
  <c r="M25" i="22" s="1"/>
  <c r="J43" i="24"/>
  <c r="L25" i="22" s="1"/>
  <c r="J39" i="24"/>
  <c r="P24" i="22" s="1"/>
  <c r="J38" i="24"/>
  <c r="O24" i="22" s="1"/>
  <c r="J37" i="24"/>
  <c r="N24" i="22" s="1"/>
  <c r="J36" i="24"/>
  <c r="M24" i="22" s="1"/>
  <c r="J35" i="24"/>
  <c r="L27" i="22" l="1"/>
  <c r="L26" i="22"/>
  <c r="L24" i="22"/>
  <c r="M16" i="22"/>
  <c r="N16" i="22"/>
  <c r="O16" i="22"/>
  <c r="P16" i="22"/>
  <c r="M17" i="22"/>
  <c r="N17" i="22"/>
  <c r="O17" i="22"/>
  <c r="P17" i="22"/>
  <c r="L17" i="22"/>
  <c r="L16" i="22"/>
  <c r="H22" i="28" l="1"/>
  <c r="M16" i="28"/>
  <c r="N16" i="28"/>
  <c r="O16" i="28"/>
  <c r="T17" i="28"/>
  <c r="S17" i="28"/>
  <c r="R17" i="28"/>
  <c r="Q17" i="28"/>
  <c r="P17" i="28"/>
  <c r="L46" i="28" l="1"/>
  <c r="P54" i="22"/>
  <c r="O54" i="22"/>
  <c r="N54" i="22"/>
  <c r="M54" i="22"/>
  <c r="L54" i="22"/>
  <c r="P53" i="22"/>
  <c r="P65" i="22" s="1"/>
  <c r="O53" i="22"/>
  <c r="N53" i="22"/>
  <c r="N65" i="22" s="1"/>
  <c r="M53" i="22"/>
  <c r="L53" i="22"/>
  <c r="P52" i="22"/>
  <c r="O52" i="22"/>
  <c r="N52" i="22"/>
  <c r="M52" i="22"/>
  <c r="L52" i="22"/>
  <c r="P51" i="22"/>
  <c r="O51" i="22"/>
  <c r="N51" i="22"/>
  <c r="N64" i="22" s="1"/>
  <c r="M51" i="22"/>
  <c r="M64" i="22" s="1"/>
  <c r="L51" i="22"/>
  <c r="M45" i="22"/>
  <c r="N45" i="22"/>
  <c r="O45" i="22"/>
  <c r="P45" i="22"/>
  <c r="M46" i="22"/>
  <c r="N46" i="22"/>
  <c r="O46" i="22"/>
  <c r="P46" i="22"/>
  <c r="M47" i="22"/>
  <c r="N47" i="22"/>
  <c r="O47" i="22"/>
  <c r="P47" i="22"/>
  <c r="M48" i="22"/>
  <c r="N48" i="22"/>
  <c r="O48" i="22"/>
  <c r="P48" i="22"/>
  <c r="L46" i="22"/>
  <c r="L47" i="22"/>
  <c r="L48" i="22"/>
  <c r="L45" i="22"/>
  <c r="J81" i="24"/>
  <c r="P29" i="22" s="1"/>
  <c r="J80" i="24"/>
  <c r="O29" i="22" s="1"/>
  <c r="J79" i="24"/>
  <c r="N29" i="22" s="1"/>
  <c r="J78" i="24"/>
  <c r="M29" i="22" s="1"/>
  <c r="J77" i="24"/>
  <c r="J73" i="24"/>
  <c r="P28" i="22" s="1"/>
  <c r="J72" i="24"/>
  <c r="O28" i="22" s="1"/>
  <c r="O61" i="22" s="1"/>
  <c r="J71" i="24"/>
  <c r="N28" i="22" s="1"/>
  <c r="J70" i="24"/>
  <c r="M28" i="22" s="1"/>
  <c r="J69" i="24"/>
  <c r="J31" i="24"/>
  <c r="P23" i="22" s="1"/>
  <c r="J30" i="24"/>
  <c r="O23" i="22" s="1"/>
  <c r="J29" i="24"/>
  <c r="N23" i="22" s="1"/>
  <c r="J28" i="24"/>
  <c r="M23" i="22" s="1"/>
  <c r="J27" i="24"/>
  <c r="J23" i="24"/>
  <c r="P22" i="22" s="1"/>
  <c r="J22" i="24"/>
  <c r="O22" i="22" s="1"/>
  <c r="J21" i="24"/>
  <c r="N22" i="22" s="1"/>
  <c r="J20" i="24"/>
  <c r="M22" i="22" s="1"/>
  <c r="M60" i="22" s="1"/>
  <c r="J19" i="24"/>
  <c r="L22" i="22" s="1"/>
  <c r="J35" i="18"/>
  <c r="M40" i="28" s="1"/>
  <c r="M54" i="28" s="1"/>
  <c r="J33" i="18"/>
  <c r="M38" i="28" s="1"/>
  <c r="M52" i="28" s="1"/>
  <c r="J32" i="18"/>
  <c r="M37" i="28" s="1"/>
  <c r="M51" i="28" s="1"/>
  <c r="J31" i="18"/>
  <c r="M36" i="28" s="1"/>
  <c r="M50" i="28" s="1"/>
  <c r="J30" i="18"/>
  <c r="M35" i="28" s="1"/>
  <c r="M49" i="28" s="1"/>
  <c r="J29" i="18"/>
  <c r="M34" i="28" s="1"/>
  <c r="M48" i="28" s="1"/>
  <c r="J28" i="18"/>
  <c r="M33" i="28" s="1"/>
  <c r="M47" i="28" s="1"/>
  <c r="J27" i="18"/>
  <c r="M32" i="28" s="1"/>
  <c r="M46" i="28" s="1"/>
  <c r="J24" i="18"/>
  <c r="L40" i="28" s="1"/>
  <c r="L54" i="28" s="1"/>
  <c r="J22" i="18"/>
  <c r="L38" i="28" s="1"/>
  <c r="L52" i="28" s="1"/>
  <c r="J21" i="18"/>
  <c r="L37" i="28" s="1"/>
  <c r="L51" i="28" s="1"/>
  <c r="J20" i="18"/>
  <c r="L36" i="28" s="1"/>
  <c r="L50" i="28" s="1"/>
  <c r="J19" i="18"/>
  <c r="L35" i="28" s="1"/>
  <c r="L49" i="28" s="1"/>
  <c r="J18" i="18"/>
  <c r="L34" i="28" s="1"/>
  <c r="L48" i="28" s="1"/>
  <c r="J17" i="18"/>
  <c r="L33" i="28" s="1"/>
  <c r="L47" i="28" s="1"/>
  <c r="J38" i="18"/>
  <c r="J39" i="18"/>
  <c r="J40" i="18"/>
  <c r="N34" i="28" s="1"/>
  <c r="N48" i="28" s="1"/>
  <c r="J41" i="18"/>
  <c r="N35" i="28" s="1"/>
  <c r="N49" i="28" s="1"/>
  <c r="J42" i="18"/>
  <c r="N36" i="28" s="1"/>
  <c r="N50" i="28" s="1"/>
  <c r="J43" i="18"/>
  <c r="N37" i="28" s="1"/>
  <c r="N51" i="28" s="1"/>
  <c r="J44" i="18"/>
  <c r="N38" i="28" s="1"/>
  <c r="N52" i="28" s="1"/>
  <c r="J46" i="18"/>
  <c r="N40" i="28" s="1"/>
  <c r="N54" i="28" s="1"/>
  <c r="O65" i="22" l="1"/>
  <c r="J45" i="22"/>
  <c r="N60" i="22"/>
  <c r="L64" i="22"/>
  <c r="J51" i="22"/>
  <c r="J52" i="22"/>
  <c r="L65" i="22"/>
  <c r="J53" i="22"/>
  <c r="J54" i="22"/>
  <c r="J48" i="22"/>
  <c r="J47" i="22"/>
  <c r="J46" i="22"/>
  <c r="P60" i="22"/>
  <c r="N61" i="22"/>
  <c r="P64" i="22"/>
  <c r="P61" i="22"/>
  <c r="O60" i="22"/>
  <c r="M61" i="22"/>
  <c r="O64" i="22"/>
  <c r="M65" i="22"/>
  <c r="O60" i="28"/>
  <c r="O74" i="28" s="1"/>
  <c r="O65" i="28"/>
  <c r="O79" i="28" s="1"/>
  <c r="O63" i="28"/>
  <c r="O77" i="28" s="1"/>
  <c r="O62" i="28"/>
  <c r="O76" i="28" s="1"/>
  <c r="O61" i="28"/>
  <c r="O75" i="28" s="1"/>
  <c r="O59" i="28"/>
  <c r="O73" i="28" s="1"/>
  <c r="N33" i="28"/>
  <c r="N47" i="28" s="1"/>
  <c r="N32" i="28"/>
  <c r="N46" i="28" s="1"/>
  <c r="L29" i="22"/>
  <c r="L28" i="22"/>
  <c r="L61" i="22" s="1"/>
  <c r="L23" i="22"/>
  <c r="L60" i="22" s="1"/>
  <c r="B70" i="10"/>
  <c r="M129" i="28" l="1"/>
  <c r="P79" i="28"/>
  <c r="Q79" i="28" s="1"/>
  <c r="R79" i="28" s="1"/>
  <c r="S79" i="28" s="1"/>
  <c r="T79" i="28" s="1"/>
  <c r="M89" i="28"/>
  <c r="P73" i="28"/>
  <c r="Q73" i="28" s="1"/>
  <c r="R73" i="28" s="1"/>
  <c r="S73" i="28" s="1"/>
  <c r="T73" i="28" s="1"/>
  <c r="P76" i="28"/>
  <c r="Q76" i="28" s="1"/>
  <c r="R76" i="28" s="1"/>
  <c r="S76" i="28" s="1"/>
  <c r="T76" i="28" s="1"/>
  <c r="M93" i="28"/>
  <c r="P77" i="28"/>
  <c r="Q77" i="28" s="1"/>
  <c r="R77" i="28" s="1"/>
  <c r="S77" i="28" s="1"/>
  <c r="T77" i="28" s="1"/>
  <c r="M91" i="28"/>
  <c r="P75" i="28"/>
  <c r="Q75" i="28" s="1"/>
  <c r="R75" i="28" s="1"/>
  <c r="S75" i="28" s="1"/>
  <c r="T75" i="28" s="1"/>
  <c r="M90" i="28"/>
  <c r="P74" i="28"/>
  <c r="Q74" i="28" s="1"/>
  <c r="R74" i="28" s="1"/>
  <c r="S74" i="28" s="1"/>
  <c r="T74" i="28" s="1"/>
  <c r="O58" i="28"/>
  <c r="O72" i="28" s="1"/>
  <c r="P72" i="28" s="1"/>
  <c r="Q72" i="28" s="1"/>
  <c r="R72" i="28" s="1"/>
  <c r="S72" i="28" s="1"/>
  <c r="T72" i="28" s="1"/>
  <c r="O57" i="28"/>
  <c r="N68" i="22"/>
  <c r="O12" i="21" s="1"/>
  <c r="O69" i="22"/>
  <c r="P13" i="21" s="1"/>
  <c r="N69" i="22"/>
  <c r="O13" i="21" s="1"/>
  <c r="P68" i="22"/>
  <c r="Q12" i="21" s="1"/>
  <c r="O68" i="22"/>
  <c r="P12" i="21" s="1"/>
  <c r="M68" i="22"/>
  <c r="N12" i="21" s="1"/>
  <c r="P69" i="22"/>
  <c r="Q13" i="21" s="1"/>
  <c r="M69" i="22"/>
  <c r="N13" i="21" s="1"/>
  <c r="L68" i="22"/>
  <c r="M12" i="21" s="1"/>
  <c r="B58" i="10"/>
  <c r="B65" i="10" s="1"/>
  <c r="M130" i="28" l="1"/>
  <c r="M100" i="28"/>
  <c r="M99" i="28"/>
  <c r="M96" i="28"/>
  <c r="M98" i="28"/>
  <c r="M97" i="28"/>
  <c r="M103" i="28"/>
  <c r="M88" i="28"/>
  <c r="M95" i="28"/>
  <c r="O71" i="28"/>
  <c r="L69" i="22"/>
  <c r="M13" i="21" s="1"/>
  <c r="M107" i="28"/>
  <c r="M104" i="28"/>
  <c r="M131" i="28"/>
  <c r="M105" i="28"/>
  <c r="M106" i="28"/>
  <c r="M110" i="28"/>
  <c r="B59" i="10"/>
  <c r="M87" i="28" l="1"/>
  <c r="P71" i="28"/>
  <c r="M114" i="28"/>
  <c r="M102" i="28"/>
  <c r="M111" i="28"/>
  <c r="M113" i="28"/>
  <c r="M112" i="28"/>
  <c r="M132" i="28"/>
  <c r="M121" i="28"/>
  <c r="M117" i="28"/>
  <c r="B60" i="10"/>
  <c r="B64" i="10" s="1"/>
  <c r="M94" i="28" l="1"/>
  <c r="Q71" i="28"/>
  <c r="M109" i="28"/>
  <c r="M118" i="28"/>
  <c r="M133" i="28"/>
  <c r="M120" i="28"/>
  <c r="M119" i="28"/>
  <c r="M128" i="28"/>
  <c r="M124" i="28"/>
  <c r="R71" i="28" l="1"/>
  <c r="M101" i="28"/>
  <c r="M125" i="28"/>
  <c r="M116" i="28"/>
  <c r="M126" i="28"/>
  <c r="M127" i="28"/>
  <c r="M134" i="28"/>
  <c r="S71" i="28" l="1"/>
  <c r="M108" i="28"/>
  <c r="M123" i="28"/>
  <c r="T71" i="28" l="1"/>
  <c r="M122" i="28" s="1"/>
  <c r="M1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B64" authorId="0" shapeId="0" xr:uid="{00000000-0006-0000-0300-000001000000}">
      <text>
        <r>
          <rPr>
            <sz val="8"/>
            <color indexed="81"/>
            <rFont val="Tahoma"/>
            <family val="2"/>
          </rPr>
          <t xml:space="preserve">In alle gevallen wordt een (groep van) roze cel(len) voorzien van een opmerking die uitlegt wat er bijzonder is aan de betreffende gegevens of berekening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Auteur</author>
  </authors>
  <commentList>
    <comment ref="Q18" authorId="0" shapeId="0" xr:uid="{00000000-0006-0000-0900-000001000000}">
      <text>
        <r>
          <rPr>
            <sz val="8"/>
            <color indexed="81"/>
            <rFont val="Tahoma"/>
            <family val="2"/>
          </rPr>
          <t>Opgegeven afschrijvingstermijn 20 jaar</t>
        </r>
      </text>
    </comment>
    <comment ref="Q29" authorId="0" shapeId="0" xr:uid="{00000000-0006-0000-0900-000002000000}">
      <text>
        <r>
          <rPr>
            <sz val="8"/>
            <color indexed="81"/>
            <rFont val="Tahoma"/>
            <family val="2"/>
          </rPr>
          <t>Opgegeven afschrijvingstermijn 20 jaar</t>
        </r>
      </text>
    </comment>
    <comment ref="Q40" authorId="0" shapeId="0" xr:uid="{3B239A26-3061-4AAD-948E-435B653D46C1}">
      <text>
        <r>
          <rPr>
            <b/>
            <sz val="9"/>
            <color indexed="81"/>
            <rFont val="Tahoma"/>
            <family val="2"/>
          </rPr>
          <t>Auteur:</t>
        </r>
        <r>
          <rPr>
            <sz val="9"/>
            <color indexed="81"/>
            <rFont val="Tahoma"/>
            <family val="2"/>
          </rPr>
          <t xml:space="preserve">
Opgegeven afschrijvingstermijn 20 jaar</t>
        </r>
      </text>
    </comment>
  </commentList>
</comments>
</file>

<file path=xl/sharedStrings.xml><?xml version="1.0" encoding="utf-8"?>
<sst xmlns="http://schemas.openxmlformats.org/spreadsheetml/2006/main" count="810" uniqueCount="264">
  <si>
    <t>Over dit bestand</t>
  </si>
  <si>
    <t>Zaaknummer</t>
  </si>
  <si>
    <t>Titel</t>
  </si>
  <si>
    <t>Hoort bij besluit(en):</t>
  </si>
  <si>
    <t>Kenmerk besluit(en)</t>
  </si>
  <si>
    <t>Samenhang met andere rekenbestanden</t>
  </si>
  <si>
    <t>Overig opmerkingen</t>
  </si>
  <si>
    <t>Over de status van dit bestand</t>
  </si>
  <si>
    <t>Definitief? (j/n)</t>
  </si>
  <si>
    <t>Juridisch integraal onderdeel van bovenstaande besluit(en) (j/n)?</t>
  </si>
  <si>
    <t>Indien van toepassing:</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</si>
  <si>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</si>
  <si>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</si>
  <si>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</si>
  <si>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</si>
  <si>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</si>
  <si>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</si>
  <si>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</si>
  <si>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Ingevoerde waarde of berekening die nog niet juist is (indien van toepassing)</t>
  </si>
  <si>
    <t>Eventueel te gebruiken:</t>
  </si>
  <si>
    <t>Bronnenoverzicht en specifieke toepassingen</t>
  </si>
  <si>
    <t>Bronnenoverzicht</t>
  </si>
  <si>
    <t>Exacte bestandsnaam</t>
  </si>
  <si>
    <t>Eenheid</t>
  </si>
  <si>
    <t>Constante</t>
  </si>
  <si>
    <t>Beschrijving gegevens</t>
  </si>
  <si>
    <t>Toelichting bij bijzonderheden</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</si>
  <si>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</si>
  <si>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</si>
  <si>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</si>
  <si>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</si>
  <si>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</si>
  <si>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</si>
  <si>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</si>
  <si>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</si>
  <si>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</si>
  <si>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</si>
  <si>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</si>
  <si>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</si>
  <si>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</si>
  <si>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</si>
  <si>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</si>
  <si>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Omschrijving</t>
  </si>
  <si>
    <t>Bronverwijzing</t>
  </si>
  <si>
    <t>Opmerking</t>
  </si>
  <si>
    <t>Rijtotaal</t>
  </si>
  <si>
    <t>In rekenmodellen probeert ACM zoveel mogelijk eenvoudige navolgbare berekeningen te maken en geen ingewikkelde functies of toepassingen te gebruiken.</t>
  </si>
  <si>
    <t>Wanneer toch gebruik wordt gemaakt van cel- en rangenamen, macro's of andere bijzondere functies in Excel wordt de werking ervan hier toegelicht</t>
  </si>
  <si>
    <t>Duiding van specifieke Excel-toepassingen en overige bijzonderheden</t>
  </si>
  <si>
    <t>Toelichting bij dit bestand</t>
  </si>
  <si>
    <t>Nr.</t>
  </si>
  <si>
    <t xml:space="preserve">Verkorte naam </t>
  </si>
  <si>
    <t>Naam bestand extern</t>
  </si>
  <si>
    <t>Beschrijving berekening</t>
  </si>
  <si>
    <t>Beschrijving resultaat</t>
  </si>
  <si>
    <t>Grijze cijfers geven de uitkomt van een check berekening; dit is geen resultaat waarmee verder wordt gerekend</t>
  </si>
  <si>
    <t>Aanvullende gegevens bestand extern</t>
  </si>
  <si>
    <t>Datum ontvangst, versie nr., opmerkingen</t>
  </si>
  <si>
    <t>Zoals gebruikt in dit bestand</t>
  </si>
  <si>
    <t>Zaaknummer en/of kenmerk ACM</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</si>
  <si>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</si>
  <si>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</si>
  <si>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Indien van toepassing</t>
  </si>
  <si>
    <t>Bevat bedrijfsvertrouwelijke gegevens? (j/n)</t>
  </si>
  <si>
    <t>Mogelijkheden van bezwaar en beroep staan open tegen het besluit waarbij dit bestand hoort (zie kenmerken hierboven)</t>
  </si>
  <si>
    <t>Is of wordt gepubliceerd? (j/n)</t>
  </si>
  <si>
    <t>Data en input (bron wordt vermeld)</t>
  </si>
  <si>
    <t>Berekende waarde die wordt opgehaald op een ander tabblad, incl. (eind)resultaat van berekening</t>
  </si>
  <si>
    <t>Waarde of berekening die speciale aandacht vraagt (zie toelichting in opmerking)</t>
  </si>
  <si>
    <t>Deze kleur wordt uitsluitend gebruikt bij een informatieverzoek: cellen die door de ontvanger van het dataverzoek moeten worden ingevuld</t>
  </si>
  <si>
    <t>Gestandaardiseerde tabbladen, omvat tenminste: 'Titelblad', 'Toelichting' en 'Bronnen en toepassingen' (kleur: ACM-lichtpaars)</t>
  </si>
  <si>
    <t>Een kader kan worden gebruikt om aan te geven dat een bepaald veld input bevat, maar deze input automatisch wordt ingeladen, bijvoorbeeld door middel van een macro (dus niet handmatig in te vullen)</t>
  </si>
  <si>
    <t>Data investeringen per afschrijftermijn</t>
  </si>
  <si>
    <t>Data investeringen 2018</t>
  </si>
  <si>
    <t>Coteq</t>
  </si>
  <si>
    <t>Enduris</t>
  </si>
  <si>
    <t>Enexis</t>
  </si>
  <si>
    <t>Liander</t>
  </si>
  <si>
    <t>RENDO</t>
  </si>
  <si>
    <t>Stedin</t>
  </si>
  <si>
    <t>Westland</t>
  </si>
  <si>
    <t>EUR, pp 2018</t>
  </si>
  <si>
    <t>TD - afschrijvingstermijn 5 jaar</t>
  </si>
  <si>
    <t>TD - afschrijvingstermijn 55 jaar</t>
  </si>
  <si>
    <t>TD - afschrijvingstermijn 45 jaar</t>
  </si>
  <si>
    <t>TD - afschrijvingstermijn 30 jaar</t>
  </si>
  <si>
    <t>TD - afschrijvingstermijn 25 jaar</t>
  </si>
  <si>
    <t>TD - afschrijvingstermijn 10 jaar</t>
  </si>
  <si>
    <t>TD - geen afschrijving</t>
  </si>
  <si>
    <t>AD - afschrijvingstermijn 39 jaar</t>
  </si>
  <si>
    <t>Data investeringen 2019</t>
  </si>
  <si>
    <t>Data investeringen 2020</t>
  </si>
  <si>
    <t>EUR, pp 2019</t>
  </si>
  <si>
    <t>EUR, pp 2020</t>
  </si>
  <si>
    <t>EUR, pp 2022</t>
  </si>
  <si>
    <t>EUR, pp 2023</t>
  </si>
  <si>
    <t>EUR, pp 2024</t>
  </si>
  <si>
    <t>EUR, pp 2025</t>
  </si>
  <si>
    <t>EUR, pp 2026</t>
  </si>
  <si>
    <t>FIN</t>
  </si>
  <si>
    <t>2022</t>
  </si>
  <si>
    <t>2023</t>
  </si>
  <si>
    <t>2024</t>
  </si>
  <si>
    <t>2025</t>
  </si>
  <si>
    <t>2026</t>
  </si>
  <si>
    <t>Scenario 0</t>
  </si>
  <si>
    <t>Transportdienst - Boekwaarde GAW Ultimo</t>
  </si>
  <si>
    <t>Transportdienst - Afschrijvingen</t>
  </si>
  <si>
    <t>Aansluitdienst - Boekwaarde GAW Ultimo</t>
  </si>
  <si>
    <t>Aansluitdienst - Afschrijvingen</t>
  </si>
  <si>
    <t>Ophalen gegevens over WACC</t>
  </si>
  <si>
    <t>Nominaal</t>
  </si>
  <si>
    <t>Reëel</t>
  </si>
  <si>
    <t>Scenario 1</t>
  </si>
  <si>
    <t>Output GAW sheet uit doorrollen van GAW-berekening voor investeringen 2021-2026</t>
  </si>
  <si>
    <t>Output Scenario "0" (reëel stelsel, lineaire afschrijving)</t>
  </si>
  <si>
    <t>Output Scenario "1" (nominaal stelsel, versnelde afschrijving)</t>
  </si>
  <si>
    <t>Nieuwe investeringen</t>
  </si>
  <si>
    <t>19 Onbekend</t>
  </si>
  <si>
    <t>TD</t>
  </si>
  <si>
    <t>AD</t>
  </si>
  <si>
    <t>Dataset investeringen uit investeringsbestand</t>
  </si>
  <si>
    <t>Taken voor selectie</t>
  </si>
  <si>
    <t>Volgnummer</t>
  </si>
  <si>
    <t>Type</t>
  </si>
  <si>
    <t>Overgenomen van [naam netbeheerder]</t>
  </si>
  <si>
    <t>Taak</t>
  </si>
  <si>
    <t>ALS AD, &lt; 40m3 of &gt;40m3</t>
  </si>
  <si>
    <t>Afschrijvingen start-GAW</t>
  </si>
  <si>
    <t>Afschrijvingstermijn</t>
  </si>
  <si>
    <t>Jaar begin afschrijven</t>
  </si>
  <si>
    <t>Investeringsbedrag</t>
  </si>
  <si>
    <t>2018</t>
  </si>
  <si>
    <t>2019</t>
  </si>
  <si>
    <t>2020</t>
  </si>
  <si>
    <t>2021</t>
  </si>
  <si>
    <t>CPI gemeten en geschat</t>
  </si>
  <si>
    <t>CPI 2018-2021 o.b.v. CBS en formule tarievenbesluiten</t>
  </si>
  <si>
    <t>CPI jaar t (o.b.v. vaststelling wettelijke formule)</t>
  </si>
  <si>
    <t>CBS</t>
  </si>
  <si>
    <t>Overige parameters</t>
  </si>
  <si>
    <t>Transportdienst</t>
  </si>
  <si>
    <t>Aansluitdienst</t>
  </si>
  <si>
    <t>Ingeschatte inflatie vanuit WACC formule</t>
  </si>
  <si>
    <t>Berekening gemiddelde investeringen over 2018-2020 in prijspeil en efficiëntieniveau 2021</t>
  </si>
  <si>
    <t>TD - Boekwaarde GAW Ultimo: Start-GAW</t>
  </si>
  <si>
    <t>TD - Afschrijvingen: Start-GAW</t>
  </si>
  <si>
    <t>AD - Boekwaarde GAW Ultimo: Start-GAW</t>
  </si>
  <si>
    <t>AD - Afschrijvingen: Start-GAW</t>
  </si>
  <si>
    <t>AD - Boekwaarde GAW Ultimo: Investeringen 2009-2020 (incl. overgenomen netten)</t>
  </si>
  <si>
    <t>AD - Afschrijvingen: Investeringen 2009-2020 (incl. overgenomen netten)</t>
  </si>
  <si>
    <t>TD - Boekwaarde GAW Ultimo: Investeringen 2021-2026</t>
  </si>
  <si>
    <t>TD - Afschrijvingen: Investeringen 2021-2026</t>
  </si>
  <si>
    <t>AD - Boekwaarde GAW Ultimo: Investeringen 2021-2026</t>
  </si>
  <si>
    <t>AD - Afschrijvingen: Investeringen 2021-2026</t>
  </si>
  <si>
    <r>
      <t xml:space="preserve">Negatieve PV = verwachte </t>
    </r>
    <r>
      <rPr>
        <i/>
        <sz val="10"/>
        <rFont val="Arial"/>
        <family val="2"/>
      </rPr>
      <t xml:space="preserve">stijging </t>
    </r>
    <r>
      <rPr>
        <sz val="10"/>
        <rFont val="Arial"/>
        <family val="2"/>
      </rPr>
      <t>van de kosten per SO (gecorrigeerd voor prijspeil)</t>
    </r>
  </si>
  <si>
    <t>EUR, pp jaar</t>
  </si>
  <si>
    <t>EUR, pp 2021</t>
  </si>
  <si>
    <t>n.v.t.</t>
  </si>
  <si>
    <t>Uitkomsten voor doorrekening scenario 0 (Cel H22 = 0)</t>
  </si>
  <si>
    <t>Uitkomsten voor doorrekening scenario 1 (Cel H22 = 1)</t>
  </si>
  <si>
    <t>Individuele GAW-bestanden per RNB</t>
  </si>
  <si>
    <t>Niet van toepassing</t>
  </si>
  <si>
    <t xml:space="preserve">De effecten van deze correctie worden meegenomen bij de bepaling van de x-factor voor de RNB's gas voor de reguleringsperiode 2022-2026. </t>
  </si>
  <si>
    <t>GAW-bestand Sector inv. 2022-2026 t.b.v. correctie</t>
  </si>
  <si>
    <t>GAW-bestand voor sector investeringen 2021-2026, zoals toegestuurd bij verzending van dit bestand</t>
  </si>
  <si>
    <t>De inschatting van de betreffende investeringsbedragen maakt eveneens onderdeel uit van dit bestand. Dat betekent dat een aanpassing van deze investeringsbedragen niet automatisch leidt tot een aanpassing van de uitkomsten van deze GAW-berekening zoals die worden gebruikt later in dit bestand.</t>
  </si>
  <si>
    <t>Dit bestand maakt gebruik van scenario-berekeningen in de individuele GAW-bestanden van de RNB's gas. Die individuele GAW-bestanden, waarin gekozen kan worden voor een scenario 0 en een scenario 1, zijn onderdeel van de berekening die nodig is om tot de Hogan-correctie te komen.</t>
  </si>
  <si>
    <t>Dit betekent dat een wijziging in die GAW-bestanden leidt tot een wijziging van het correctiebedrag zoals dat in dit bestand berekend wordt. Bij een wijziging moeten de beide scenario's (0 en 1) handmatig worden doorgerekend en opnieuw in dit bestand worden opgenomen.</t>
  </si>
  <si>
    <t>Daarnaast wordt in de berekening in dit bestand gebruik gemaakt van een doorrekening van de beide scenario's voor investeringen voor de jaren 2021-2026. Dit wordt gedaan in een afzonderlijk GAW-bestand waarin voor de sector als geheel deze investeringebedragen zijn opgenomen.</t>
  </si>
  <si>
    <t xml:space="preserve">Dit betekent dat de volgens acties moeten worden doorlopen wanneer de investeringsbedragen voor de jaren 2021-2026 wijzigen: </t>
  </si>
  <si>
    <t xml:space="preserve">1) overnemen van de nieuwe investeringsbedragen in het bestand 'GAW-bestand sector inv. 2021-2026 t.b.v. correctie'. </t>
  </si>
  <si>
    <t>%</t>
  </si>
  <si>
    <t>CPI</t>
  </si>
  <si>
    <t>Geschatte CPI 2022-2026</t>
  </si>
  <si>
    <t>WACC</t>
  </si>
  <si>
    <t>Reguleringsparameters</t>
  </si>
  <si>
    <t>Ophalen reguleringsparameters</t>
  </si>
  <si>
    <t>Inschatting CPI 2021-2026</t>
  </si>
  <si>
    <t>Boekwaarden en afschrijvingen</t>
  </si>
  <si>
    <t>TD - Boekwaarde GAW Ultimo: Investeringen 2004-2020</t>
  </si>
  <si>
    <t>TD - Afschrijvingen: Investeringen 2004-2020</t>
  </si>
  <si>
    <t>AD - Afschrijvingen: Investeringen 2009-2020</t>
  </si>
  <si>
    <t>AD - Boekwaarde GAW Ultimo: Investeringen 2009-2020</t>
  </si>
  <si>
    <t>Boekwaarde en afschrijvingen in Scenario '0' (lineaire afschrijving, reëel stelsel)</t>
  </si>
  <si>
    <t>Boekwaarde en afschrijvingen in Scenario '1' (versnelde afschrijving met versnellingsfactor 1,2, nominaal stelsel)</t>
  </si>
  <si>
    <t>Investeringen 2018 t/m 2020</t>
  </si>
  <si>
    <t>Investeringen in 2021-2026</t>
  </si>
  <si>
    <t>Negatieve PV = verwachte stijging van de kosten per SO (gecorrigeerd voor prijspeil)</t>
  </si>
  <si>
    <t>EUR</t>
  </si>
  <si>
    <t>Ophalen gegevens investeringen 2018-2020</t>
  </si>
  <si>
    <t>Investeringen per investeringscategorie</t>
  </si>
  <si>
    <t>Inschatting investering per categorie</t>
  </si>
  <si>
    <t>Gemiddelde investeringen per categorie in prijspeil en efficientiëniveau 2021</t>
  </si>
  <si>
    <t>Investeringen per categorie in prijspeil en efficientiëniveau 2021</t>
  </si>
  <si>
    <t>Boekwaarden en afschrijvingen van investeringen in 2021 t/m 2026</t>
  </si>
  <si>
    <t>Te kopieren in tabblad 'Investeringen' in bestand 'GAW-bestand sector inv. 2022-2026 t.b.v. correctie'</t>
  </si>
  <si>
    <t xml:space="preserve">AD - Afschrijvingen: Investeringen 2009-2020 </t>
  </si>
  <si>
    <t>Ophalen boekwaarden en afschrijvingen van bestaande GAW</t>
  </si>
  <si>
    <t>Ophalen boekwaarden en afschrijvingen van investeringen in 2021 t/m 2026</t>
  </si>
  <si>
    <t>Berekening kapitaalkosten per scenario</t>
  </si>
  <si>
    <t>Kapitaalkosten in Scenario 0</t>
  </si>
  <si>
    <t>Kapitaalkosten Scenario 1</t>
  </si>
  <si>
    <t>Verschil in kapitaalkosten (= scenario 1 - scenario 0)</t>
  </si>
  <si>
    <t>Kapitaalkosten sector RNB's gas - transportdienst</t>
  </si>
  <si>
    <t>Kapitaalkosten sector RNB's gas - aansluitdienst</t>
  </si>
  <si>
    <t>Verschil in kapitaalkosten - transportdienst</t>
  </si>
  <si>
    <t>Verschil in kapitaalkosten - aansluitdienst</t>
  </si>
  <si>
    <t>Correctie kapitaalkosten</t>
  </si>
  <si>
    <t>Samenhang van dit bestand met andere bestanden</t>
  </si>
  <si>
    <t>Schematische weergave en/of inhoudsopgave van de werking van dit model</t>
  </si>
  <si>
    <t>GAW model - nieuwe investeringen sector</t>
  </si>
  <si>
    <t>GAW model - individuele RNB's</t>
  </si>
  <si>
    <t>Investeringen</t>
  </si>
  <si>
    <t>X-factor</t>
  </si>
  <si>
    <t>Berekeningsbestand correctie kapitaalkosten</t>
  </si>
  <si>
    <t>Toelichting samenhang tabbladen:</t>
  </si>
  <si>
    <t>Betreft een ander bestand</t>
  </si>
  <si>
    <t>BW &amp; afsch</t>
  </si>
  <si>
    <t>Investeringen 2018-2020</t>
  </si>
  <si>
    <t>BW &amp; afsch investeringen 21-26</t>
  </si>
  <si>
    <t>Berekening kapitaalkosten</t>
  </si>
  <si>
    <t>Investeringen 2021-2026</t>
  </si>
  <si>
    <t>Inschatting investeringen 2021 - 2026 o.b.v. PV en CPI</t>
  </si>
  <si>
    <t>Totaal t.b.v. check</t>
  </si>
  <si>
    <t>Reële PV</t>
  </si>
  <si>
    <t>Nominale PV</t>
  </si>
  <si>
    <t>Op dit tabblad worden de resultaten opgehaald.</t>
  </si>
  <si>
    <t>TD correctie kapitaalkosten 2022 t/m 2026</t>
  </si>
  <si>
    <t>AD correctie kapitaalkosten 2022 t/m 2026</t>
  </si>
  <si>
    <t>Resultaten correctie kapitaalkosten</t>
  </si>
  <si>
    <t>Inschatting productiviteitsverandering 2021-2026</t>
  </si>
  <si>
    <t xml:space="preserve">In dit bestand wordt de correctie voor kapitaalkosten bepaald. </t>
  </si>
  <si>
    <t>De correctie voor kapitaalkosten geeft een vergoeding geeft voor de verschillen die ontstaan doordat in de reguleringsmethode voor 2022-2026 gekozen wordt voor 1) toepassing van het nominale stelsel en 2) versneld afschrijven van de investeringen tussen 2022 en 2026 met een versnellingsfactor van 1,2.</t>
  </si>
  <si>
    <t>Activa-categorie</t>
  </si>
  <si>
    <t>GAW-bestand Sector inv. 2022-2026 t.b.v. correctie, tabblad Scenario 0 - 1, rijen 68-71</t>
  </si>
  <si>
    <t xml:space="preserve">2) doorrekening van scenario 0 en 1 (keuze in cel H22 op tabblad 'scenario 0 - 1') en overnemen van de resultaten in dit bestand op tabblad 'BW &amp; afsch investeringen 21-26'. </t>
  </si>
  <si>
    <t>Op dit tabblad zijn de relevante reguleringsparameters opgenomen. Het gaat om de CPI, WACC en PV.</t>
  </si>
  <si>
    <t>Totaal t.b.v. check met bronbestand</t>
  </si>
  <si>
    <t>Uitkomsten voor scenaro '0' (lineair afschrijven, reële stelsel)</t>
  </si>
  <si>
    <t xml:space="preserve">Op dit tabblad worden de boekwaarden en afschrijvingen opgehaald voor alle netbeheerders voor twee scenario's. In scenario 0 worden boekwaarden en afschrijvingen opgehaald die horen bij het continueren van lineaire afschrijving op investeringen en een reëel stelsel. In scenario 1 worden de boekwaarden en afschrijvingen opgehaald die horen bij het overgaan op versneld afschrijven (met versnellingsfactor 1,2) en een nominaal stelsel. De gegevens voor beide scenario's worden opgehaald uit de GAW-bestanden per netbeheerder.
</t>
  </si>
  <si>
    <t>Dit tabblad bevat de gegevens over de investeringen van RNB's gas per afschrijftermijn voor de jaren 2018-2020. Deze worden gebruikt als peiljaren voor het berekenen van verwachte investeringen in de jaren 2021-2026 op het tabblad 'Investeringen 21-26'.</t>
  </si>
  <si>
    <t>GAW-bestand RNB-G 2022-2026 [netbeheerder] vanaf 2010. tabblad 'Investeringen'</t>
  </si>
  <si>
    <r>
      <t>Dit tabblad haalt gegevens op over de boekwaarde en afschrijvingen in de jaren 2022 t/m 2026 die horen bij de inschatting van de investeringen die worden gedaan in de jaren 2021 t/m 2026.</t>
    </r>
    <r>
      <rPr>
        <sz val="10"/>
        <color rgb="FFFF0000"/>
        <rFont val="Arial"/>
        <family val="2"/>
      </rPr>
      <t xml:space="preserve"> </t>
    </r>
    <r>
      <rPr>
        <sz val="10"/>
        <rFont val="Arial"/>
        <family val="2"/>
      </rPr>
      <t>De gegevens worden opgehaald uit het bestand 'GAW-bestand sector inv. 2022-2026 t.b.v. correctie', waarbij de investeringen op sectorniveau zoals berekend op het tabblad 'Investeringen 2021-2026' als input gelden. De gegevens van zowel scenario '0' als scenario '1' worden uit ditzelfde bestand opgehaald.</t>
    </r>
  </si>
  <si>
    <t>Verwachte productiviteitsverandering voor 2022-2026</t>
  </si>
  <si>
    <t xml:space="preserve">Op dit tabblad wordt het verschil berekend tussen de totale kapitaalkosten in scenario 0 en in scenario 1. Hierbij wordt onderscheid gemaakt tussen TD en AD. Deze berekening wordt uitgevoerd op sectorniveau aangezien de correctie kapitaalkosten via de maatstaf loopt. Bij de berekening van de kapitaalkosten wordt steeds gebruik gemaakt van de toepasselijke WACC, waarbij in scenario 0 de reële WACC van toepassing is en in scenario 1 de nominale WACC. </t>
  </si>
  <si>
    <t>GAW-bestand RNB-G 2022-2026 [netbeheerder]</t>
  </si>
  <si>
    <t>Op basis van de data over investeringen in 2018-2020 wordt op dit tabblad de verwachte investeringen op sectorniveau geschat voor de jaren 2021-2026. Het resultaat op dit tabblad wordt gebruikt als input in het bestand 'GAW-bestand sector inv. 2022-2026 t.b.v. correctie'. Dat bestand berekent de boekwaarde en afschrijvingen in 2022 t/m 2026 van investeringen in de periode 2021 t/m 2026. Het resultaat dat daar wordt berekend wordt in dit bestand opgehaald op het tabblad 'BW &amp; afsch investeringen 21-26'.
De investeringen in het basisjaar 2021 worden gebaseerd op het gemiddelde van de investeringen in de peiljaren 2018-2020, gecorrigeerd voor cpi en PV. Er wordt hierbij gebruik gemaakt van een afzonderlijke PV voor TD en AD en van de historische en verwachte CPI. Bij het toepassen van de PV wordt een onderscheid gemaakt tussen een reële en nominale PV. De reële PV wordt toegepast in de jaren waar een reëel stelsel geldt en de nominale PV wordt toegepast in de jaren waar een nominake PV geldt (vanwege invoering van het nominaal stelsel).</t>
  </si>
  <si>
    <t xml:space="preserve">Gewijzigd methodebesluit 2022-2026, paragraaf 7.4.1 </t>
  </si>
  <si>
    <t>Herstel berekeningsbestand PV gas voor kostenontwikkeling 2021-2026, tabblad Berekening nominale PV TD, cel H105</t>
  </si>
  <si>
    <t>Herstel berekeningsbestand PV gas voor kostenontwikkeling 2021-2026, tabblad Berekening nominale PV AD, cel H44</t>
  </si>
  <si>
    <t>Herstel X-factormodel RNB-G 2022-2026, tabblad 5) PV TD</t>
  </si>
  <si>
    <t>Herstel X-factormodel RNB-G 2022-2026, tabblad 5) PV AD</t>
  </si>
  <si>
    <t>Herstel X-factorberekening RNB's gas</t>
  </si>
  <si>
    <t>Herstel berekeningsbestand PV gas voor kostenontwikkeling 2021-2026</t>
  </si>
  <si>
    <t>Herstel X-factorberekening regionale netbeheerders gas 2022-2026</t>
  </si>
  <si>
    <t>Gewijzigd methodebesluit 2022-2026</t>
  </si>
  <si>
    <t>ACM/23/184726</t>
  </si>
  <si>
    <t>Herstel correctie kapitaalkosten regionale netbeheerders gas 2022-2026</t>
  </si>
  <si>
    <t>Herstel X-factorbesluiten RNB's gas reguleringsperiode 2022-2026</t>
  </si>
  <si>
    <t>GAW-bestanden, Herstel X-factorbestand</t>
  </si>
  <si>
    <t>Gewijzigde methodebesluit regionale netbeheerders gas 2022-2026</t>
  </si>
  <si>
    <t>j</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</si>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</sst>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0.0%"/>
    <numFmt numFmtId="165" formatCode="_ * #,##0.0_ ;_ * \-#,##0.0_ ;_ * &quot;-&quot;_ ;_ @_ "/>
    <numFmt numFmtId="166" formatCode="0.000%"/>
  </numFmts>
  <fonts count="34" x14ac:knownFonts="1">
    <font>
      <sz val="10"/>
      <color theme="1"/>
      <name val="Arial"/>
      <family val="2"/>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sz val="10"/>
      <name val="Arial"/>
      <family val="2"/>
    </font>
    <font>
      <b/>
      <sz val="14"/>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sz val="9"/>
      <color indexed="81"/>
      <name val="Tahoma"/>
      <family val="2"/>
    </font>
    <font>
      <i/>
      <sz val="10"/>
      <color theme="1"/>
      <name val="Arial"/>
      <family val="2"/>
    </font>
    <font>
      <b/>
      <sz val="9"/>
      <color indexed="81"/>
      <name val="Tahoma"/>
      <family val="2"/>
    </font>
  </fonts>
  <fills count="5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7030A0"/>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rgb="FF99FF99"/>
        <bgColor indexed="64"/>
      </patternFill>
    </fill>
    <fill>
      <patternFill patternType="solid">
        <fgColor rgb="FFE1FFE1"/>
        <bgColor indexed="64"/>
      </patternFill>
    </fill>
    <fill>
      <patternFill patternType="solid">
        <fgColor rgb="FFFFFFCC"/>
        <bgColor auto="1"/>
      </patternFill>
    </fill>
    <fill>
      <patternFill patternType="solid">
        <fgColor theme="0"/>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8">
    <xf numFmtId="0" fontId="0" fillId="0" borderId="0">
      <alignment vertical="top"/>
    </xf>
    <xf numFmtId="0" fontId="2" fillId="2" borderId="0" applyNumberFormat="0" applyBorder="0" applyAlignment="0" applyProtection="0"/>
    <xf numFmtId="0" fontId="3" fillId="3" borderId="0" applyNumberFormat="0" applyBorder="0" applyAlignment="0" applyProtection="0"/>
    <xf numFmtId="0" fontId="4" fillId="4" borderId="0" applyNumberFormat="0" applyBorder="0" applyAlignment="0" applyProtection="0"/>
    <xf numFmtId="0" fontId="5" fillId="0" borderId="0">
      <alignment vertical="top"/>
    </xf>
    <xf numFmtId="49" fontId="9" fillId="5" borderId="1">
      <alignment vertical="top"/>
    </xf>
    <xf numFmtId="49" fontId="6" fillId="20" borderId="1">
      <alignment vertical="top"/>
    </xf>
    <xf numFmtId="49" fontId="6" fillId="0" borderId="0">
      <alignment vertical="top"/>
    </xf>
    <xf numFmtId="41" fontId="5" fillId="13" borderId="0">
      <alignment vertical="top"/>
    </xf>
    <xf numFmtId="41" fontId="5" fillId="12" borderId="0">
      <alignment vertical="top"/>
    </xf>
    <xf numFmtId="41" fontId="5" fillId="10" borderId="0">
      <alignment vertical="top"/>
    </xf>
    <xf numFmtId="41" fontId="5" fillId="47" borderId="0">
      <alignment vertical="top"/>
    </xf>
    <xf numFmtId="41" fontId="5" fillId="8" borderId="0">
      <alignment vertical="top"/>
    </xf>
    <xf numFmtId="41" fontId="5" fillId="14" borderId="0">
      <alignment vertical="top"/>
    </xf>
    <xf numFmtId="49" fontId="11" fillId="0" borderId="0">
      <alignment vertical="top"/>
    </xf>
    <xf numFmtId="49" fontId="10" fillId="0" borderId="0">
      <alignment vertical="top"/>
    </xf>
    <xf numFmtId="0" fontId="17" fillId="16" borderId="6" applyNumberFormat="0" applyAlignment="0" applyProtection="0"/>
    <xf numFmtId="0" fontId="18" fillId="17" borderId="7" applyNumberFormat="0" applyAlignment="0" applyProtection="0"/>
    <xf numFmtId="0" fontId="19" fillId="17" borderId="6" applyNumberFormat="0" applyAlignment="0" applyProtection="0"/>
    <xf numFmtId="0" fontId="20" fillId="0" borderId="8" applyNumberFormat="0" applyFill="0" applyAlignment="0" applyProtection="0"/>
    <xf numFmtId="0" fontId="14" fillId="18" borderId="9" applyNumberFormat="0" applyAlignment="0" applyProtection="0"/>
    <xf numFmtId="0" fontId="16" fillId="19" borderId="10"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1" applyNumberFormat="0" applyFill="0" applyAlignment="0" applyProtection="0"/>
    <xf numFmtId="0" fontId="25" fillId="0" borderId="12" applyNumberFormat="0" applyFill="0" applyAlignment="0" applyProtection="0"/>
    <xf numFmtId="0" fontId="26" fillId="0" borderId="13"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4" applyNumberFormat="0" applyFill="0" applyAlignment="0" applyProtection="0"/>
    <xf numFmtId="0" fontId="29"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9" fillId="28" borderId="0" applyNumberFormat="0" applyBorder="0" applyAlignment="0" applyProtection="0"/>
    <xf numFmtId="0" fontId="29"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9" fillId="32" borderId="0" applyNumberFormat="0" applyBorder="0" applyAlignment="0" applyProtection="0"/>
    <xf numFmtId="0" fontId="29"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1" fillId="42" borderId="0" applyNumberFormat="0" applyBorder="0" applyAlignment="0" applyProtection="0"/>
    <xf numFmtId="0" fontId="1" fillId="43" borderId="0" applyNumberFormat="0" applyBorder="0" applyAlignment="0" applyProtection="0"/>
    <xf numFmtId="0" fontId="29" fillId="44"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5" fillId="45" borderId="0" applyNumberFormat="0">
      <alignment vertical="top"/>
    </xf>
    <xf numFmtId="43" fontId="5" fillId="12" borderId="0" applyFont="0" applyFill="0" applyBorder="0" applyAlignment="0" applyProtection="0">
      <alignment vertical="top"/>
    </xf>
    <xf numFmtId="10" fontId="5" fillId="0" borderId="0" applyFont="0" applyFill="0" applyBorder="0" applyAlignment="0" applyProtection="0">
      <alignment vertical="top"/>
    </xf>
    <xf numFmtId="41" fontId="5" fillId="46" borderId="0">
      <alignment vertical="top"/>
    </xf>
    <xf numFmtId="10" fontId="5" fillId="0" borderId="0" applyFont="0" applyFill="0" applyBorder="0" applyAlignment="0" applyProtection="0">
      <alignment vertical="top"/>
    </xf>
    <xf numFmtId="41" fontId="5" fillId="12" borderId="0">
      <alignment vertical="top"/>
    </xf>
  </cellStyleXfs>
  <cellXfs count="107">
    <xf numFmtId="0" fontId="0" fillId="0" borderId="0" xfId="0">
      <alignment vertical="top"/>
    </xf>
    <xf numFmtId="0" fontId="6" fillId="0" borderId="0" xfId="4" applyFont="1">
      <alignment vertical="top"/>
    </xf>
    <xf numFmtId="0" fontId="5" fillId="0" borderId="0" xfId="4">
      <alignment vertical="top"/>
    </xf>
    <xf numFmtId="0" fontId="7" fillId="0" borderId="0" xfId="4" applyFont="1">
      <alignment vertical="top"/>
    </xf>
    <xf numFmtId="0" fontId="9" fillId="6" borderId="1" xfId="4" applyFont="1" applyFill="1" applyBorder="1">
      <alignment vertical="top"/>
    </xf>
    <xf numFmtId="0" fontId="10" fillId="0" borderId="0" xfId="4" applyFont="1">
      <alignment vertical="top"/>
    </xf>
    <xf numFmtId="0" fontId="11" fillId="0" borderId="0" xfId="4" applyFont="1">
      <alignment vertical="top"/>
    </xf>
    <xf numFmtId="0" fontId="5" fillId="0" borderId="2" xfId="4" applyBorder="1">
      <alignment vertical="top"/>
    </xf>
    <xf numFmtId="49" fontId="9" fillId="5" borderId="1" xfId="5">
      <alignment vertical="top"/>
    </xf>
    <xf numFmtId="49" fontId="6" fillId="20" borderId="1" xfId="6">
      <alignment vertical="top"/>
    </xf>
    <xf numFmtId="0" fontId="5" fillId="0" borderId="0" xfId="4" applyFill="1">
      <alignment vertical="top"/>
    </xf>
    <xf numFmtId="0" fontId="7" fillId="0" borderId="2" xfId="4" applyFont="1" applyBorder="1" applyAlignment="1">
      <alignment horizontal="left" vertical="top" wrapText="1"/>
    </xf>
    <xf numFmtId="0" fontId="5" fillId="0" borderId="2" xfId="4" applyBorder="1" applyAlignment="1">
      <alignment horizontal="left" vertical="top" wrapText="1"/>
    </xf>
    <xf numFmtId="0" fontId="8" fillId="6" borderId="1" xfId="4" applyFont="1" applyFill="1" applyBorder="1">
      <alignment vertical="top"/>
    </xf>
    <xf numFmtId="0" fontId="11" fillId="0" borderId="0" xfId="4" applyFont="1" applyFill="1">
      <alignment vertical="top"/>
    </xf>
    <xf numFmtId="0" fontId="5" fillId="7" borderId="0" xfId="4" applyFill="1">
      <alignment vertical="top"/>
    </xf>
    <xf numFmtId="2" fontId="5" fillId="11" borderId="0" xfId="4" applyNumberFormat="1" applyFill="1">
      <alignment vertical="top"/>
    </xf>
    <xf numFmtId="1" fontId="5" fillId="0" borderId="0" xfId="4" applyNumberFormat="1" applyFill="1">
      <alignment vertical="top"/>
    </xf>
    <xf numFmtId="1" fontId="10" fillId="0" borderId="0" xfId="4" applyNumberFormat="1" applyFont="1" applyFill="1">
      <alignment vertical="top"/>
    </xf>
    <xf numFmtId="0" fontId="13" fillId="0" borderId="0" xfId="4" applyFont="1" applyFill="1">
      <alignment vertical="top"/>
    </xf>
    <xf numFmtId="0" fontId="14" fillId="6" borderId="1" xfId="4" applyFont="1" applyFill="1" applyBorder="1">
      <alignment vertical="top"/>
    </xf>
    <xf numFmtId="49" fontId="7" fillId="20" borderId="2" xfId="6" applyFont="1" applyBorder="1">
      <alignment vertical="top"/>
    </xf>
    <xf numFmtId="0" fontId="9" fillId="5" borderId="1" xfId="5" applyNumberFormat="1">
      <alignment vertical="top"/>
    </xf>
    <xf numFmtId="0" fontId="15" fillId="0" borderId="0" xfId="4" applyFont="1">
      <alignment vertical="top"/>
    </xf>
    <xf numFmtId="0" fontId="7" fillId="9" borderId="0" xfId="4" applyFont="1" applyFill="1">
      <alignment vertical="top"/>
    </xf>
    <xf numFmtId="0" fontId="5" fillId="15" borderId="0" xfId="4" applyFill="1">
      <alignment vertical="top"/>
    </xf>
    <xf numFmtId="49" fontId="7" fillId="20" borderId="0" xfId="6" applyFont="1" applyBorder="1">
      <alignment vertical="top"/>
    </xf>
    <xf numFmtId="0" fontId="5" fillId="0" borderId="0" xfId="4" applyFont="1">
      <alignment vertical="top"/>
    </xf>
    <xf numFmtId="49" fontId="5" fillId="20" borderId="2" xfId="6" applyFont="1" applyBorder="1">
      <alignment vertical="top"/>
    </xf>
    <xf numFmtId="0" fontId="5" fillId="0" borderId="2" xfId="4" applyFont="1" applyBorder="1">
      <alignment vertical="top"/>
    </xf>
    <xf numFmtId="0" fontId="7" fillId="0" borderId="0" xfId="4" applyFont="1" applyFill="1" applyBorder="1" applyAlignment="1">
      <alignment horizontal="left" vertical="top" wrapText="1"/>
    </xf>
    <xf numFmtId="49" fontId="6" fillId="0" borderId="0" xfId="7">
      <alignment vertical="top"/>
    </xf>
    <xf numFmtId="49" fontId="10" fillId="0" borderId="0" xfId="15">
      <alignment vertical="top"/>
    </xf>
    <xf numFmtId="0" fontId="5" fillId="0" borderId="2" xfId="4" applyFont="1" applyBorder="1" applyAlignment="1">
      <alignment horizontal="left" vertical="top" wrapText="1"/>
    </xf>
    <xf numFmtId="41" fontId="5" fillId="13" borderId="0" xfId="8">
      <alignment vertical="top"/>
    </xf>
    <xf numFmtId="0" fontId="7" fillId="12" borderId="0" xfId="4" applyFont="1" applyFill="1">
      <alignment vertical="top"/>
    </xf>
    <xf numFmtId="41" fontId="5" fillId="10" borderId="0" xfId="10">
      <alignment vertical="top"/>
    </xf>
    <xf numFmtId="41" fontId="5" fillId="8" borderId="0" xfId="12">
      <alignment vertical="top"/>
    </xf>
    <xf numFmtId="41" fontId="5" fillId="47" borderId="0" xfId="11">
      <alignment vertical="top"/>
    </xf>
    <xf numFmtId="41" fontId="5" fillId="47" borderId="2" xfId="11" applyBorder="1">
      <alignment vertical="top"/>
    </xf>
    <xf numFmtId="43" fontId="13" fillId="0" borderId="0" xfId="63" applyFont="1" applyFill="1">
      <alignment vertical="top"/>
    </xf>
    <xf numFmtId="0" fontId="5" fillId="0" borderId="2" xfId="4" applyFont="1" applyBorder="1" applyAlignment="1">
      <alignment horizontal="left" vertical="top" wrapText="1"/>
    </xf>
    <xf numFmtId="41" fontId="5" fillId="46" borderId="0" xfId="65">
      <alignment vertical="top"/>
    </xf>
    <xf numFmtId="41" fontId="5" fillId="14" borderId="0" xfId="13">
      <alignment vertical="top"/>
    </xf>
    <xf numFmtId="41" fontId="5" fillId="12" borderId="0" xfId="9">
      <alignment vertical="top"/>
    </xf>
    <xf numFmtId="0" fontId="5" fillId="0" borderId="0" xfId="4" applyAlignment="1">
      <alignment horizontal="left" vertical="top"/>
    </xf>
    <xf numFmtId="164" fontId="5" fillId="14" borderId="0" xfId="64" applyNumberFormat="1" applyFill="1">
      <alignment vertical="top"/>
    </xf>
    <xf numFmtId="49" fontId="6" fillId="20" borderId="1" xfId="6" applyFont="1">
      <alignment vertical="top"/>
    </xf>
    <xf numFmtId="49" fontId="6" fillId="20" borderId="1" xfId="6" applyAlignment="1">
      <alignment vertical="top" wrapText="1"/>
    </xf>
    <xf numFmtId="0" fontId="5" fillId="45" borderId="0" xfId="62" applyNumberFormat="1">
      <alignment vertical="top"/>
    </xf>
    <xf numFmtId="41" fontId="5" fillId="45" borderId="0" xfId="62" applyNumberFormat="1">
      <alignment vertical="top"/>
    </xf>
    <xf numFmtId="164" fontId="5" fillId="47" borderId="0" xfId="64" applyNumberFormat="1" applyFill="1">
      <alignment vertical="top"/>
    </xf>
    <xf numFmtId="0" fontId="28" fillId="0" borderId="0" xfId="0" applyFont="1">
      <alignment vertical="top"/>
    </xf>
    <xf numFmtId="10" fontId="5" fillId="47" borderId="0" xfId="11" applyNumberFormat="1">
      <alignment vertical="top"/>
    </xf>
    <xf numFmtId="0" fontId="0" fillId="0" borderId="0" xfId="0" applyFont="1" applyAlignment="1"/>
    <xf numFmtId="10" fontId="5" fillId="14" borderId="0" xfId="64" applyNumberFormat="1" applyFill="1">
      <alignment vertical="top"/>
    </xf>
    <xf numFmtId="165" fontId="5" fillId="0" borderId="0" xfId="4" applyNumberFormat="1">
      <alignment vertical="top"/>
    </xf>
    <xf numFmtId="41" fontId="5" fillId="0" borderId="0" xfId="4" applyNumberFormat="1">
      <alignment vertical="top"/>
    </xf>
    <xf numFmtId="0" fontId="5" fillId="0" borderId="0" xfId="4" applyFont="1" applyAlignment="1">
      <alignment horizontal="left" vertical="top"/>
    </xf>
    <xf numFmtId="0" fontId="5" fillId="0" borderId="0" xfId="4" applyFont="1" applyAlignment="1">
      <alignment vertical="top" wrapText="1"/>
    </xf>
    <xf numFmtId="0" fontId="0" fillId="0" borderId="0" xfId="0" applyAlignment="1"/>
    <xf numFmtId="0" fontId="10" fillId="0" borderId="0" xfId="4" applyFont="1" applyAlignment="1">
      <alignment vertical="top" wrapText="1"/>
    </xf>
    <xf numFmtId="10" fontId="5" fillId="0" borderId="0" xfId="4" applyNumberFormat="1">
      <alignment vertical="top"/>
    </xf>
    <xf numFmtId="10" fontId="5" fillId="47" borderId="0" xfId="66" applyFill="1">
      <alignment vertical="top"/>
    </xf>
    <xf numFmtId="0" fontId="1" fillId="0" borderId="0" xfId="0" applyFont="1" applyAlignment="1"/>
    <xf numFmtId="10" fontId="5" fillId="12" borderId="0" xfId="11" applyNumberFormat="1" applyFill="1">
      <alignment vertical="top"/>
    </xf>
    <xf numFmtId="10" fontId="5" fillId="14" borderId="0" xfId="64" applyFill="1">
      <alignment vertical="top"/>
    </xf>
    <xf numFmtId="166" fontId="5" fillId="0" borderId="0" xfId="4" applyNumberFormat="1">
      <alignment vertical="top"/>
    </xf>
    <xf numFmtId="0" fontId="15" fillId="0" borderId="0" xfId="4" applyFont="1" applyAlignment="1">
      <alignment vertical="top" wrapText="1"/>
    </xf>
    <xf numFmtId="0" fontId="5" fillId="0" borderId="0" xfId="4" applyFont="1" applyFill="1" applyAlignment="1">
      <alignment vertical="top" wrapText="1"/>
    </xf>
    <xf numFmtId="0" fontId="5" fillId="0" borderId="0" xfId="4" applyFont="1" applyAlignment="1">
      <alignment vertical="top"/>
    </xf>
    <xf numFmtId="41" fontId="5" fillId="12" borderId="0" xfId="4" applyNumberFormat="1" applyFill="1">
      <alignment vertical="top"/>
    </xf>
    <xf numFmtId="0" fontId="6" fillId="20" borderId="1" xfId="6" applyNumberFormat="1">
      <alignment vertical="top"/>
    </xf>
    <xf numFmtId="0" fontId="5" fillId="0" borderId="15" xfId="4" applyBorder="1">
      <alignment vertical="top"/>
    </xf>
    <xf numFmtId="0" fontId="5" fillId="0" borderId="16" xfId="4" applyBorder="1">
      <alignment vertical="top"/>
    </xf>
    <xf numFmtId="0" fontId="5" fillId="0" borderId="17" xfId="4" applyBorder="1">
      <alignment vertical="top"/>
    </xf>
    <xf numFmtId="0" fontId="5" fillId="0" borderId="18" xfId="4" applyBorder="1">
      <alignment vertical="top"/>
    </xf>
    <xf numFmtId="0" fontId="5" fillId="48" borderId="0" xfId="4" applyFill="1" applyBorder="1" applyAlignment="1">
      <alignment horizontal="center" vertical="top"/>
    </xf>
    <xf numFmtId="0" fontId="5" fillId="0" borderId="19" xfId="4" applyBorder="1">
      <alignment vertical="top"/>
    </xf>
    <xf numFmtId="0" fontId="5" fillId="0" borderId="20" xfId="4" applyBorder="1">
      <alignment vertical="top"/>
    </xf>
    <xf numFmtId="0" fontId="5" fillId="0" borderId="21" xfId="4" applyBorder="1">
      <alignment vertical="top"/>
    </xf>
    <xf numFmtId="0" fontId="5" fillId="0" borderId="22" xfId="4" applyBorder="1">
      <alignment vertical="top"/>
    </xf>
    <xf numFmtId="0" fontId="5" fillId="12" borderId="0" xfId="4" applyFill="1" applyBorder="1" applyAlignment="1">
      <alignment horizontal="center" vertical="top"/>
    </xf>
    <xf numFmtId="0" fontId="5" fillId="13" borderId="0" xfId="4" applyFill="1" applyBorder="1" applyAlignment="1">
      <alignment horizontal="center" vertical="top"/>
    </xf>
    <xf numFmtId="0" fontId="5" fillId="47" borderId="0" xfId="4" applyFill="1" applyBorder="1" applyAlignment="1">
      <alignment horizontal="center" vertical="top"/>
    </xf>
    <xf numFmtId="0" fontId="5" fillId="0" borderId="3" xfId="4" applyBorder="1">
      <alignment vertical="top"/>
    </xf>
    <xf numFmtId="0" fontId="5" fillId="0" borderId="4" xfId="4" applyBorder="1">
      <alignment vertical="top"/>
    </xf>
    <xf numFmtId="0" fontId="5" fillId="0" borderId="5" xfId="4" applyBorder="1">
      <alignment vertical="top"/>
    </xf>
    <xf numFmtId="0" fontId="5" fillId="0" borderId="23" xfId="4" applyBorder="1">
      <alignment vertical="top"/>
    </xf>
    <xf numFmtId="0" fontId="5" fillId="0" borderId="24" xfId="4" applyBorder="1">
      <alignment vertical="top"/>
    </xf>
    <xf numFmtId="0" fontId="5" fillId="0" borderId="25" xfId="4" applyBorder="1">
      <alignment vertical="top"/>
    </xf>
    <xf numFmtId="0" fontId="5" fillId="0" borderId="26" xfId="4" applyBorder="1">
      <alignment vertical="top"/>
    </xf>
    <xf numFmtId="0" fontId="5" fillId="0" borderId="27" xfId="4" applyBorder="1">
      <alignment vertical="top"/>
    </xf>
    <xf numFmtId="0" fontId="5" fillId="12" borderId="0" xfId="4" applyFont="1" applyFill="1" applyBorder="1" applyAlignment="1">
      <alignment horizontal="center" vertical="top"/>
    </xf>
    <xf numFmtId="10" fontId="5" fillId="0" borderId="0" xfId="64">
      <alignment vertical="top"/>
    </xf>
    <xf numFmtId="41" fontId="1" fillId="47" borderId="0" xfId="12" applyFont="1" applyFill="1">
      <alignment vertical="top"/>
    </xf>
    <xf numFmtId="41" fontId="1" fillId="47" borderId="0" xfId="11" applyFont="1">
      <alignment vertical="top"/>
    </xf>
    <xf numFmtId="0" fontId="32" fillId="0" borderId="0" xfId="0" applyFont="1">
      <alignment vertical="top"/>
    </xf>
    <xf numFmtId="41" fontId="5" fillId="14" borderId="0" xfId="10" applyFill="1">
      <alignment vertical="top"/>
    </xf>
    <xf numFmtId="0" fontId="5" fillId="0" borderId="0" xfId="4" applyAlignment="1">
      <alignment vertical="top" wrapText="1"/>
    </xf>
    <xf numFmtId="41" fontId="5" fillId="13" borderId="0" xfId="13" applyFill="1">
      <alignment vertical="top"/>
    </xf>
    <xf numFmtId="0" fontId="5" fillId="0" borderId="0" xfId="4" applyFill="1" applyBorder="1">
      <alignment vertical="top"/>
    </xf>
    <xf numFmtId="0" fontId="6" fillId="0" borderId="0" xfId="4" applyFont="1" applyFill="1">
      <alignment vertical="top"/>
    </xf>
    <xf numFmtId="0" fontId="5" fillId="49" borderId="0" xfId="4" applyFill="1">
      <alignment vertical="top"/>
    </xf>
    <xf numFmtId="0" fontId="5" fillId="0" borderId="2" xfId="4" applyBorder="1" applyAlignment="1">
      <alignment vertical="top" wrapText="1"/>
    </xf>
    <xf numFmtId="0" fontId="5" fillId="0" borderId="0" xfId="4" applyFont="1" applyFill="1" applyBorder="1" applyAlignment="1">
      <alignment horizontal="left" vertical="top" wrapText="1"/>
    </xf>
    <xf numFmtId="0" fontId="7" fillId="0" borderId="0" xfId="4" applyFont="1" applyFill="1" applyBorder="1" applyAlignment="1">
      <alignment horizontal="left" vertical="top" wrapText="1"/>
    </xf>
  </cellXfs>
  <cellStyles count="68">
    <cellStyle name="_kop1 Bladtitel" xfId="5" xr:uid="{00000000-0005-0000-0000-000000000000}"/>
    <cellStyle name="_kop2 Bloktitel" xfId="6" xr:uid="{00000000-0005-0000-0000-000001000000}"/>
    <cellStyle name="_kop3 Subkop" xfId="7" xr:uid="{00000000-0005-0000-0000-000002000000}"/>
    <cellStyle name="20% - Accent1" xfId="37" builtinId="30" hidden="1"/>
    <cellStyle name="20% - Accent2" xfId="41" builtinId="34" hidden="1"/>
    <cellStyle name="20% - Accent3" xfId="45" builtinId="38" hidden="1"/>
    <cellStyle name="20% - Accent4" xfId="49" builtinId="42" hidden="1"/>
    <cellStyle name="20% - Accent5" xfId="53" builtinId="46" hidden="1"/>
    <cellStyle name="20% - Accent6" xfId="57" builtinId="50" hidden="1"/>
    <cellStyle name="40% - Accent1" xfId="38" builtinId="31" hidden="1"/>
    <cellStyle name="40% - Accent2" xfId="42" builtinId="35" hidden="1"/>
    <cellStyle name="40% - Accent3" xfId="46" builtinId="39" hidden="1"/>
    <cellStyle name="40% - Accent4" xfId="50" builtinId="43" hidden="1"/>
    <cellStyle name="40% - Accent5" xfId="54" builtinId="47" hidden="1"/>
    <cellStyle name="40% - Accent6" xfId="58" builtinId="51" hidden="1"/>
    <cellStyle name="60% - Accent1" xfId="39" builtinId="32" hidden="1"/>
    <cellStyle name="60% - Accent2" xfId="43" builtinId="36" hidden="1"/>
    <cellStyle name="60% - Accent3" xfId="47" builtinId="40" hidden="1"/>
    <cellStyle name="60% - Accent4" xfId="51" builtinId="44" hidden="1"/>
    <cellStyle name="60% - Accent5" xfId="55" builtinId="48" hidden="1"/>
    <cellStyle name="60% - Accent6" xfId="59" builtinId="52" hidden="1"/>
    <cellStyle name="Accent1" xfId="36" builtinId="29" hidden="1"/>
    <cellStyle name="Accent2" xfId="40" builtinId="33" hidden="1"/>
    <cellStyle name="Accent3" xfId="44" builtinId="37" hidden="1"/>
    <cellStyle name="Accent4" xfId="48" builtinId="41" hidden="1"/>
    <cellStyle name="Accent5" xfId="52" builtinId="45" hidden="1"/>
    <cellStyle name="Accent6" xfId="56" builtinId="49" hidden="1"/>
    <cellStyle name="Berekening" xfId="18" builtinId="22" hidden="1"/>
    <cellStyle name="Cel (tussen)resultaat" xfId="8" xr:uid="{00000000-0005-0000-0000-00001C000000}"/>
    <cellStyle name="Cel Berekening" xfId="9" xr:uid="{00000000-0005-0000-0000-00001D000000}"/>
    <cellStyle name="Cel Berekening 2" xfId="67" xr:uid="{00000000-0005-0000-0000-00001E000000}"/>
    <cellStyle name="Cel Bijzonderheid" xfId="10" xr:uid="{00000000-0005-0000-0000-00001F000000}"/>
    <cellStyle name="Cel Dataverzoek" xfId="65" xr:uid="{00000000-0005-0000-0000-000020000000}"/>
    <cellStyle name="Cel Input" xfId="11" xr:uid="{00000000-0005-0000-0000-000021000000}"/>
    <cellStyle name="Cel n.v.t. (leeg)" xfId="62" xr:uid="{00000000-0005-0000-0000-000022000000}"/>
    <cellStyle name="Cel PM extern" xfId="12" xr:uid="{00000000-0005-0000-0000-000023000000}"/>
    <cellStyle name="Cel Verwijzing" xfId="13" xr:uid="{00000000-0005-0000-0000-000024000000}"/>
    <cellStyle name="Controlecel" xfId="20" builtinId="23" hidden="1"/>
    <cellStyle name="Gekoppelde cel" xfId="19" builtinId="24" hidden="1"/>
    <cellStyle name="Gevolgde hyperlink" xfId="60" builtinId="9" hidden="1"/>
    <cellStyle name="Goed" xfId="1" builtinId="26" hidden="1"/>
    <cellStyle name="Hyperlink" xfId="22" builtinId="8" hidden="1"/>
    <cellStyle name="Hyperlink" xfId="61" builtinId="8" customBuiltin="1"/>
    <cellStyle name="Invoer" xfId="16" builtinId="20" hidden="1"/>
    <cellStyle name="Komma" xfId="23" builtinId="3" hidden="1"/>
    <cellStyle name="Komma" xfId="63" builtinId="3"/>
    <cellStyle name="Komma [0]" xfId="24" builtinId="6" hidden="1"/>
    <cellStyle name="Kop 1" xfId="29" builtinId="16" hidden="1"/>
    <cellStyle name="Kop 2" xfId="30" builtinId="17" hidden="1"/>
    <cellStyle name="Kop 3" xfId="31" builtinId="18" hidden="1"/>
    <cellStyle name="Kop 4" xfId="32" builtinId="19" hidden="1"/>
    <cellStyle name="Neutraal" xfId="3" builtinId="28" hidden="1"/>
    <cellStyle name="Notitie" xfId="21" builtinId="10" hidden="1"/>
    <cellStyle name="Ongeldig" xfId="2" builtinId="27" hidden="1"/>
    <cellStyle name="Opm. INTERN" xfId="14" xr:uid="{00000000-0005-0000-0000-000036000000}"/>
    <cellStyle name="Procent" xfId="27" builtinId="5" hidden="1"/>
    <cellStyle name="Procent" xfId="64" builtinId="5"/>
    <cellStyle name="Procent 2" xfId="66" xr:uid="{00000000-0005-0000-0000-000039000000}"/>
    <cellStyle name="Standaard" xfId="0" builtinId="0" customBuiltin="1"/>
    <cellStyle name="Standaard ACM-DE" xfId="4" xr:uid="{00000000-0005-0000-0000-00003B000000}"/>
    <cellStyle name="Titel" xfId="28" builtinId="15" hidden="1"/>
    <cellStyle name="Toelichting" xfId="15" xr:uid="{00000000-0005-0000-0000-00003D000000}"/>
    <cellStyle name="Totaal" xfId="35" builtinId="25" hidden="1"/>
    <cellStyle name="Uitvoer" xfId="17" builtinId="21" hidden="1"/>
    <cellStyle name="Valuta" xfId="25" builtinId="4" hidden="1"/>
    <cellStyle name="Valuta [0]" xfId="26" builtinId="7" hidden="1"/>
    <cellStyle name="Verklarende tekst" xfId="34" builtinId="53" hidden="1"/>
    <cellStyle name="Waarschuwingstekst" xfId="33" builtinId="11" hidden="1"/>
  </cellStyles>
  <dxfs count="0"/>
  <tableStyles count="0" defaultTableStyle="TableStyleMedium2" defaultPivotStyle="PivotStyleLight16"/>
  <colors>
    <mruColors>
      <color rgb="FFE1FFE1"/>
      <color rgb="FFCCFFCC"/>
      <color rgb="FFCCFFFF"/>
      <color rgb="FFFFFFCC"/>
      <color rgb="FFFFCC99"/>
      <color rgb="FFFFCCFF"/>
      <color rgb="FF99FF99"/>
      <color rgb="FFCCC8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49697</xdr:colOff>
      <xdr:row>22</xdr:row>
      <xdr:rowOff>91588</xdr:rowOff>
    </xdr:from>
    <xdr:to>
      <xdr:col>9</xdr:col>
      <xdr:colOff>1351447</xdr:colOff>
      <xdr:row>22</xdr:row>
      <xdr:rowOff>91589</xdr:rowOff>
    </xdr:to>
    <xdr:cxnSp macro="">
      <xdr:nvCxnSpPr>
        <xdr:cNvPr id="2" name="Straight Arrow Connector 17">
          <a:extLst>
            <a:ext uri="{FF2B5EF4-FFF2-40B4-BE49-F238E27FC236}">
              <a16:creationId xmlns:a16="http://schemas.microsoft.com/office/drawing/2014/main" id="{00000000-0008-0000-0300-000002000000}"/>
            </a:ext>
          </a:extLst>
        </xdr:cNvPr>
        <xdr:cNvCxnSpPr/>
      </xdr:nvCxnSpPr>
      <xdr:spPr>
        <a:xfrm>
          <a:off x="9160079" y="3610235"/>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165366</xdr:colOff>
      <xdr:row>23</xdr:row>
      <xdr:rowOff>33618</xdr:rowOff>
    </xdr:from>
    <xdr:to>
      <xdr:col>9</xdr:col>
      <xdr:colOff>1333500</xdr:colOff>
      <xdr:row>27</xdr:row>
      <xdr:rowOff>42103</xdr:rowOff>
    </xdr:to>
    <xdr:cxnSp macro="">
      <xdr:nvCxnSpPr>
        <xdr:cNvPr id="3" name="Straight Arrow Connector 17">
          <a:extLst>
            <a:ext uri="{FF2B5EF4-FFF2-40B4-BE49-F238E27FC236}">
              <a16:creationId xmlns:a16="http://schemas.microsoft.com/office/drawing/2014/main" id="{00000000-0008-0000-0300-000003000000}"/>
            </a:ext>
          </a:extLst>
        </xdr:cNvPr>
        <xdr:cNvCxnSpPr/>
      </xdr:nvCxnSpPr>
      <xdr:spPr>
        <a:xfrm flipV="1">
          <a:off x="9096454" y="3709147"/>
          <a:ext cx="1347428" cy="63601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22412</xdr:colOff>
      <xdr:row>22</xdr:row>
      <xdr:rowOff>100853</xdr:rowOff>
    </xdr:from>
    <xdr:to>
      <xdr:col>5</xdr:col>
      <xdr:colOff>1310626</xdr:colOff>
      <xdr:row>27</xdr:row>
      <xdr:rowOff>85193</xdr:rowOff>
    </xdr:to>
    <xdr:cxnSp macro="">
      <xdr:nvCxnSpPr>
        <xdr:cNvPr id="4" name="Straight Arrow Connector 17">
          <a:extLst>
            <a:ext uri="{FF2B5EF4-FFF2-40B4-BE49-F238E27FC236}">
              <a16:creationId xmlns:a16="http://schemas.microsoft.com/office/drawing/2014/main" id="{00000000-0008-0000-0300-000004000000}"/>
            </a:ext>
          </a:extLst>
        </xdr:cNvPr>
        <xdr:cNvCxnSpPr/>
      </xdr:nvCxnSpPr>
      <xdr:spPr>
        <a:xfrm>
          <a:off x="4684059" y="3619500"/>
          <a:ext cx="1288214" cy="768752"/>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33618</xdr:colOff>
      <xdr:row>22</xdr:row>
      <xdr:rowOff>89648</xdr:rowOff>
    </xdr:from>
    <xdr:to>
      <xdr:col>5</xdr:col>
      <xdr:colOff>1335368</xdr:colOff>
      <xdr:row>22</xdr:row>
      <xdr:rowOff>89649</xdr:rowOff>
    </xdr:to>
    <xdr:cxnSp macro="">
      <xdr:nvCxnSpPr>
        <xdr:cNvPr id="6" name="Straight Arrow Connector 17">
          <a:extLst>
            <a:ext uri="{FF2B5EF4-FFF2-40B4-BE49-F238E27FC236}">
              <a16:creationId xmlns:a16="http://schemas.microsoft.com/office/drawing/2014/main" id="{00000000-0008-0000-0300-000006000000}"/>
            </a:ext>
          </a:extLst>
        </xdr:cNvPr>
        <xdr:cNvCxnSpPr/>
      </xdr:nvCxnSpPr>
      <xdr:spPr>
        <a:xfrm>
          <a:off x="4695265" y="3608295"/>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22412</xdr:colOff>
      <xdr:row>22</xdr:row>
      <xdr:rowOff>89647</xdr:rowOff>
    </xdr:from>
    <xdr:to>
      <xdr:col>13</xdr:col>
      <xdr:colOff>1324162</xdr:colOff>
      <xdr:row>22</xdr:row>
      <xdr:rowOff>89648</xdr:rowOff>
    </xdr:to>
    <xdr:cxnSp macro="">
      <xdr:nvCxnSpPr>
        <xdr:cNvPr id="9" name="Straight Arrow Connector 17">
          <a:extLst>
            <a:ext uri="{FF2B5EF4-FFF2-40B4-BE49-F238E27FC236}">
              <a16:creationId xmlns:a16="http://schemas.microsoft.com/office/drawing/2014/main" id="{00000000-0008-0000-0300-000009000000}"/>
            </a:ext>
          </a:extLst>
        </xdr:cNvPr>
        <xdr:cNvCxnSpPr/>
      </xdr:nvCxnSpPr>
      <xdr:spPr>
        <a:xfrm>
          <a:off x="13581530" y="3608294"/>
          <a:ext cx="1301750" cy="1"/>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13607</xdr:colOff>
      <xdr:row>36</xdr:row>
      <xdr:rowOff>54429</xdr:rowOff>
    </xdr:from>
    <xdr:to>
      <xdr:col>10</xdr:col>
      <xdr:colOff>11206</xdr:colOff>
      <xdr:row>36</xdr:row>
      <xdr:rowOff>56029</xdr:rowOff>
    </xdr:to>
    <xdr:cxnSp macro="">
      <xdr:nvCxnSpPr>
        <xdr:cNvPr id="12" name="Rechte verbindingslijn met pijl 11">
          <a:extLst>
            <a:ext uri="{FF2B5EF4-FFF2-40B4-BE49-F238E27FC236}">
              <a16:creationId xmlns:a16="http://schemas.microsoft.com/office/drawing/2014/main" id="{00000000-0008-0000-0300-00000C000000}"/>
            </a:ext>
          </a:extLst>
        </xdr:cNvPr>
        <xdr:cNvCxnSpPr/>
      </xdr:nvCxnSpPr>
      <xdr:spPr>
        <a:xfrm>
          <a:off x="9123989" y="7024488"/>
          <a:ext cx="1375923" cy="160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46</xdr:row>
      <xdr:rowOff>68035</xdr:rowOff>
    </xdr:from>
    <xdr:to>
      <xdr:col>6</xdr:col>
      <xdr:colOff>-1</xdr:colOff>
      <xdr:row>46</xdr:row>
      <xdr:rowOff>68035</xdr:rowOff>
    </xdr:to>
    <xdr:cxnSp macro="">
      <xdr:nvCxnSpPr>
        <xdr:cNvPr id="13" name="Rechte verbindingslijn met pijl 12">
          <a:extLst>
            <a:ext uri="{FF2B5EF4-FFF2-40B4-BE49-F238E27FC236}">
              <a16:creationId xmlns:a16="http://schemas.microsoft.com/office/drawing/2014/main" id="{00000000-0008-0000-0300-00000D000000}"/>
            </a:ext>
          </a:extLst>
        </xdr:cNvPr>
        <xdr:cNvCxnSpPr/>
      </xdr:nvCxnSpPr>
      <xdr:spPr>
        <a:xfrm>
          <a:off x="4667250" y="11802835"/>
          <a:ext cx="138112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0</xdr:colOff>
      <xdr:row>36</xdr:row>
      <xdr:rowOff>95249</xdr:rowOff>
    </xdr:from>
    <xdr:to>
      <xdr:col>6</xdr:col>
      <xdr:colOff>-1</xdr:colOff>
      <xdr:row>36</xdr:row>
      <xdr:rowOff>95249</xdr:rowOff>
    </xdr:to>
    <xdr:cxnSp macro="">
      <xdr:nvCxnSpPr>
        <xdr:cNvPr id="14" name="Rechte verbindingslijn met pijl 13">
          <a:extLst>
            <a:ext uri="{FF2B5EF4-FFF2-40B4-BE49-F238E27FC236}">
              <a16:creationId xmlns:a16="http://schemas.microsoft.com/office/drawing/2014/main" id="{00000000-0008-0000-0300-00000E000000}"/>
            </a:ext>
          </a:extLst>
        </xdr:cNvPr>
        <xdr:cNvCxnSpPr/>
      </xdr:nvCxnSpPr>
      <xdr:spPr>
        <a:xfrm>
          <a:off x="4667250" y="10210799"/>
          <a:ext cx="1381124"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2503715</xdr:colOff>
      <xdr:row>40</xdr:row>
      <xdr:rowOff>27214</xdr:rowOff>
    </xdr:from>
    <xdr:to>
      <xdr:col>8</xdr:col>
      <xdr:colOff>108857</xdr:colOff>
      <xdr:row>42</xdr:row>
      <xdr:rowOff>-1</xdr:rowOff>
    </xdr:to>
    <xdr:sp macro="" textlink="">
      <xdr:nvSpPr>
        <xdr:cNvPr id="16" name="Tekstvak 15">
          <a:extLst>
            <a:ext uri="{FF2B5EF4-FFF2-40B4-BE49-F238E27FC236}">
              <a16:creationId xmlns:a16="http://schemas.microsoft.com/office/drawing/2014/main" id="{00000000-0008-0000-0300-000010000000}"/>
            </a:ext>
          </a:extLst>
        </xdr:cNvPr>
        <xdr:cNvSpPr txBox="1"/>
      </xdr:nvSpPr>
      <xdr:spPr>
        <a:xfrm>
          <a:off x="8733065" y="10790464"/>
          <a:ext cx="319767" cy="2966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800"/>
            <a:t>*</a:t>
          </a:r>
          <a:endParaRPr lang="nl-NL" sz="1100"/>
        </a:p>
      </xdr:txBody>
    </xdr:sp>
    <xdr:clientData/>
  </xdr:twoCellAnchor>
  <xdr:twoCellAnchor>
    <xdr:from>
      <xdr:col>1</xdr:col>
      <xdr:colOff>1074964</xdr:colOff>
      <xdr:row>49</xdr:row>
      <xdr:rowOff>81643</xdr:rowOff>
    </xdr:from>
    <xdr:to>
      <xdr:col>2</xdr:col>
      <xdr:colOff>95250</xdr:colOff>
      <xdr:row>51</xdr:row>
      <xdr:rowOff>40822</xdr:rowOff>
    </xdr:to>
    <xdr:sp macro="" textlink="">
      <xdr:nvSpPr>
        <xdr:cNvPr id="17" name="Tekstvak 16">
          <a:extLst>
            <a:ext uri="{FF2B5EF4-FFF2-40B4-BE49-F238E27FC236}">
              <a16:creationId xmlns:a16="http://schemas.microsoft.com/office/drawing/2014/main" id="{00000000-0008-0000-0300-000011000000}"/>
            </a:ext>
          </a:extLst>
        </xdr:cNvPr>
        <xdr:cNvSpPr txBox="1"/>
      </xdr:nvSpPr>
      <xdr:spPr>
        <a:xfrm flipH="1">
          <a:off x="1389289" y="12302218"/>
          <a:ext cx="296636" cy="2925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800"/>
            <a:t>*</a:t>
          </a:r>
          <a:endParaRPr lang="nl-NL" sz="1100"/>
        </a:p>
      </xdr:txBody>
    </xdr:sp>
    <xdr:clientData/>
  </xdr:twoCellAnchor>
  <xdr:twoCellAnchor>
    <xdr:from>
      <xdr:col>7</xdr:col>
      <xdr:colOff>1360715</xdr:colOff>
      <xdr:row>42</xdr:row>
      <xdr:rowOff>149678</xdr:rowOff>
    </xdr:from>
    <xdr:to>
      <xdr:col>7</xdr:col>
      <xdr:colOff>1360716</xdr:colOff>
      <xdr:row>45</xdr:row>
      <xdr:rowOff>13607</xdr:rowOff>
    </xdr:to>
    <xdr:cxnSp macro="">
      <xdr:nvCxnSpPr>
        <xdr:cNvPr id="18" name="Rechte verbindingslijn met pijl 17">
          <a:extLst>
            <a:ext uri="{FF2B5EF4-FFF2-40B4-BE49-F238E27FC236}">
              <a16:creationId xmlns:a16="http://schemas.microsoft.com/office/drawing/2014/main" id="{00000000-0008-0000-0300-000012000000}"/>
            </a:ext>
          </a:extLst>
        </xdr:cNvPr>
        <xdr:cNvCxnSpPr/>
      </xdr:nvCxnSpPr>
      <xdr:spPr>
        <a:xfrm flipH="1" flipV="1">
          <a:off x="7590065" y="11236778"/>
          <a:ext cx="1" cy="34970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11206</xdr:colOff>
      <xdr:row>41</xdr:row>
      <xdr:rowOff>100849</xdr:rowOff>
    </xdr:from>
    <xdr:to>
      <xdr:col>6</xdr:col>
      <xdr:colOff>11205</xdr:colOff>
      <xdr:row>41</xdr:row>
      <xdr:rowOff>100853</xdr:rowOff>
    </xdr:to>
    <xdr:cxnSp macro="">
      <xdr:nvCxnSpPr>
        <xdr:cNvPr id="19" name="Rechte verbindingslijn met pijl 18">
          <a:extLst>
            <a:ext uri="{FF2B5EF4-FFF2-40B4-BE49-F238E27FC236}">
              <a16:creationId xmlns:a16="http://schemas.microsoft.com/office/drawing/2014/main" id="{00000000-0008-0000-0300-000013000000}"/>
            </a:ext>
          </a:extLst>
        </xdr:cNvPr>
        <xdr:cNvCxnSpPr/>
      </xdr:nvCxnSpPr>
      <xdr:spPr>
        <a:xfrm flipH="1" flipV="1">
          <a:off x="4672853" y="7855320"/>
          <a:ext cx="1378323" cy="4"/>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156882</xdr:colOff>
      <xdr:row>37</xdr:row>
      <xdr:rowOff>33618</xdr:rowOff>
    </xdr:from>
    <xdr:to>
      <xdr:col>5</xdr:col>
      <xdr:colOff>1344706</xdr:colOff>
      <xdr:row>41</xdr:row>
      <xdr:rowOff>44823</xdr:rowOff>
    </xdr:to>
    <xdr:cxnSp macro="">
      <xdr:nvCxnSpPr>
        <xdr:cNvPr id="27" name="Rechte verbindingslijn met pijl 26">
          <a:extLst>
            <a:ext uri="{FF2B5EF4-FFF2-40B4-BE49-F238E27FC236}">
              <a16:creationId xmlns:a16="http://schemas.microsoft.com/office/drawing/2014/main" id="{00000000-0008-0000-0300-00001B000000}"/>
            </a:ext>
          </a:extLst>
        </xdr:cNvPr>
        <xdr:cNvCxnSpPr/>
      </xdr:nvCxnSpPr>
      <xdr:spPr>
        <a:xfrm flipV="1">
          <a:off x="4639235" y="7160559"/>
          <a:ext cx="1367118" cy="638735"/>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C8D9"/>
  </sheetPr>
  <dimension ref="B2:D42"/>
  <sheetViews>
    <sheetView showGridLines="0" tabSelected="1" zoomScale="85" zoomScaleNormal="85" workbookViewId="0">
      <pane ySplit="3" topLeftCell="A4" activePane="bottomLeft" state="frozen"/>
      <selection activeCell="O39" sqref="O39"/>
      <selection pane="bottomLeft" activeCell="A4" sqref="A4"/>
    </sheetView>
  </sheetViews>
  <sheetFormatPr defaultRowHeight="12.75" x14ac:dyDescent="0.2"/>
  <cols>
    <col min="1" max="1" width="4.7109375" style="2" customWidth="1"/>
    <col min="2" max="2" width="39.85546875" style="2" customWidth="1"/>
    <col min="3" max="3" width="91.85546875" style="2" customWidth="1"/>
    <col min="4" max="16384" width="9.140625" style="2"/>
  </cols>
  <sheetData>
    <row r="2" spans="2:3" s="8" customFormat="1" ht="18" x14ac:dyDescent="0.2">
      <c r="B2" s="8" t="s">
        <v>258</v>
      </c>
    </row>
    <row r="6" spans="2:3" x14ac:dyDescent="0.2">
      <c r="B6" s="3"/>
    </row>
    <row r="13" spans="2:3" s="9" customFormat="1" x14ac:dyDescent="0.2">
      <c r="B13" s="9" t="s">
        <v>0</v>
      </c>
    </row>
    <row r="14" spans="2:3" s="10" customFormat="1" x14ac:dyDescent="0.2"/>
    <row r="15" spans="2:3" x14ac:dyDescent="0.2">
      <c r="B15" s="11" t="s">
        <v>1</v>
      </c>
      <c r="C15" s="12" t="s">
        <v>257</v>
      </c>
    </row>
    <row r="16" spans="2:3" x14ac:dyDescent="0.2">
      <c r="B16" s="11" t="s">
        <v>2</v>
      </c>
      <c r="C16" s="12" t="s">
        <v>258</v>
      </c>
    </row>
    <row r="17" spans="2:4" x14ac:dyDescent="0.2">
      <c r="B17" s="11" t="s">
        <v>3</v>
      </c>
      <c r="C17" s="12" t="s">
        <v>259</v>
      </c>
    </row>
    <row r="18" spans="2:4" x14ac:dyDescent="0.2">
      <c r="B18" s="11" t="s">
        <v>4</v>
      </c>
      <c r="C18" s="12" t="s">
        <v>158</v>
      </c>
    </row>
    <row r="19" spans="2:4" x14ac:dyDescent="0.2">
      <c r="B19" s="11" t="s">
        <v>5</v>
      </c>
      <c r="C19" s="12" t="s">
        <v>260</v>
      </c>
    </row>
    <row r="20" spans="2:4" x14ac:dyDescent="0.2">
      <c r="B20" s="11" t="s">
        <v>6</v>
      </c>
      <c r="C20" s="12" t="s">
        <v>158</v>
      </c>
    </row>
    <row r="23" spans="2:4" s="9" customFormat="1" x14ac:dyDescent="0.2">
      <c r="B23" s="9" t="s">
        <v>7</v>
      </c>
    </row>
    <row r="25" spans="2:4" x14ac:dyDescent="0.2">
      <c r="B25" s="11" t="s">
        <v>8</v>
      </c>
      <c r="C25" s="12" t="s">
        <v>262</v>
      </c>
    </row>
    <row r="26" spans="2:4" x14ac:dyDescent="0.2">
      <c r="B26" s="41" t="s">
        <v>65</v>
      </c>
      <c r="C26" s="12" t="s">
        <v>262</v>
      </c>
    </row>
    <row r="27" spans="2:4" ht="25.5" x14ac:dyDescent="0.2">
      <c r="B27" s="11" t="s">
        <v>9</v>
      </c>
      <c r="C27" s="12" t="s">
        <v>262</v>
      </c>
    </row>
    <row r="28" spans="2:4" x14ac:dyDescent="0.2">
      <c r="B28" s="33" t="s">
        <v>63</v>
      </c>
      <c r="C28" s="12" t="s">
        <v>263</v>
      </c>
    </row>
    <row r="29" spans="2:4" x14ac:dyDescent="0.2">
      <c r="B29" s="11" t="s">
        <v>6</v>
      </c>
      <c r="C29" s="12" t="s">
        <v>158</v>
      </c>
    </row>
    <row r="31" spans="2:4" x14ac:dyDescent="0.2">
      <c r="B31" s="32" t="s">
        <v>10</v>
      </c>
    </row>
    <row r="32" spans="2:4" x14ac:dyDescent="0.2">
      <c r="B32" s="105" t="s">
        <v>64</v>
      </c>
      <c r="C32" s="106"/>
      <c r="D32" s="6"/>
    </row>
    <row r="33" spans="2:4" x14ac:dyDescent="0.2">
      <c r="B33" s="30"/>
      <c r="C33" s="30"/>
      <c r="D33" s="6"/>
    </row>
    <row r="42" spans="2:4" x14ac:dyDescent="0.2">
      <c r="B42" s="2" t="s">
        <v>99</v>
      </c>
    </row>
  </sheetData>
  <mergeCells count="1">
    <mergeCell ref="B32:C32"/>
  </mergeCells>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
  <sheetViews>
    <sheetView showGridLines="0" zoomScale="85" zoomScaleNormal="85" workbookViewId="0"/>
  </sheetViews>
  <sheetFormatPr defaultRowHeight="12.75" x14ac:dyDescent="0.2"/>
  <cols>
    <col min="1" max="16384" width="9.140625" style="25"/>
  </cols>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CC"/>
  </sheetPr>
  <dimension ref="A2:V134"/>
  <sheetViews>
    <sheetView showGridLines="0" zoomScale="85" zoomScaleNormal="85" workbookViewId="0"/>
  </sheetViews>
  <sheetFormatPr defaultRowHeight="12.75" x14ac:dyDescent="0.2"/>
  <cols>
    <col min="1" max="1" width="4.7109375" style="2" customWidth="1"/>
    <col min="2" max="2" width="64.85546875" style="2" customWidth="1"/>
    <col min="3" max="3" width="6" style="2" customWidth="1"/>
    <col min="4" max="4" width="10.5703125" style="2" customWidth="1"/>
    <col min="5" max="5" width="10.85546875" style="2" customWidth="1"/>
    <col min="6" max="6" width="13.7109375" style="2" customWidth="1"/>
    <col min="7" max="7" width="7.5703125" style="2" customWidth="1"/>
    <col min="8" max="8" width="13.7109375" style="2" customWidth="1"/>
    <col min="9" max="9" width="8.28515625" style="2" customWidth="1"/>
    <col min="10" max="10" width="13.7109375" style="2" customWidth="1"/>
    <col min="11" max="11" width="11.28515625" style="2" customWidth="1"/>
    <col min="12" max="12" width="18.85546875" style="2" customWidth="1"/>
    <col min="13" max="13" width="20.140625" style="2" customWidth="1"/>
    <col min="14" max="20" width="18.85546875" style="2" customWidth="1"/>
    <col min="21" max="21" width="4.42578125" style="2" customWidth="1"/>
    <col min="22" max="36" width="13.7109375" style="2" customWidth="1"/>
    <col min="37" max="16384" width="9.140625" style="2"/>
  </cols>
  <sheetData>
    <row r="2" spans="2:22" s="22" customFormat="1" ht="18" x14ac:dyDescent="0.2">
      <c r="B2" s="22" t="s">
        <v>187</v>
      </c>
    </row>
    <row r="4" spans="2:22" x14ac:dyDescent="0.2">
      <c r="B4" s="31" t="s">
        <v>53</v>
      </c>
      <c r="C4" s="1"/>
      <c r="D4" s="1"/>
    </row>
    <row r="5" spans="2:22" ht="204" x14ac:dyDescent="0.2">
      <c r="B5" s="69" t="s">
        <v>247</v>
      </c>
      <c r="C5" s="3"/>
      <c r="D5" s="3"/>
      <c r="H5" s="23"/>
    </row>
    <row r="6" spans="2:22" x14ac:dyDescent="0.2">
      <c r="B6" s="27"/>
      <c r="C6" s="3"/>
      <c r="D6" s="3"/>
      <c r="H6" s="23"/>
    </row>
    <row r="7" spans="2:22" x14ac:dyDescent="0.2">
      <c r="B7" s="32" t="s">
        <v>26</v>
      </c>
      <c r="C7" s="3"/>
      <c r="D7" s="3"/>
      <c r="H7" s="23"/>
    </row>
    <row r="8" spans="2:22" x14ac:dyDescent="0.2">
      <c r="B8" s="59"/>
      <c r="C8" s="3"/>
      <c r="D8" s="3"/>
    </row>
    <row r="10" spans="2:22" s="9" customFormat="1" x14ac:dyDescent="0.2">
      <c r="B10" s="9" t="s">
        <v>42</v>
      </c>
      <c r="F10" s="9" t="s">
        <v>23</v>
      </c>
      <c r="H10" s="9" t="s">
        <v>24</v>
      </c>
      <c r="J10" s="9" t="s">
        <v>45</v>
      </c>
      <c r="L10" s="9" t="s">
        <v>132</v>
      </c>
      <c r="M10" s="9" t="s">
        <v>133</v>
      </c>
      <c r="N10" s="9" t="s">
        <v>134</v>
      </c>
      <c r="O10" s="9" t="s">
        <v>135</v>
      </c>
      <c r="P10" s="9" t="s">
        <v>100</v>
      </c>
      <c r="Q10" s="9" t="s">
        <v>101</v>
      </c>
      <c r="R10" s="9" t="s">
        <v>102</v>
      </c>
      <c r="S10" s="9" t="s">
        <v>103</v>
      </c>
      <c r="T10" s="9" t="s">
        <v>104</v>
      </c>
      <c r="V10" s="9" t="s">
        <v>44</v>
      </c>
    </row>
    <row r="13" spans="2:22" s="9" customFormat="1" x14ac:dyDescent="0.2">
      <c r="B13" s="9" t="s">
        <v>177</v>
      </c>
    </row>
    <row r="15" spans="2:22" x14ac:dyDescent="0.2">
      <c r="B15" s="1" t="s">
        <v>136</v>
      </c>
    </row>
    <row r="16" spans="2:22" x14ac:dyDescent="0.2">
      <c r="B16" s="2" t="s">
        <v>137</v>
      </c>
      <c r="F16" s="2" t="s">
        <v>172</v>
      </c>
      <c r="M16" s="46">
        <f>Reguleringsparameters!M16</f>
        <v>2.1000000000000001E-2</v>
      </c>
      <c r="N16" s="46">
        <f>Reguleringsparameters!N16</f>
        <v>2.8000000000000001E-2</v>
      </c>
      <c r="O16" s="46">
        <f>Reguleringsparameters!O16</f>
        <v>7.0000000000000001E-3</v>
      </c>
    </row>
    <row r="17" spans="2:22" x14ac:dyDescent="0.2">
      <c r="B17" s="2" t="s">
        <v>143</v>
      </c>
      <c r="F17" s="2" t="s">
        <v>172</v>
      </c>
      <c r="P17" s="46">
        <f>Reguleringsparameters!P19</f>
        <v>1.7999999999999999E-2</v>
      </c>
      <c r="Q17" s="46">
        <f>Reguleringsparameters!Q19</f>
        <v>1.7999999999999999E-2</v>
      </c>
      <c r="R17" s="46">
        <f>Reguleringsparameters!R19</f>
        <v>1.7999999999999999E-2</v>
      </c>
      <c r="S17" s="46">
        <f>Reguleringsparameters!S19</f>
        <v>1.7999999999999999E-2</v>
      </c>
      <c r="T17" s="46">
        <f>Reguleringsparameters!T19</f>
        <v>1.7999999999999999E-2</v>
      </c>
    </row>
    <row r="19" spans="2:22" x14ac:dyDescent="0.2">
      <c r="B19" s="52" t="s">
        <v>244</v>
      </c>
    </row>
    <row r="20" spans="2:22" x14ac:dyDescent="0.2">
      <c r="B20" s="52"/>
    </row>
    <row r="21" spans="2:22" x14ac:dyDescent="0.2">
      <c r="B21" s="97" t="s">
        <v>225</v>
      </c>
    </row>
    <row r="22" spans="2:22" x14ac:dyDescent="0.2">
      <c r="B22" s="2" t="s">
        <v>141</v>
      </c>
      <c r="F22" s="2" t="s">
        <v>172</v>
      </c>
      <c r="H22" s="55">
        <f>Reguleringsparameters!H33</f>
        <v>-7.5913637800173461E-4</v>
      </c>
      <c r="V22" s="2" t="s">
        <v>188</v>
      </c>
    </row>
    <row r="23" spans="2:22" x14ac:dyDescent="0.2">
      <c r="B23" s="2" t="s">
        <v>142</v>
      </c>
      <c r="F23" s="2" t="s">
        <v>172</v>
      </c>
      <c r="H23" s="55">
        <f>Reguleringsparameters!H34</f>
        <v>-3.6868648042002516E-2</v>
      </c>
      <c r="V23" s="2" t="s">
        <v>188</v>
      </c>
    </row>
    <row r="25" spans="2:22" x14ac:dyDescent="0.2">
      <c r="B25" s="5" t="s">
        <v>226</v>
      </c>
    </row>
    <row r="26" spans="2:22" x14ac:dyDescent="0.2">
      <c r="B26" s="2" t="s">
        <v>141</v>
      </c>
      <c r="F26" s="2" t="s">
        <v>172</v>
      </c>
      <c r="H26" s="55">
        <f>Reguleringsparameters!H37</f>
        <v>2.5444272186812E-3</v>
      </c>
    </row>
    <row r="27" spans="2:22" x14ac:dyDescent="0.2">
      <c r="B27" s="2" t="s">
        <v>142</v>
      </c>
      <c r="F27" s="2" t="s">
        <v>172</v>
      </c>
      <c r="H27" s="55">
        <f>Reguleringsparameters!H38</f>
        <v>-3.1175556579387642E-2</v>
      </c>
      <c r="V27" s="2" t="s">
        <v>188</v>
      </c>
    </row>
    <row r="29" spans="2:22" s="9" customFormat="1" x14ac:dyDescent="0.2">
      <c r="B29" s="9" t="s">
        <v>190</v>
      </c>
    </row>
    <row r="31" spans="2:22" x14ac:dyDescent="0.2">
      <c r="B31" s="31" t="s">
        <v>191</v>
      </c>
    </row>
    <row r="32" spans="2:22" x14ac:dyDescent="0.2">
      <c r="B32" s="2" t="s">
        <v>82</v>
      </c>
      <c r="F32" s="2" t="s">
        <v>189</v>
      </c>
      <c r="L32" s="43">
        <f>'Investeringen 2018-2020'!J16</f>
        <v>2214420.3539343202</v>
      </c>
      <c r="M32" s="43">
        <f>'Investeringen 2018-2020'!J27</f>
        <v>707500.50839257089</v>
      </c>
      <c r="N32" s="43">
        <f>'Investeringen 2018-2020'!J38</f>
        <v>1226167.3368408841</v>
      </c>
    </row>
    <row r="33" spans="2:14" x14ac:dyDescent="0.2">
      <c r="B33" s="2" t="s">
        <v>87</v>
      </c>
      <c r="F33" s="2" t="s">
        <v>189</v>
      </c>
      <c r="L33" s="43">
        <f>'Investeringen 2018-2020'!J17</f>
        <v>808692.83148105314</v>
      </c>
      <c r="M33" s="43">
        <f>'Investeringen 2018-2020'!J28</f>
        <v>789263.94977622689</v>
      </c>
      <c r="N33" s="43">
        <f>'Investeringen 2018-2020'!J39</f>
        <v>603909.97960563283</v>
      </c>
    </row>
    <row r="34" spans="2:14" x14ac:dyDescent="0.2">
      <c r="B34" s="2" t="s">
        <v>86</v>
      </c>
      <c r="F34" s="2" t="s">
        <v>189</v>
      </c>
      <c r="L34" s="43">
        <f>'Investeringen 2018-2020'!J18</f>
        <v>275141.40706027293</v>
      </c>
      <c r="M34" s="43">
        <f>'Investeringen 2018-2020'!J29</f>
        <v>101482.79</v>
      </c>
      <c r="N34" s="43">
        <f>'Investeringen 2018-2020'!J40</f>
        <v>-97204</v>
      </c>
    </row>
    <row r="35" spans="2:14" x14ac:dyDescent="0.2">
      <c r="B35" s="2" t="s">
        <v>85</v>
      </c>
      <c r="F35" s="2" t="s">
        <v>189</v>
      </c>
      <c r="L35" s="43">
        <f>'Investeringen 2018-2020'!J19</f>
        <v>23468552.931860853</v>
      </c>
      <c r="M35" s="43">
        <f>'Investeringen 2018-2020'!J30</f>
        <v>20051871.263083689</v>
      </c>
      <c r="N35" s="43">
        <f>'Investeringen 2018-2020'!J41</f>
        <v>25398675.479138289</v>
      </c>
    </row>
    <row r="36" spans="2:14" x14ac:dyDescent="0.2">
      <c r="B36" s="2" t="s">
        <v>84</v>
      </c>
      <c r="F36" s="2" t="s">
        <v>189</v>
      </c>
      <c r="L36" s="43">
        <f>'Investeringen 2018-2020'!J20</f>
        <v>228553558.87746412</v>
      </c>
      <c r="M36" s="43">
        <f>'Investeringen 2018-2020'!J31</f>
        <v>235288165.53855288</v>
      </c>
      <c r="N36" s="43">
        <f>'Investeringen 2018-2020'!J42</f>
        <v>211273351.35428897</v>
      </c>
    </row>
    <row r="37" spans="2:14" x14ac:dyDescent="0.2">
      <c r="B37" s="2" t="s">
        <v>83</v>
      </c>
      <c r="F37" s="2" t="s">
        <v>189</v>
      </c>
      <c r="L37" s="43">
        <f>'Investeringen 2018-2020'!J21</f>
        <v>48452754.976434857</v>
      </c>
      <c r="M37" s="43">
        <f>'Investeringen 2018-2020'!J32</f>
        <v>46289896.93999771</v>
      </c>
      <c r="N37" s="43">
        <f>'Investeringen 2018-2020'!J43</f>
        <v>36877300.937266812</v>
      </c>
    </row>
    <row r="38" spans="2:14" x14ac:dyDescent="0.2">
      <c r="B38" s="2" t="s">
        <v>88</v>
      </c>
      <c r="F38" s="2" t="s">
        <v>189</v>
      </c>
      <c r="L38" s="43">
        <f>'Investeringen 2018-2020'!J22</f>
        <v>310459.08264935995</v>
      </c>
      <c r="M38" s="43">
        <f>'Investeringen 2018-2020'!J33</f>
        <v>150996.85380046722</v>
      </c>
      <c r="N38" s="43">
        <f>'Investeringen 2018-2020'!J44</f>
        <v>519760.92940000008</v>
      </c>
    </row>
    <row r="40" spans="2:14" x14ac:dyDescent="0.2">
      <c r="B40" s="2" t="s">
        <v>89</v>
      </c>
      <c r="F40" s="2" t="s">
        <v>189</v>
      </c>
      <c r="L40" s="43">
        <f>'Investeringen 2018-2020'!J24</f>
        <v>110427182.13999499</v>
      </c>
      <c r="M40" s="43">
        <f>'Investeringen 2018-2020'!J35</f>
        <v>124711653.6029589</v>
      </c>
      <c r="N40" s="43">
        <f>'Investeringen 2018-2020'!J46</f>
        <v>113186963.6971495</v>
      </c>
    </row>
    <row r="42" spans="2:14" x14ac:dyDescent="0.2">
      <c r="N42" s="56"/>
    </row>
    <row r="43" spans="2:14" s="9" customFormat="1" x14ac:dyDescent="0.2">
      <c r="B43" s="9" t="s">
        <v>144</v>
      </c>
    </row>
    <row r="45" spans="2:14" x14ac:dyDescent="0.2">
      <c r="B45" s="31" t="s">
        <v>194</v>
      </c>
    </row>
    <row r="46" spans="2:14" x14ac:dyDescent="0.2">
      <c r="B46" s="2" t="s">
        <v>82</v>
      </c>
      <c r="F46" s="2" t="s">
        <v>157</v>
      </c>
      <c r="L46" s="44">
        <f>L32*(1+$M$16)*(1+$N$16)*(1+$O$16)*(1-$H$22)^3</f>
        <v>2345832.9540527887</v>
      </c>
      <c r="M46" s="44">
        <f t="shared" ref="M46:M52" si="0">M32*(1+$N$16)*(1+$O$16)*(1-$H$22)^2</f>
        <v>733514.10390221572</v>
      </c>
      <c r="N46" s="44">
        <f t="shared" ref="N46:N52" si="1">N32*(1+$O$16)*(1-$H$22)</f>
        <v>1235687.8522272999</v>
      </c>
    </row>
    <row r="47" spans="2:14" x14ac:dyDescent="0.2">
      <c r="B47" s="2" t="s">
        <v>87</v>
      </c>
      <c r="F47" s="2" t="s">
        <v>157</v>
      </c>
      <c r="L47" s="44">
        <f t="shared" ref="L47:L52" si="2">L33*(1+$M$16)*(1+$N$16)*(1+$O$16)*(1-$H$22)^3</f>
        <v>856683.91298158187</v>
      </c>
      <c r="M47" s="44">
        <f t="shared" si="0"/>
        <v>818283.84855548118</v>
      </c>
      <c r="N47" s="44">
        <f t="shared" si="1"/>
        <v>608599.00864767109</v>
      </c>
    </row>
    <row r="48" spans="2:14" x14ac:dyDescent="0.2">
      <c r="B48" s="2" t="s">
        <v>86</v>
      </c>
      <c r="F48" s="2" t="s">
        <v>157</v>
      </c>
      <c r="L48" s="44">
        <f t="shared" si="2"/>
        <v>291469.40352120006</v>
      </c>
      <c r="M48" s="44">
        <f t="shared" si="0"/>
        <v>105214.1403226282</v>
      </c>
      <c r="N48" s="44">
        <f t="shared" si="1"/>
        <v>-97958.735630134674</v>
      </c>
    </row>
    <row r="49" spans="2:15" x14ac:dyDescent="0.2">
      <c r="B49" s="2" t="s">
        <v>85</v>
      </c>
      <c r="F49" s="2" t="s">
        <v>157</v>
      </c>
      <c r="L49" s="44">
        <f t="shared" si="2"/>
        <v>24861271.146500796</v>
      </c>
      <c r="M49" s="44">
        <f t="shared" si="0"/>
        <v>20789144.610680919</v>
      </c>
      <c r="N49" s="44">
        <f t="shared" si="1"/>
        <v>25595882.233411092</v>
      </c>
    </row>
    <row r="50" spans="2:15" x14ac:dyDescent="0.2">
      <c r="B50" s="2" t="s">
        <v>84</v>
      </c>
      <c r="F50" s="2" t="s">
        <v>157</v>
      </c>
      <c r="L50" s="44">
        <f t="shared" si="2"/>
        <v>242116845.26302084</v>
      </c>
      <c r="M50" s="44">
        <f t="shared" si="0"/>
        <v>243939312.91430867</v>
      </c>
      <c r="N50" s="44">
        <f t="shared" si="1"/>
        <v>212913772.79749134</v>
      </c>
    </row>
    <row r="51" spans="2:15" x14ac:dyDescent="0.2">
      <c r="B51" s="2" t="s">
        <v>83</v>
      </c>
      <c r="F51" s="2" t="s">
        <v>157</v>
      </c>
      <c r="L51" s="44">
        <f t="shared" si="2"/>
        <v>51328136.113102838</v>
      </c>
      <c r="M51" s="44">
        <f t="shared" si="0"/>
        <v>47991898.05645781</v>
      </c>
      <c r="N51" s="44">
        <f t="shared" si="1"/>
        <v>37163632.908796318</v>
      </c>
    </row>
    <row r="52" spans="2:15" x14ac:dyDescent="0.2">
      <c r="B52" s="2" t="s">
        <v>88</v>
      </c>
      <c r="F52" s="2" t="s">
        <v>157</v>
      </c>
      <c r="L52" s="44">
        <f t="shared" si="2"/>
        <v>328882.97186662693</v>
      </c>
      <c r="M52" s="44">
        <f t="shared" si="0"/>
        <v>156548.75239474332</v>
      </c>
      <c r="N52" s="44">
        <f t="shared" si="1"/>
        <v>523796.58732117718</v>
      </c>
    </row>
    <row r="54" spans="2:15" x14ac:dyDescent="0.2">
      <c r="B54" s="2" t="s">
        <v>89</v>
      </c>
      <c r="F54" s="2" t="s">
        <v>157</v>
      </c>
      <c r="L54" s="44">
        <f>L40*(1+$M$16)*(1+$N$16)*(1+$O$16)*(1-$H$23)^3</f>
        <v>130105467.00265962</v>
      </c>
      <c r="M54" s="44">
        <f>M40*(1+$N$16)*(1+$O$16)*(1-$H$23)^2</f>
        <v>138796050.62653425</v>
      </c>
      <c r="N54" s="44">
        <f>N40*(1+$O$16)*(1-$H$23)</f>
        <v>118181534.1228151</v>
      </c>
    </row>
    <row r="56" spans="2:15" x14ac:dyDescent="0.2">
      <c r="B56" s="31" t="s">
        <v>193</v>
      </c>
    </row>
    <row r="57" spans="2:15" x14ac:dyDescent="0.2">
      <c r="B57" s="2" t="s">
        <v>82</v>
      </c>
      <c r="F57" s="2" t="s">
        <v>157</v>
      </c>
      <c r="O57" s="44">
        <f t="shared" ref="O57:O63" si="3">AVERAGE(L46:N46)</f>
        <v>1438344.9700607683</v>
      </c>
    </row>
    <row r="58" spans="2:15" x14ac:dyDescent="0.2">
      <c r="B58" s="2" t="s">
        <v>87</v>
      </c>
      <c r="F58" s="2" t="s">
        <v>157</v>
      </c>
      <c r="O58" s="44">
        <f t="shared" si="3"/>
        <v>761188.92339491134</v>
      </c>
    </row>
    <row r="59" spans="2:15" x14ac:dyDescent="0.2">
      <c r="B59" s="2" t="s">
        <v>86</v>
      </c>
      <c r="F59" s="2" t="s">
        <v>157</v>
      </c>
      <c r="O59" s="44">
        <f t="shared" si="3"/>
        <v>99574.93607123119</v>
      </c>
    </row>
    <row r="60" spans="2:15" x14ac:dyDescent="0.2">
      <c r="B60" s="2" t="s">
        <v>85</v>
      </c>
      <c r="F60" s="2" t="s">
        <v>157</v>
      </c>
      <c r="O60" s="44">
        <f t="shared" si="3"/>
        <v>23748765.99686427</v>
      </c>
    </row>
    <row r="61" spans="2:15" x14ac:dyDescent="0.2">
      <c r="B61" s="2" t="s">
        <v>84</v>
      </c>
      <c r="F61" s="2" t="s">
        <v>157</v>
      </c>
      <c r="O61" s="44">
        <f t="shared" si="3"/>
        <v>232989976.99160695</v>
      </c>
    </row>
    <row r="62" spans="2:15" x14ac:dyDescent="0.2">
      <c r="B62" s="2" t="s">
        <v>83</v>
      </c>
      <c r="F62" s="2" t="s">
        <v>157</v>
      </c>
      <c r="O62" s="44">
        <f t="shared" si="3"/>
        <v>45494555.69278565</v>
      </c>
    </row>
    <row r="63" spans="2:15" x14ac:dyDescent="0.2">
      <c r="B63" s="2" t="s">
        <v>88</v>
      </c>
      <c r="F63" s="2" t="s">
        <v>157</v>
      </c>
      <c r="O63" s="44">
        <f t="shared" si="3"/>
        <v>336409.43719418248</v>
      </c>
    </row>
    <row r="65" spans="2:22" x14ac:dyDescent="0.2">
      <c r="B65" s="2" t="s">
        <v>89</v>
      </c>
      <c r="F65" s="2" t="s">
        <v>157</v>
      </c>
      <c r="O65" s="44">
        <f>AVERAGE(L54:N54)</f>
        <v>129027683.91733634</v>
      </c>
    </row>
    <row r="68" spans="2:22" s="9" customFormat="1" x14ac:dyDescent="0.2">
      <c r="B68" s="9" t="s">
        <v>223</v>
      </c>
      <c r="J68" s="47"/>
    </row>
    <row r="70" spans="2:22" x14ac:dyDescent="0.2">
      <c r="B70" s="31" t="s">
        <v>192</v>
      </c>
    </row>
    <row r="71" spans="2:22" x14ac:dyDescent="0.2">
      <c r="B71" s="2" t="s">
        <v>82</v>
      </c>
      <c r="F71" s="2" t="s">
        <v>189</v>
      </c>
      <c r="O71" s="34">
        <f>O57</f>
        <v>1438344.9700607683</v>
      </c>
      <c r="P71" s="34">
        <f>O71*(1+P$17)*(1-$H$26)</f>
        <v>1460509.5396765361</v>
      </c>
      <c r="Q71" s="34">
        <f t="shared" ref="Q71:T71" si="4">P71*(1+Q$17)*(1-$H$26)</f>
        <v>1483015.6602807511</v>
      </c>
      <c r="R71" s="34">
        <f t="shared" si="4"/>
        <v>1505868.5950966442</v>
      </c>
      <c r="S71" s="34">
        <f t="shared" si="4"/>
        <v>1529073.6884525225</v>
      </c>
      <c r="T71" s="34">
        <f t="shared" si="4"/>
        <v>1552636.3670315791</v>
      </c>
      <c r="V71" s="70"/>
    </row>
    <row r="72" spans="2:22" x14ac:dyDescent="0.2">
      <c r="B72" s="2" t="s">
        <v>87</v>
      </c>
      <c r="F72" s="2" t="s">
        <v>189</v>
      </c>
      <c r="O72" s="34">
        <f t="shared" ref="O72:O77" si="5">O58</f>
        <v>761188.92339491134</v>
      </c>
      <c r="P72" s="34">
        <f t="shared" ref="P72:T77" si="6">O72*(1+P$17)*(1-$H$26)</f>
        <v>772918.6719841006</v>
      </c>
      <c r="Q72" s="34">
        <f t="shared" si="6"/>
        <v>784829.17333746841</v>
      </c>
      <c r="R72" s="34">
        <f t="shared" si="6"/>
        <v>796923.21281409613</v>
      </c>
      <c r="S72" s="34">
        <f t="shared" si="6"/>
        <v>809203.61869481695</v>
      </c>
      <c r="T72" s="34">
        <f t="shared" si="6"/>
        <v>821673.26284362969</v>
      </c>
    </row>
    <row r="73" spans="2:22" x14ac:dyDescent="0.2">
      <c r="B73" s="2" t="s">
        <v>86</v>
      </c>
      <c r="F73" s="2" t="s">
        <v>189</v>
      </c>
      <c r="O73" s="34">
        <f t="shared" si="5"/>
        <v>99574.93607123119</v>
      </c>
      <c r="P73" s="34">
        <f t="shared" si="6"/>
        <v>101109.36324167778</v>
      </c>
      <c r="Q73" s="34">
        <f t="shared" si="6"/>
        <v>102667.43558664621</v>
      </c>
      <c r="R73" s="34">
        <f t="shared" si="6"/>
        <v>104249.51747291056</v>
      </c>
      <c r="S73" s="34">
        <f t="shared" si="6"/>
        <v>105855.97888205423</v>
      </c>
      <c r="T73" s="34">
        <f t="shared" si="6"/>
        <v>107487.19549699286</v>
      </c>
    </row>
    <row r="74" spans="2:22" x14ac:dyDescent="0.2">
      <c r="B74" s="2" t="s">
        <v>85</v>
      </c>
      <c r="F74" s="2" t="s">
        <v>189</v>
      </c>
      <c r="O74" s="34">
        <f t="shared" si="5"/>
        <v>23748765.99686427</v>
      </c>
      <c r="P74" s="34">
        <f t="shared" si="6"/>
        <v>24114729.09207629</v>
      </c>
      <c r="Q74" s="34">
        <f t="shared" si="6"/>
        <v>24486331.595545344</v>
      </c>
      <c r="R74" s="34">
        <f t="shared" si="6"/>
        <v>24863660.409273051</v>
      </c>
      <c r="S74" s="34">
        <f t="shared" si="6"/>
        <v>25246803.774401143</v>
      </c>
      <c r="T74" s="34">
        <f t="shared" si="6"/>
        <v>25635851.291847326</v>
      </c>
    </row>
    <row r="75" spans="2:22" x14ac:dyDescent="0.2">
      <c r="B75" s="2" t="s">
        <v>84</v>
      </c>
      <c r="F75" s="2" t="s">
        <v>189</v>
      </c>
      <c r="O75" s="34">
        <f t="shared" si="5"/>
        <v>232989976.99160695</v>
      </c>
      <c r="P75" s="34">
        <f t="shared" si="6"/>
        <v>236580299.66961405</v>
      </c>
      <c r="Q75" s="34">
        <f t="shared" si="6"/>
        <v>240225948.40541407</v>
      </c>
      <c r="R75" s="34">
        <f t="shared" si="6"/>
        <v>243927775.76100367</v>
      </c>
      <c r="S75" s="34">
        <f t="shared" si="6"/>
        <v>247686647.43616638</v>
      </c>
      <c r="T75" s="34">
        <f t="shared" si="6"/>
        <v>251503442.47092298</v>
      </c>
    </row>
    <row r="76" spans="2:22" x14ac:dyDescent="0.2">
      <c r="B76" s="2" t="s">
        <v>83</v>
      </c>
      <c r="F76" s="2" t="s">
        <v>189</v>
      </c>
      <c r="O76" s="34">
        <f t="shared" si="5"/>
        <v>45494555.69278565</v>
      </c>
      <c r="P76" s="34">
        <f t="shared" si="6"/>
        <v>46195616.472904742</v>
      </c>
      <c r="Q76" s="34">
        <f t="shared" si="6"/>
        <v>46907480.440568738</v>
      </c>
      <c r="R76" s="34">
        <f t="shared" si="6"/>
        <v>47630314.070446365</v>
      </c>
      <c r="S76" s="34">
        <f t="shared" si="6"/>
        <v>48364286.402543224</v>
      </c>
      <c r="T76" s="34">
        <f t="shared" si="6"/>
        <v>49109569.081733055</v>
      </c>
    </row>
    <row r="77" spans="2:22" x14ac:dyDescent="0.2">
      <c r="B77" s="2" t="s">
        <v>88</v>
      </c>
      <c r="F77" s="2" t="s">
        <v>189</v>
      </c>
      <c r="O77" s="34">
        <f t="shared" si="5"/>
        <v>336409.43719418248</v>
      </c>
      <c r="P77" s="34">
        <f t="shared" si="6"/>
        <v>341593.43028714455</v>
      </c>
      <c r="Q77" s="34">
        <f t="shared" si="6"/>
        <v>346857.30753737641</v>
      </c>
      <c r="R77" s="34">
        <f t="shared" si="6"/>
        <v>352202.29994161532</v>
      </c>
      <c r="S77" s="34">
        <f t="shared" si="6"/>
        <v>357629.65746597864</v>
      </c>
      <c r="T77" s="34">
        <f t="shared" si="6"/>
        <v>363140.64933827822</v>
      </c>
    </row>
    <row r="79" spans="2:22" x14ac:dyDescent="0.2">
      <c r="B79" s="2" t="s">
        <v>89</v>
      </c>
      <c r="F79" s="2" t="s">
        <v>189</v>
      </c>
      <c r="O79" s="34">
        <f>O65</f>
        <v>129027683.91733634</v>
      </c>
      <c r="P79" s="34">
        <f>O79*(1+P$17)*(1-$H$27)</f>
        <v>135445097.26560557</v>
      </c>
      <c r="Q79" s="34">
        <f t="shared" ref="Q79:T79" si="7">P79*(1+Q$17)*(1-$H$27)</f>
        <v>142181691.68286872</v>
      </c>
      <c r="R79" s="34">
        <f t="shared" si="7"/>
        <v>149253342.18749771</v>
      </c>
      <c r="S79" s="34">
        <f t="shared" si="7"/>
        <v>156676713.36915421</v>
      </c>
      <c r="T79" s="34">
        <f t="shared" si="7"/>
        <v>164469298.65947318</v>
      </c>
    </row>
    <row r="82" spans="1:14" s="9" customFormat="1" x14ac:dyDescent="0.2">
      <c r="B82" s="9" t="s">
        <v>196</v>
      </c>
      <c r="J82" s="47"/>
    </row>
    <row r="85" spans="1:14" x14ac:dyDescent="0.2">
      <c r="A85" s="9"/>
      <c r="B85" s="9" t="s">
        <v>121</v>
      </c>
      <c r="C85" s="9"/>
      <c r="D85" s="9"/>
      <c r="E85" s="9"/>
      <c r="F85" s="9"/>
      <c r="G85" s="9" t="s">
        <v>122</v>
      </c>
      <c r="H85" s="9"/>
      <c r="I85" s="9"/>
      <c r="J85" s="9"/>
      <c r="K85" s="9"/>
      <c r="L85" s="9"/>
      <c r="M85" s="9"/>
      <c r="N85" s="9"/>
    </row>
    <row r="86" spans="1:14" ht="70.5" customHeight="1" x14ac:dyDescent="0.2">
      <c r="A86" s="9"/>
      <c r="B86" s="9" t="s">
        <v>123</v>
      </c>
      <c r="C86" s="48" t="s">
        <v>124</v>
      </c>
      <c r="D86" s="48" t="s">
        <v>234</v>
      </c>
      <c r="E86" s="48" t="s">
        <v>125</v>
      </c>
      <c r="F86" s="48" t="s">
        <v>126</v>
      </c>
      <c r="G86" s="48" t="s">
        <v>119</v>
      </c>
      <c r="H86" s="48" t="s">
        <v>120</v>
      </c>
      <c r="I86" s="48" t="s">
        <v>127</v>
      </c>
      <c r="J86" s="48" t="s">
        <v>128</v>
      </c>
      <c r="K86" s="48" t="s">
        <v>129</v>
      </c>
      <c r="L86" s="48" t="s">
        <v>130</v>
      </c>
      <c r="M86" s="48" t="s">
        <v>131</v>
      </c>
      <c r="N86" s="48" t="s">
        <v>27</v>
      </c>
    </row>
    <row r="87" spans="1:14" x14ac:dyDescent="0.2">
      <c r="B87" s="38">
        <v>1</v>
      </c>
      <c r="C87" s="50" t="s">
        <v>117</v>
      </c>
      <c r="D87" s="50" t="s">
        <v>118</v>
      </c>
      <c r="E87" s="50"/>
      <c r="F87" s="38" t="s">
        <v>119</v>
      </c>
      <c r="G87" s="44">
        <v>1</v>
      </c>
      <c r="H87" s="44">
        <v>0</v>
      </c>
      <c r="I87" s="50"/>
      <c r="J87" s="50"/>
      <c r="K87" s="38">
        <v>5</v>
      </c>
      <c r="L87" s="38">
        <v>2021</v>
      </c>
      <c r="M87" s="98">
        <f>O71</f>
        <v>1438344.9700607683</v>
      </c>
      <c r="N87" s="49"/>
    </row>
    <row r="88" spans="1:14" x14ac:dyDescent="0.2">
      <c r="B88" s="38">
        <v>2</v>
      </c>
      <c r="C88" s="50" t="s">
        <v>117</v>
      </c>
      <c r="D88" s="50" t="s">
        <v>118</v>
      </c>
      <c r="E88" s="50"/>
      <c r="F88" s="38" t="s">
        <v>119</v>
      </c>
      <c r="G88" s="44">
        <v>1</v>
      </c>
      <c r="H88" s="44">
        <v>0</v>
      </c>
      <c r="I88" s="50"/>
      <c r="J88" s="50"/>
      <c r="K88" s="38">
        <v>10</v>
      </c>
      <c r="L88" s="38">
        <v>2021</v>
      </c>
      <c r="M88" s="98">
        <f t="shared" ref="M88:M93" si="8">O72</f>
        <v>761188.92339491134</v>
      </c>
      <c r="N88" s="49"/>
    </row>
    <row r="89" spans="1:14" x14ac:dyDescent="0.2">
      <c r="B89" s="38">
        <v>3</v>
      </c>
      <c r="C89" s="50" t="s">
        <v>117</v>
      </c>
      <c r="D89" s="50" t="s">
        <v>118</v>
      </c>
      <c r="E89" s="50"/>
      <c r="F89" s="38" t="s">
        <v>119</v>
      </c>
      <c r="G89" s="44">
        <v>1</v>
      </c>
      <c r="H89" s="44">
        <v>0</v>
      </c>
      <c r="I89" s="50"/>
      <c r="J89" s="50"/>
      <c r="K89" s="38">
        <v>25</v>
      </c>
      <c r="L89" s="38">
        <v>2021</v>
      </c>
      <c r="M89" s="98">
        <f t="shared" si="8"/>
        <v>99574.93607123119</v>
      </c>
      <c r="N89" s="49"/>
    </row>
    <row r="90" spans="1:14" x14ac:dyDescent="0.2">
      <c r="B90" s="38">
        <v>4</v>
      </c>
      <c r="C90" s="50" t="s">
        <v>117</v>
      </c>
      <c r="D90" s="50" t="s">
        <v>118</v>
      </c>
      <c r="E90" s="50"/>
      <c r="F90" s="38" t="s">
        <v>119</v>
      </c>
      <c r="G90" s="44">
        <v>1</v>
      </c>
      <c r="H90" s="44">
        <v>0</v>
      </c>
      <c r="I90" s="50"/>
      <c r="J90" s="50"/>
      <c r="K90" s="38">
        <v>30</v>
      </c>
      <c r="L90" s="38">
        <v>2021</v>
      </c>
      <c r="M90" s="98">
        <f t="shared" si="8"/>
        <v>23748765.99686427</v>
      </c>
      <c r="N90" s="49"/>
    </row>
    <row r="91" spans="1:14" x14ac:dyDescent="0.2">
      <c r="B91" s="38">
        <v>5</v>
      </c>
      <c r="C91" s="50" t="s">
        <v>117</v>
      </c>
      <c r="D91" s="50" t="s">
        <v>118</v>
      </c>
      <c r="E91" s="50"/>
      <c r="F91" s="38" t="s">
        <v>119</v>
      </c>
      <c r="G91" s="44">
        <v>1</v>
      </c>
      <c r="H91" s="44">
        <v>0</v>
      </c>
      <c r="I91" s="50"/>
      <c r="J91" s="50"/>
      <c r="K91" s="38">
        <v>45</v>
      </c>
      <c r="L91" s="38">
        <v>2021</v>
      </c>
      <c r="M91" s="98">
        <f t="shared" si="8"/>
        <v>232989976.99160695</v>
      </c>
      <c r="N91" s="49"/>
    </row>
    <row r="92" spans="1:14" x14ac:dyDescent="0.2">
      <c r="B92" s="38">
        <v>6</v>
      </c>
      <c r="C92" s="50" t="s">
        <v>117</v>
      </c>
      <c r="D92" s="50" t="s">
        <v>118</v>
      </c>
      <c r="E92" s="50"/>
      <c r="F92" s="38" t="s">
        <v>119</v>
      </c>
      <c r="G92" s="44">
        <v>1</v>
      </c>
      <c r="H92" s="44">
        <v>0</v>
      </c>
      <c r="I92" s="50"/>
      <c r="J92" s="50"/>
      <c r="K92" s="38">
        <v>55</v>
      </c>
      <c r="L92" s="38">
        <v>2021</v>
      </c>
      <c r="M92" s="98">
        <f>O76</f>
        <v>45494555.69278565</v>
      </c>
      <c r="N92" s="49"/>
    </row>
    <row r="93" spans="1:14" x14ac:dyDescent="0.2">
      <c r="B93" s="38">
        <v>7</v>
      </c>
      <c r="C93" s="50" t="s">
        <v>117</v>
      </c>
      <c r="D93" s="50" t="s">
        <v>118</v>
      </c>
      <c r="E93" s="50"/>
      <c r="F93" s="38" t="s">
        <v>119</v>
      </c>
      <c r="G93" s="44">
        <v>1</v>
      </c>
      <c r="H93" s="44">
        <v>0</v>
      </c>
      <c r="I93" s="50"/>
      <c r="J93" s="50"/>
      <c r="K93" s="38">
        <v>0</v>
      </c>
      <c r="L93" s="38">
        <v>2021</v>
      </c>
      <c r="M93" s="98">
        <f t="shared" si="8"/>
        <v>336409.43719418248</v>
      </c>
      <c r="N93" s="49"/>
    </row>
    <row r="94" spans="1:14" x14ac:dyDescent="0.2">
      <c r="B94" s="38">
        <v>8</v>
      </c>
      <c r="C94" s="50" t="s">
        <v>117</v>
      </c>
      <c r="D94" s="50" t="s">
        <v>118</v>
      </c>
      <c r="E94" s="50"/>
      <c r="F94" s="38" t="s">
        <v>119</v>
      </c>
      <c r="G94" s="44">
        <v>1</v>
      </c>
      <c r="H94" s="44">
        <v>0</v>
      </c>
      <c r="I94" s="50"/>
      <c r="J94" s="50"/>
      <c r="K94" s="38">
        <v>5</v>
      </c>
      <c r="L94" s="38">
        <v>2022</v>
      </c>
      <c r="M94" s="98">
        <f>P71</f>
        <v>1460509.5396765361</v>
      </c>
      <c r="N94" s="49"/>
    </row>
    <row r="95" spans="1:14" x14ac:dyDescent="0.2">
      <c r="B95" s="38">
        <v>9</v>
      </c>
      <c r="C95" s="50" t="s">
        <v>117</v>
      </c>
      <c r="D95" s="50" t="s">
        <v>118</v>
      </c>
      <c r="E95" s="50"/>
      <c r="F95" s="38" t="s">
        <v>119</v>
      </c>
      <c r="G95" s="44">
        <v>1</v>
      </c>
      <c r="H95" s="44">
        <v>0</v>
      </c>
      <c r="I95" s="50"/>
      <c r="J95" s="50"/>
      <c r="K95" s="38">
        <v>10</v>
      </c>
      <c r="L95" s="38">
        <v>2022</v>
      </c>
      <c r="M95" s="98">
        <f t="shared" ref="M95:M100" si="9">P72</f>
        <v>772918.6719841006</v>
      </c>
      <c r="N95" s="49"/>
    </row>
    <row r="96" spans="1:14" x14ac:dyDescent="0.2">
      <c r="B96" s="38">
        <v>10</v>
      </c>
      <c r="C96" s="50" t="s">
        <v>117</v>
      </c>
      <c r="D96" s="50" t="s">
        <v>118</v>
      </c>
      <c r="E96" s="50"/>
      <c r="F96" s="38" t="s">
        <v>119</v>
      </c>
      <c r="G96" s="44">
        <v>1</v>
      </c>
      <c r="H96" s="44">
        <v>0</v>
      </c>
      <c r="I96" s="50"/>
      <c r="J96" s="50"/>
      <c r="K96" s="38">
        <v>25</v>
      </c>
      <c r="L96" s="38">
        <v>2022</v>
      </c>
      <c r="M96" s="98">
        <f t="shared" si="9"/>
        <v>101109.36324167778</v>
      </c>
      <c r="N96" s="49"/>
    </row>
    <row r="97" spans="2:14" x14ac:dyDescent="0.2">
      <c r="B97" s="38">
        <v>11</v>
      </c>
      <c r="C97" s="50" t="s">
        <v>117</v>
      </c>
      <c r="D97" s="50" t="s">
        <v>118</v>
      </c>
      <c r="E97" s="50"/>
      <c r="F97" s="38" t="s">
        <v>119</v>
      </c>
      <c r="G97" s="44">
        <v>1</v>
      </c>
      <c r="H97" s="44">
        <v>0</v>
      </c>
      <c r="I97" s="50"/>
      <c r="J97" s="50"/>
      <c r="K97" s="38">
        <v>30</v>
      </c>
      <c r="L97" s="38">
        <v>2022</v>
      </c>
      <c r="M97" s="98">
        <f t="shared" si="9"/>
        <v>24114729.09207629</v>
      </c>
      <c r="N97" s="49"/>
    </row>
    <row r="98" spans="2:14" x14ac:dyDescent="0.2">
      <c r="B98" s="38">
        <v>12</v>
      </c>
      <c r="C98" s="50" t="s">
        <v>117</v>
      </c>
      <c r="D98" s="50" t="s">
        <v>118</v>
      </c>
      <c r="E98" s="50"/>
      <c r="F98" s="38" t="s">
        <v>119</v>
      </c>
      <c r="G98" s="44">
        <v>1</v>
      </c>
      <c r="H98" s="44">
        <v>0</v>
      </c>
      <c r="I98" s="50"/>
      <c r="J98" s="50"/>
      <c r="K98" s="38">
        <v>45</v>
      </c>
      <c r="L98" s="38">
        <v>2022</v>
      </c>
      <c r="M98" s="98">
        <f t="shared" si="9"/>
        <v>236580299.66961405</v>
      </c>
      <c r="N98" s="49"/>
    </row>
    <row r="99" spans="2:14" x14ac:dyDescent="0.2">
      <c r="B99" s="38">
        <v>13</v>
      </c>
      <c r="C99" s="50" t="s">
        <v>117</v>
      </c>
      <c r="D99" s="50" t="s">
        <v>118</v>
      </c>
      <c r="E99" s="50"/>
      <c r="F99" s="38" t="s">
        <v>119</v>
      </c>
      <c r="G99" s="44">
        <v>1</v>
      </c>
      <c r="H99" s="44">
        <v>0</v>
      </c>
      <c r="I99" s="50"/>
      <c r="J99" s="50"/>
      <c r="K99" s="38">
        <v>55</v>
      </c>
      <c r="L99" s="38">
        <v>2022</v>
      </c>
      <c r="M99" s="98">
        <f t="shared" si="9"/>
        <v>46195616.472904742</v>
      </c>
      <c r="N99" s="49"/>
    </row>
    <row r="100" spans="2:14" x14ac:dyDescent="0.2">
      <c r="B100" s="38">
        <v>14</v>
      </c>
      <c r="C100" s="50" t="s">
        <v>117</v>
      </c>
      <c r="D100" s="50" t="s">
        <v>118</v>
      </c>
      <c r="E100" s="50"/>
      <c r="F100" s="38" t="s">
        <v>119</v>
      </c>
      <c r="G100" s="44">
        <v>1</v>
      </c>
      <c r="H100" s="44">
        <v>0</v>
      </c>
      <c r="I100" s="50"/>
      <c r="J100" s="50"/>
      <c r="K100" s="38">
        <v>0</v>
      </c>
      <c r="L100" s="38">
        <v>2022</v>
      </c>
      <c r="M100" s="98">
        <f t="shared" si="9"/>
        <v>341593.43028714455</v>
      </c>
      <c r="N100" s="49"/>
    </row>
    <row r="101" spans="2:14" x14ac:dyDescent="0.2">
      <c r="B101" s="38">
        <v>15</v>
      </c>
      <c r="C101" s="50" t="s">
        <v>117</v>
      </c>
      <c r="D101" s="50" t="s">
        <v>118</v>
      </c>
      <c r="E101" s="50"/>
      <c r="F101" s="38" t="s">
        <v>119</v>
      </c>
      <c r="G101" s="44">
        <v>1</v>
      </c>
      <c r="H101" s="44">
        <v>0</v>
      </c>
      <c r="I101" s="50"/>
      <c r="J101" s="50"/>
      <c r="K101" s="38">
        <v>5</v>
      </c>
      <c r="L101" s="38">
        <v>2023</v>
      </c>
      <c r="M101" s="98">
        <f>Q71</f>
        <v>1483015.6602807511</v>
      </c>
      <c r="N101" s="49"/>
    </row>
    <row r="102" spans="2:14" x14ac:dyDescent="0.2">
      <c r="B102" s="38">
        <v>16</v>
      </c>
      <c r="C102" s="50" t="s">
        <v>117</v>
      </c>
      <c r="D102" s="50" t="s">
        <v>118</v>
      </c>
      <c r="E102" s="50"/>
      <c r="F102" s="38" t="s">
        <v>119</v>
      </c>
      <c r="G102" s="44">
        <v>1</v>
      </c>
      <c r="H102" s="44">
        <v>0</v>
      </c>
      <c r="I102" s="50"/>
      <c r="J102" s="50"/>
      <c r="K102" s="38">
        <v>10</v>
      </c>
      <c r="L102" s="38">
        <v>2023</v>
      </c>
      <c r="M102" s="98">
        <f t="shared" ref="M102:M107" si="10">Q72</f>
        <v>784829.17333746841</v>
      </c>
      <c r="N102" s="49"/>
    </row>
    <row r="103" spans="2:14" x14ac:dyDescent="0.2">
      <c r="B103" s="38">
        <v>17</v>
      </c>
      <c r="C103" s="50" t="s">
        <v>117</v>
      </c>
      <c r="D103" s="50" t="s">
        <v>118</v>
      </c>
      <c r="E103" s="50"/>
      <c r="F103" s="38" t="s">
        <v>119</v>
      </c>
      <c r="G103" s="44">
        <v>1</v>
      </c>
      <c r="H103" s="44">
        <v>0</v>
      </c>
      <c r="I103" s="50"/>
      <c r="J103" s="50"/>
      <c r="K103" s="38">
        <v>25</v>
      </c>
      <c r="L103" s="38">
        <v>2023</v>
      </c>
      <c r="M103" s="98">
        <f t="shared" si="10"/>
        <v>102667.43558664621</v>
      </c>
      <c r="N103" s="49"/>
    </row>
    <row r="104" spans="2:14" x14ac:dyDescent="0.2">
      <c r="B104" s="38">
        <v>18</v>
      </c>
      <c r="C104" s="50" t="s">
        <v>117</v>
      </c>
      <c r="D104" s="50" t="s">
        <v>118</v>
      </c>
      <c r="E104" s="50"/>
      <c r="F104" s="38" t="s">
        <v>119</v>
      </c>
      <c r="G104" s="44">
        <v>1</v>
      </c>
      <c r="H104" s="44">
        <v>0</v>
      </c>
      <c r="I104" s="50"/>
      <c r="J104" s="50"/>
      <c r="K104" s="38">
        <v>30</v>
      </c>
      <c r="L104" s="38">
        <v>2023</v>
      </c>
      <c r="M104" s="98">
        <f t="shared" si="10"/>
        <v>24486331.595545344</v>
      </c>
      <c r="N104" s="49"/>
    </row>
    <row r="105" spans="2:14" x14ac:dyDescent="0.2">
      <c r="B105" s="38">
        <v>19</v>
      </c>
      <c r="C105" s="50" t="s">
        <v>117</v>
      </c>
      <c r="D105" s="50" t="s">
        <v>118</v>
      </c>
      <c r="E105" s="50"/>
      <c r="F105" s="38" t="s">
        <v>119</v>
      </c>
      <c r="G105" s="44">
        <v>1</v>
      </c>
      <c r="H105" s="44">
        <v>0</v>
      </c>
      <c r="I105" s="50"/>
      <c r="J105" s="50"/>
      <c r="K105" s="38">
        <v>45</v>
      </c>
      <c r="L105" s="38">
        <v>2023</v>
      </c>
      <c r="M105" s="98">
        <f t="shared" si="10"/>
        <v>240225948.40541407</v>
      </c>
      <c r="N105" s="49"/>
    </row>
    <row r="106" spans="2:14" x14ac:dyDescent="0.2">
      <c r="B106" s="38">
        <v>20</v>
      </c>
      <c r="C106" s="50" t="s">
        <v>117</v>
      </c>
      <c r="D106" s="50" t="s">
        <v>118</v>
      </c>
      <c r="E106" s="50"/>
      <c r="F106" s="38" t="s">
        <v>119</v>
      </c>
      <c r="G106" s="44">
        <v>1</v>
      </c>
      <c r="H106" s="44">
        <v>0</v>
      </c>
      <c r="I106" s="50"/>
      <c r="J106" s="50"/>
      <c r="K106" s="38">
        <v>55</v>
      </c>
      <c r="L106" s="38">
        <v>2023</v>
      </c>
      <c r="M106" s="98">
        <f t="shared" si="10"/>
        <v>46907480.440568738</v>
      </c>
      <c r="N106" s="49"/>
    </row>
    <row r="107" spans="2:14" x14ac:dyDescent="0.2">
      <c r="B107" s="38">
        <v>21</v>
      </c>
      <c r="C107" s="50" t="s">
        <v>117</v>
      </c>
      <c r="D107" s="50" t="s">
        <v>118</v>
      </c>
      <c r="E107" s="50"/>
      <c r="F107" s="38" t="s">
        <v>119</v>
      </c>
      <c r="G107" s="44">
        <v>1</v>
      </c>
      <c r="H107" s="44">
        <v>0</v>
      </c>
      <c r="I107" s="50"/>
      <c r="J107" s="50"/>
      <c r="K107" s="38">
        <v>0</v>
      </c>
      <c r="L107" s="38">
        <v>2023</v>
      </c>
      <c r="M107" s="98">
        <f t="shared" si="10"/>
        <v>346857.30753737641</v>
      </c>
      <c r="N107" s="49"/>
    </row>
    <row r="108" spans="2:14" x14ac:dyDescent="0.2">
      <c r="B108" s="38">
        <v>22</v>
      </c>
      <c r="C108" s="50" t="s">
        <v>117</v>
      </c>
      <c r="D108" s="50" t="s">
        <v>118</v>
      </c>
      <c r="E108" s="50"/>
      <c r="F108" s="38" t="s">
        <v>119</v>
      </c>
      <c r="G108" s="44">
        <v>1</v>
      </c>
      <c r="H108" s="44">
        <v>0</v>
      </c>
      <c r="I108" s="50"/>
      <c r="J108" s="50"/>
      <c r="K108" s="38">
        <v>5</v>
      </c>
      <c r="L108" s="38">
        <v>2024</v>
      </c>
      <c r="M108" s="98">
        <f>R71</f>
        <v>1505868.5950966442</v>
      </c>
      <c r="N108" s="49"/>
    </row>
    <row r="109" spans="2:14" x14ac:dyDescent="0.2">
      <c r="B109" s="38">
        <v>23</v>
      </c>
      <c r="C109" s="50" t="s">
        <v>117</v>
      </c>
      <c r="D109" s="50" t="s">
        <v>118</v>
      </c>
      <c r="E109" s="50"/>
      <c r="F109" s="38" t="s">
        <v>119</v>
      </c>
      <c r="G109" s="44">
        <v>1</v>
      </c>
      <c r="H109" s="44">
        <v>0</v>
      </c>
      <c r="I109" s="50"/>
      <c r="J109" s="50"/>
      <c r="K109" s="38">
        <v>10</v>
      </c>
      <c r="L109" s="38">
        <v>2024</v>
      </c>
      <c r="M109" s="98">
        <f t="shared" ref="M109:M114" si="11">R72</f>
        <v>796923.21281409613</v>
      </c>
      <c r="N109" s="49"/>
    </row>
    <row r="110" spans="2:14" x14ac:dyDescent="0.2">
      <c r="B110" s="38">
        <v>24</v>
      </c>
      <c r="C110" s="50" t="s">
        <v>117</v>
      </c>
      <c r="D110" s="50" t="s">
        <v>118</v>
      </c>
      <c r="E110" s="50"/>
      <c r="F110" s="38" t="s">
        <v>119</v>
      </c>
      <c r="G110" s="44">
        <v>1</v>
      </c>
      <c r="H110" s="44">
        <v>0</v>
      </c>
      <c r="I110" s="50"/>
      <c r="J110" s="50"/>
      <c r="K110" s="38">
        <v>25</v>
      </c>
      <c r="L110" s="38">
        <v>2024</v>
      </c>
      <c r="M110" s="98">
        <f t="shared" si="11"/>
        <v>104249.51747291056</v>
      </c>
      <c r="N110" s="49"/>
    </row>
    <row r="111" spans="2:14" x14ac:dyDescent="0.2">
      <c r="B111" s="38">
        <v>25</v>
      </c>
      <c r="C111" s="50" t="s">
        <v>117</v>
      </c>
      <c r="D111" s="50" t="s">
        <v>118</v>
      </c>
      <c r="E111" s="50"/>
      <c r="F111" s="38" t="s">
        <v>119</v>
      </c>
      <c r="G111" s="44">
        <v>1</v>
      </c>
      <c r="H111" s="44">
        <v>0</v>
      </c>
      <c r="I111" s="50"/>
      <c r="J111" s="50"/>
      <c r="K111" s="38">
        <v>30</v>
      </c>
      <c r="L111" s="38">
        <v>2024</v>
      </c>
      <c r="M111" s="98">
        <f t="shared" si="11"/>
        <v>24863660.409273051</v>
      </c>
      <c r="N111" s="49"/>
    </row>
    <row r="112" spans="2:14" x14ac:dyDescent="0.2">
      <c r="B112" s="38">
        <v>26</v>
      </c>
      <c r="C112" s="50" t="s">
        <v>117</v>
      </c>
      <c r="D112" s="50" t="s">
        <v>118</v>
      </c>
      <c r="E112" s="50"/>
      <c r="F112" s="38" t="s">
        <v>119</v>
      </c>
      <c r="G112" s="44">
        <v>1</v>
      </c>
      <c r="H112" s="44">
        <v>0</v>
      </c>
      <c r="I112" s="50"/>
      <c r="J112" s="50"/>
      <c r="K112" s="38">
        <v>45</v>
      </c>
      <c r="L112" s="38">
        <v>2024</v>
      </c>
      <c r="M112" s="98">
        <f t="shared" si="11"/>
        <v>243927775.76100367</v>
      </c>
      <c r="N112" s="49"/>
    </row>
    <row r="113" spans="2:14" x14ac:dyDescent="0.2">
      <c r="B113" s="38">
        <v>27</v>
      </c>
      <c r="C113" s="50" t="s">
        <v>117</v>
      </c>
      <c r="D113" s="50" t="s">
        <v>118</v>
      </c>
      <c r="E113" s="50"/>
      <c r="F113" s="38" t="s">
        <v>119</v>
      </c>
      <c r="G113" s="44">
        <v>1</v>
      </c>
      <c r="H113" s="44">
        <v>0</v>
      </c>
      <c r="I113" s="50"/>
      <c r="J113" s="50"/>
      <c r="K113" s="38">
        <v>55</v>
      </c>
      <c r="L113" s="38">
        <v>2024</v>
      </c>
      <c r="M113" s="98">
        <f t="shared" si="11"/>
        <v>47630314.070446365</v>
      </c>
      <c r="N113" s="49"/>
    </row>
    <row r="114" spans="2:14" x14ac:dyDescent="0.2">
      <c r="B114" s="38">
        <v>28</v>
      </c>
      <c r="C114" s="50" t="s">
        <v>117</v>
      </c>
      <c r="D114" s="50" t="s">
        <v>118</v>
      </c>
      <c r="E114" s="50"/>
      <c r="F114" s="38" t="s">
        <v>119</v>
      </c>
      <c r="G114" s="44">
        <v>1</v>
      </c>
      <c r="H114" s="44">
        <v>0</v>
      </c>
      <c r="I114" s="50"/>
      <c r="J114" s="50"/>
      <c r="K114" s="38">
        <v>0</v>
      </c>
      <c r="L114" s="38">
        <v>2024</v>
      </c>
      <c r="M114" s="98">
        <f t="shared" si="11"/>
        <v>352202.29994161532</v>
      </c>
      <c r="N114" s="49"/>
    </row>
    <row r="115" spans="2:14" x14ac:dyDescent="0.2">
      <c r="B115" s="38">
        <v>29</v>
      </c>
      <c r="C115" s="50" t="s">
        <v>117</v>
      </c>
      <c r="D115" s="50" t="s">
        <v>118</v>
      </c>
      <c r="E115" s="50"/>
      <c r="F115" s="38" t="s">
        <v>119</v>
      </c>
      <c r="G115" s="44">
        <v>1</v>
      </c>
      <c r="H115" s="44">
        <v>0</v>
      </c>
      <c r="I115" s="50"/>
      <c r="J115" s="50"/>
      <c r="K115" s="38">
        <v>5</v>
      </c>
      <c r="L115" s="38">
        <v>2025</v>
      </c>
      <c r="M115" s="98">
        <f>S71</f>
        <v>1529073.6884525225</v>
      </c>
      <c r="N115" s="49"/>
    </row>
    <row r="116" spans="2:14" x14ac:dyDescent="0.2">
      <c r="B116" s="38">
        <v>30</v>
      </c>
      <c r="C116" s="50" t="s">
        <v>117</v>
      </c>
      <c r="D116" s="50" t="s">
        <v>118</v>
      </c>
      <c r="E116" s="50"/>
      <c r="F116" s="38" t="s">
        <v>119</v>
      </c>
      <c r="G116" s="44">
        <v>1</v>
      </c>
      <c r="H116" s="44">
        <v>0</v>
      </c>
      <c r="I116" s="50"/>
      <c r="J116" s="50"/>
      <c r="K116" s="38">
        <v>10</v>
      </c>
      <c r="L116" s="38">
        <v>2025</v>
      </c>
      <c r="M116" s="98">
        <f t="shared" ref="M116:M121" si="12">S72</f>
        <v>809203.61869481695</v>
      </c>
      <c r="N116" s="49"/>
    </row>
    <row r="117" spans="2:14" x14ac:dyDescent="0.2">
      <c r="B117" s="38">
        <v>31</v>
      </c>
      <c r="C117" s="50" t="s">
        <v>117</v>
      </c>
      <c r="D117" s="50" t="s">
        <v>118</v>
      </c>
      <c r="E117" s="50"/>
      <c r="F117" s="38" t="s">
        <v>119</v>
      </c>
      <c r="G117" s="44">
        <v>1</v>
      </c>
      <c r="H117" s="44">
        <v>0</v>
      </c>
      <c r="I117" s="50"/>
      <c r="J117" s="50"/>
      <c r="K117" s="38">
        <v>25</v>
      </c>
      <c r="L117" s="38">
        <v>2025</v>
      </c>
      <c r="M117" s="98">
        <f t="shared" si="12"/>
        <v>105855.97888205423</v>
      </c>
      <c r="N117" s="49"/>
    </row>
    <row r="118" spans="2:14" x14ac:dyDescent="0.2">
      <c r="B118" s="38">
        <v>32</v>
      </c>
      <c r="C118" s="50" t="s">
        <v>117</v>
      </c>
      <c r="D118" s="50" t="s">
        <v>118</v>
      </c>
      <c r="E118" s="50"/>
      <c r="F118" s="38" t="s">
        <v>119</v>
      </c>
      <c r="G118" s="44">
        <v>1</v>
      </c>
      <c r="H118" s="44">
        <v>0</v>
      </c>
      <c r="I118" s="50"/>
      <c r="J118" s="50"/>
      <c r="K118" s="38">
        <v>30</v>
      </c>
      <c r="L118" s="38">
        <v>2025</v>
      </c>
      <c r="M118" s="98">
        <f t="shared" si="12"/>
        <v>25246803.774401143</v>
      </c>
      <c r="N118" s="49"/>
    </row>
    <row r="119" spans="2:14" x14ac:dyDescent="0.2">
      <c r="B119" s="38">
        <v>33</v>
      </c>
      <c r="C119" s="50" t="s">
        <v>117</v>
      </c>
      <c r="D119" s="50" t="s">
        <v>118</v>
      </c>
      <c r="E119" s="50"/>
      <c r="F119" s="38" t="s">
        <v>119</v>
      </c>
      <c r="G119" s="44">
        <v>1</v>
      </c>
      <c r="H119" s="44">
        <v>0</v>
      </c>
      <c r="I119" s="50"/>
      <c r="J119" s="50"/>
      <c r="K119" s="38">
        <v>45</v>
      </c>
      <c r="L119" s="38">
        <v>2025</v>
      </c>
      <c r="M119" s="98">
        <f t="shared" si="12"/>
        <v>247686647.43616638</v>
      </c>
      <c r="N119" s="49"/>
    </row>
    <row r="120" spans="2:14" x14ac:dyDescent="0.2">
      <c r="B120" s="38">
        <v>34</v>
      </c>
      <c r="C120" s="50" t="s">
        <v>117</v>
      </c>
      <c r="D120" s="50" t="s">
        <v>118</v>
      </c>
      <c r="E120" s="50"/>
      <c r="F120" s="38" t="s">
        <v>119</v>
      </c>
      <c r="G120" s="44">
        <v>1</v>
      </c>
      <c r="H120" s="44">
        <v>0</v>
      </c>
      <c r="I120" s="50"/>
      <c r="J120" s="50"/>
      <c r="K120" s="38">
        <v>55</v>
      </c>
      <c r="L120" s="38">
        <v>2025</v>
      </c>
      <c r="M120" s="98">
        <f t="shared" si="12"/>
        <v>48364286.402543224</v>
      </c>
      <c r="N120" s="49"/>
    </row>
    <row r="121" spans="2:14" x14ac:dyDescent="0.2">
      <c r="B121" s="38">
        <v>35</v>
      </c>
      <c r="C121" s="50" t="s">
        <v>117</v>
      </c>
      <c r="D121" s="50" t="s">
        <v>118</v>
      </c>
      <c r="E121" s="50"/>
      <c r="F121" s="38" t="s">
        <v>119</v>
      </c>
      <c r="G121" s="44">
        <v>1</v>
      </c>
      <c r="H121" s="44">
        <v>0</v>
      </c>
      <c r="I121" s="50"/>
      <c r="J121" s="50"/>
      <c r="K121" s="38">
        <v>0</v>
      </c>
      <c r="L121" s="38">
        <v>2025</v>
      </c>
      <c r="M121" s="98">
        <f t="shared" si="12"/>
        <v>357629.65746597864</v>
      </c>
      <c r="N121" s="49"/>
    </row>
    <row r="122" spans="2:14" x14ac:dyDescent="0.2">
      <c r="B122" s="38">
        <v>36</v>
      </c>
      <c r="C122" s="50" t="s">
        <v>117</v>
      </c>
      <c r="D122" s="50" t="s">
        <v>118</v>
      </c>
      <c r="E122" s="50"/>
      <c r="F122" s="38" t="s">
        <v>119</v>
      </c>
      <c r="G122" s="44">
        <v>1</v>
      </c>
      <c r="H122" s="44">
        <v>0</v>
      </c>
      <c r="I122" s="50"/>
      <c r="J122" s="50"/>
      <c r="K122" s="38">
        <v>5</v>
      </c>
      <c r="L122" s="38">
        <v>2026</v>
      </c>
      <c r="M122" s="98">
        <f>T71</f>
        <v>1552636.3670315791</v>
      </c>
      <c r="N122" s="49"/>
    </row>
    <row r="123" spans="2:14" x14ac:dyDescent="0.2">
      <c r="B123" s="38">
        <v>37</v>
      </c>
      <c r="C123" s="50" t="s">
        <v>117</v>
      </c>
      <c r="D123" s="50" t="s">
        <v>118</v>
      </c>
      <c r="E123" s="50"/>
      <c r="F123" s="38" t="s">
        <v>119</v>
      </c>
      <c r="G123" s="44">
        <v>1</v>
      </c>
      <c r="H123" s="44">
        <v>0</v>
      </c>
      <c r="I123" s="50"/>
      <c r="J123" s="50"/>
      <c r="K123" s="38">
        <v>10</v>
      </c>
      <c r="L123" s="38">
        <v>2026</v>
      </c>
      <c r="M123" s="98">
        <f t="shared" ref="M123:M128" si="13">T72</f>
        <v>821673.26284362969</v>
      </c>
      <c r="N123" s="49"/>
    </row>
    <row r="124" spans="2:14" x14ac:dyDescent="0.2">
      <c r="B124" s="38">
        <v>38</v>
      </c>
      <c r="C124" s="50" t="s">
        <v>117</v>
      </c>
      <c r="D124" s="50" t="s">
        <v>118</v>
      </c>
      <c r="E124" s="50"/>
      <c r="F124" s="38" t="s">
        <v>119</v>
      </c>
      <c r="G124" s="44">
        <v>1</v>
      </c>
      <c r="H124" s="44">
        <v>0</v>
      </c>
      <c r="I124" s="50"/>
      <c r="J124" s="50"/>
      <c r="K124" s="38">
        <v>25</v>
      </c>
      <c r="L124" s="38">
        <v>2026</v>
      </c>
      <c r="M124" s="98">
        <f t="shared" si="13"/>
        <v>107487.19549699286</v>
      </c>
      <c r="N124" s="49"/>
    </row>
    <row r="125" spans="2:14" x14ac:dyDescent="0.2">
      <c r="B125" s="38">
        <v>39</v>
      </c>
      <c r="C125" s="50" t="s">
        <v>117</v>
      </c>
      <c r="D125" s="50" t="s">
        <v>118</v>
      </c>
      <c r="E125" s="50"/>
      <c r="F125" s="38" t="s">
        <v>119</v>
      </c>
      <c r="G125" s="44">
        <v>1</v>
      </c>
      <c r="H125" s="44">
        <v>0</v>
      </c>
      <c r="I125" s="50"/>
      <c r="J125" s="50"/>
      <c r="K125" s="38">
        <v>30</v>
      </c>
      <c r="L125" s="38">
        <v>2026</v>
      </c>
      <c r="M125" s="98">
        <f t="shared" si="13"/>
        <v>25635851.291847326</v>
      </c>
      <c r="N125" s="49"/>
    </row>
    <row r="126" spans="2:14" x14ac:dyDescent="0.2">
      <c r="B126" s="38">
        <v>40</v>
      </c>
      <c r="C126" s="50" t="s">
        <v>117</v>
      </c>
      <c r="D126" s="50" t="s">
        <v>118</v>
      </c>
      <c r="E126" s="50"/>
      <c r="F126" s="38" t="s">
        <v>119</v>
      </c>
      <c r="G126" s="44">
        <v>1</v>
      </c>
      <c r="H126" s="44">
        <v>0</v>
      </c>
      <c r="I126" s="50"/>
      <c r="J126" s="50"/>
      <c r="K126" s="38">
        <v>45</v>
      </c>
      <c r="L126" s="38">
        <v>2026</v>
      </c>
      <c r="M126" s="98">
        <f t="shared" si="13"/>
        <v>251503442.47092298</v>
      </c>
      <c r="N126" s="49"/>
    </row>
    <row r="127" spans="2:14" x14ac:dyDescent="0.2">
      <c r="B127" s="38">
        <v>41</v>
      </c>
      <c r="C127" s="50" t="s">
        <v>117</v>
      </c>
      <c r="D127" s="50" t="s">
        <v>118</v>
      </c>
      <c r="E127" s="50"/>
      <c r="F127" s="38" t="s">
        <v>119</v>
      </c>
      <c r="G127" s="44">
        <v>1</v>
      </c>
      <c r="H127" s="44">
        <v>0</v>
      </c>
      <c r="I127" s="50"/>
      <c r="J127" s="50"/>
      <c r="K127" s="38">
        <v>55</v>
      </c>
      <c r="L127" s="38">
        <v>2026</v>
      </c>
      <c r="M127" s="98">
        <f t="shared" si="13"/>
        <v>49109569.081733055</v>
      </c>
      <c r="N127" s="49"/>
    </row>
    <row r="128" spans="2:14" x14ac:dyDescent="0.2">
      <c r="B128" s="38">
        <v>42</v>
      </c>
      <c r="C128" s="50" t="s">
        <v>117</v>
      </c>
      <c r="D128" s="50" t="s">
        <v>118</v>
      </c>
      <c r="E128" s="50"/>
      <c r="F128" s="38" t="s">
        <v>119</v>
      </c>
      <c r="G128" s="44">
        <v>1</v>
      </c>
      <c r="H128" s="44">
        <v>0</v>
      </c>
      <c r="I128" s="50"/>
      <c r="J128" s="50"/>
      <c r="K128" s="38">
        <v>0</v>
      </c>
      <c r="L128" s="38">
        <v>2026</v>
      </c>
      <c r="M128" s="98">
        <f t="shared" si="13"/>
        <v>363140.64933827822</v>
      </c>
      <c r="N128" s="49"/>
    </row>
    <row r="129" spans="2:14" x14ac:dyDescent="0.2">
      <c r="B129" s="38">
        <v>43</v>
      </c>
      <c r="C129" s="50" t="s">
        <v>117</v>
      </c>
      <c r="D129" s="50" t="s">
        <v>118</v>
      </c>
      <c r="E129" s="50"/>
      <c r="F129" s="38" t="s">
        <v>120</v>
      </c>
      <c r="G129" s="44">
        <v>0</v>
      </c>
      <c r="H129" s="44">
        <v>1</v>
      </c>
      <c r="I129" s="50"/>
      <c r="J129" s="50"/>
      <c r="K129" s="38">
        <v>39</v>
      </c>
      <c r="L129" s="38">
        <v>2021</v>
      </c>
      <c r="M129" s="98">
        <f>O79</f>
        <v>129027683.91733634</v>
      </c>
      <c r="N129" s="49"/>
    </row>
    <row r="130" spans="2:14" x14ac:dyDescent="0.2">
      <c r="B130" s="38">
        <v>44</v>
      </c>
      <c r="C130" s="50" t="s">
        <v>117</v>
      </c>
      <c r="D130" s="50" t="s">
        <v>118</v>
      </c>
      <c r="E130" s="50"/>
      <c r="F130" s="38" t="s">
        <v>120</v>
      </c>
      <c r="G130" s="44">
        <v>0</v>
      </c>
      <c r="H130" s="44">
        <v>1</v>
      </c>
      <c r="I130" s="50"/>
      <c r="J130" s="50"/>
      <c r="K130" s="38">
        <v>39</v>
      </c>
      <c r="L130" s="38">
        <v>2022</v>
      </c>
      <c r="M130" s="98">
        <f>P79</f>
        <v>135445097.26560557</v>
      </c>
      <c r="N130" s="49"/>
    </row>
    <row r="131" spans="2:14" x14ac:dyDescent="0.2">
      <c r="B131" s="38">
        <v>45</v>
      </c>
      <c r="C131" s="50" t="s">
        <v>117</v>
      </c>
      <c r="D131" s="50" t="s">
        <v>118</v>
      </c>
      <c r="E131" s="50"/>
      <c r="F131" s="38" t="s">
        <v>120</v>
      </c>
      <c r="G131" s="44">
        <v>0</v>
      </c>
      <c r="H131" s="44">
        <v>1</v>
      </c>
      <c r="I131" s="50"/>
      <c r="J131" s="50"/>
      <c r="K131" s="38">
        <v>39</v>
      </c>
      <c r="L131" s="38">
        <v>2023</v>
      </c>
      <c r="M131" s="98">
        <f>Q79</f>
        <v>142181691.68286872</v>
      </c>
      <c r="N131" s="49"/>
    </row>
    <row r="132" spans="2:14" x14ac:dyDescent="0.2">
      <c r="B132" s="38">
        <v>46</v>
      </c>
      <c r="C132" s="50" t="s">
        <v>117</v>
      </c>
      <c r="D132" s="50" t="s">
        <v>118</v>
      </c>
      <c r="E132" s="50"/>
      <c r="F132" s="38" t="s">
        <v>120</v>
      </c>
      <c r="G132" s="44">
        <v>0</v>
      </c>
      <c r="H132" s="44">
        <v>1</v>
      </c>
      <c r="I132" s="50"/>
      <c r="J132" s="50"/>
      <c r="K132" s="38">
        <v>39</v>
      </c>
      <c r="L132" s="38">
        <v>2024</v>
      </c>
      <c r="M132" s="98">
        <f>R79</f>
        <v>149253342.18749771</v>
      </c>
      <c r="N132" s="49"/>
    </row>
    <row r="133" spans="2:14" x14ac:dyDescent="0.2">
      <c r="B133" s="38">
        <v>47</v>
      </c>
      <c r="C133" s="50" t="s">
        <v>117</v>
      </c>
      <c r="D133" s="50" t="s">
        <v>118</v>
      </c>
      <c r="E133" s="50"/>
      <c r="F133" s="38" t="s">
        <v>120</v>
      </c>
      <c r="G133" s="44">
        <v>0</v>
      </c>
      <c r="H133" s="44">
        <v>1</v>
      </c>
      <c r="I133" s="50"/>
      <c r="J133" s="50"/>
      <c r="K133" s="38">
        <v>39</v>
      </c>
      <c r="L133" s="38">
        <v>2025</v>
      </c>
      <c r="M133" s="98">
        <f>S79</f>
        <v>156676713.36915421</v>
      </c>
      <c r="N133" s="49"/>
    </row>
    <row r="134" spans="2:14" x14ac:dyDescent="0.2">
      <c r="B134" s="38">
        <v>48</v>
      </c>
      <c r="C134" s="50" t="s">
        <v>117</v>
      </c>
      <c r="D134" s="50" t="s">
        <v>118</v>
      </c>
      <c r="E134" s="50"/>
      <c r="F134" s="38" t="s">
        <v>120</v>
      </c>
      <c r="G134" s="44">
        <v>0</v>
      </c>
      <c r="H134" s="44">
        <v>1</v>
      </c>
      <c r="I134" s="50"/>
      <c r="J134" s="50"/>
      <c r="K134" s="38">
        <v>39</v>
      </c>
      <c r="L134" s="38">
        <v>2026</v>
      </c>
      <c r="M134" s="98">
        <f>T79</f>
        <v>164469298.65947318</v>
      </c>
      <c r="N134" s="49"/>
    </row>
  </sheetData>
  <dataValidations disablePrompts="1" count="1">
    <dataValidation allowBlank="1" showInputMessage="1" showErrorMessage="1" errorTitle="Niet bestaande activacategorie" error="Je kan alleen activacategoriëen kiezen die terug te vinden zijn op het &quot;Activacategoriëen&quot; tabblad." sqref="E87:E134" xr:uid="{00000000-0002-0000-0C00-000000000000}"/>
  </dataValidations>
  <pageMargins left="0.7" right="0.7" top="0.75" bottom="0.75" header="0.3" footer="0.3"/>
  <pageSetup paperSize="9" orientation="portrait" r:id="rId1"/>
  <ignoredErrors>
    <ignoredError sqref="L10:T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sheetPr>
  <dimension ref="B2:R69"/>
  <sheetViews>
    <sheetView showGridLines="0" zoomScale="85" zoomScaleNormal="85" workbookViewId="0">
      <pane xSplit="6" ySplit="11" topLeftCell="G12" activePane="bottomRight" state="frozen"/>
      <selection pane="topRight" activeCell="G1" sqref="G1"/>
      <selection pane="bottomLeft" activeCell="A12" sqref="A12"/>
      <selection pane="bottomRight" activeCell="G12" sqref="G12"/>
    </sheetView>
  </sheetViews>
  <sheetFormatPr defaultRowHeight="12.75" x14ac:dyDescent="0.2"/>
  <cols>
    <col min="1" max="1" width="4.7109375" style="2" customWidth="1"/>
    <col min="2" max="2" width="57.710937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5" style="2" bestFit="1" customWidth="1"/>
    <col min="11" max="11" width="2.7109375" style="2" customWidth="1"/>
    <col min="12" max="16" width="20" style="2" customWidth="1"/>
    <col min="17" max="17" width="2.7109375" style="2" customWidth="1"/>
    <col min="18" max="32" width="13.7109375" style="2" customWidth="1"/>
    <col min="33" max="16384" width="9.140625" style="2"/>
  </cols>
  <sheetData>
    <row r="2" spans="2:18" s="22" customFormat="1" ht="18" x14ac:dyDescent="0.2">
      <c r="B2" s="22" t="s">
        <v>221</v>
      </c>
    </row>
    <row r="4" spans="2:18" x14ac:dyDescent="0.2">
      <c r="B4" s="31" t="s">
        <v>53</v>
      </c>
      <c r="C4" s="1"/>
      <c r="D4" s="1"/>
    </row>
    <row r="5" spans="2:18" ht="96" customHeight="1" x14ac:dyDescent="0.2">
      <c r="B5" s="59" t="s">
        <v>245</v>
      </c>
      <c r="C5" s="1"/>
      <c r="D5" s="1"/>
    </row>
    <row r="6" spans="2:18" x14ac:dyDescent="0.2">
      <c r="B6" s="27"/>
      <c r="C6" s="3"/>
      <c r="D6" s="3"/>
      <c r="H6" s="23"/>
    </row>
    <row r="7" spans="2:18" x14ac:dyDescent="0.2">
      <c r="B7" s="32" t="s">
        <v>26</v>
      </c>
      <c r="C7" s="3"/>
      <c r="D7" s="3"/>
      <c r="H7" s="23"/>
    </row>
    <row r="8" spans="2:18" x14ac:dyDescent="0.2">
      <c r="B8" s="68"/>
      <c r="C8" s="3"/>
      <c r="D8" s="3"/>
    </row>
    <row r="10" spans="2:18" s="9" customFormat="1" x14ac:dyDescent="0.2">
      <c r="B10" s="9" t="s">
        <v>42</v>
      </c>
      <c r="F10" s="9" t="s">
        <v>23</v>
      </c>
      <c r="H10" s="9" t="s">
        <v>24</v>
      </c>
      <c r="J10" s="9" t="s">
        <v>45</v>
      </c>
      <c r="L10" s="72" t="s">
        <v>100</v>
      </c>
      <c r="M10" s="72" t="s">
        <v>101</v>
      </c>
      <c r="N10" s="72" t="s">
        <v>102</v>
      </c>
      <c r="O10" s="72" t="s">
        <v>103</v>
      </c>
      <c r="P10" s="72" t="s">
        <v>104</v>
      </c>
      <c r="R10" s="9" t="s">
        <v>44</v>
      </c>
    </row>
    <row r="13" spans="2:18" s="9" customFormat="1" x14ac:dyDescent="0.2">
      <c r="B13" s="9" t="s">
        <v>110</v>
      </c>
    </row>
    <row r="15" spans="2:18" x14ac:dyDescent="0.2">
      <c r="B15" s="1" t="s">
        <v>175</v>
      </c>
    </row>
    <row r="16" spans="2:18" x14ac:dyDescent="0.2">
      <c r="B16" s="2" t="s">
        <v>111</v>
      </c>
      <c r="F16" s="2" t="s">
        <v>172</v>
      </c>
      <c r="L16" s="55">
        <f>Reguleringsparameters!P25</f>
        <v>3.3000000000000002E-2</v>
      </c>
      <c r="M16" s="55">
        <f>Reguleringsparameters!Q25</f>
        <v>3.2000000000000001E-2</v>
      </c>
      <c r="N16" s="55">
        <f>Reguleringsparameters!R25</f>
        <v>3.6999999999999998E-2</v>
      </c>
      <c r="O16" s="55">
        <f>Reguleringsparameters!S25</f>
        <v>3.6999999999999998E-2</v>
      </c>
      <c r="P16" s="55">
        <f>Reguleringsparameters!T25</f>
        <v>3.6999999999999998E-2</v>
      </c>
    </row>
    <row r="17" spans="2:16" x14ac:dyDescent="0.2">
      <c r="B17" s="2" t="s">
        <v>112</v>
      </c>
      <c r="F17" s="2" t="s">
        <v>172</v>
      </c>
      <c r="L17" s="55">
        <f>Reguleringsparameters!P26</f>
        <v>1.4999999999999999E-2</v>
      </c>
      <c r="M17" s="55">
        <f>Reguleringsparameters!Q26</f>
        <v>1.4E-2</v>
      </c>
      <c r="N17" s="55">
        <f>Reguleringsparameters!R26</f>
        <v>1.9E-2</v>
      </c>
      <c r="O17" s="55">
        <f>Reguleringsparameters!S26</f>
        <v>1.9E-2</v>
      </c>
      <c r="P17" s="55">
        <f>Reguleringsparameters!T26</f>
        <v>1.9E-2</v>
      </c>
    </row>
    <row r="19" spans="2:16" s="9" customFormat="1" x14ac:dyDescent="0.2">
      <c r="B19" s="9" t="s">
        <v>198</v>
      </c>
    </row>
    <row r="21" spans="2:16" x14ac:dyDescent="0.2">
      <c r="B21" s="31" t="s">
        <v>105</v>
      </c>
    </row>
    <row r="22" spans="2:16" x14ac:dyDescent="0.2">
      <c r="B22" s="2" t="s">
        <v>145</v>
      </c>
      <c r="F22" s="2" t="s">
        <v>189</v>
      </c>
      <c r="L22" s="43">
        <f>'BW &amp; afsch'!J19</f>
        <v>3161816074.5757761</v>
      </c>
      <c r="M22" s="43">
        <f>'BW &amp; afsch'!J20</f>
        <v>2995138053.9413471</v>
      </c>
      <c r="N22" s="43">
        <f>'BW &amp; afsch'!J21</f>
        <v>2821435196.1559162</v>
      </c>
      <c r="O22" s="43">
        <f>'BW &amp; afsch'!J22</f>
        <v>2640508610.7607327</v>
      </c>
      <c r="P22" s="43">
        <f>'BW &amp; afsch'!J23</f>
        <v>2452154523.2877679</v>
      </c>
    </row>
    <row r="23" spans="2:16" x14ac:dyDescent="0.2">
      <c r="B23" s="2" t="s">
        <v>146</v>
      </c>
      <c r="F23" s="2" t="s">
        <v>189</v>
      </c>
      <c r="L23" s="43">
        <f>'BW &amp; afsch'!J27</f>
        <v>219637239.66286165</v>
      </c>
      <c r="M23" s="43">
        <f>'BW &amp; afsch'!J28</f>
        <v>223590709.97679311</v>
      </c>
      <c r="N23" s="43">
        <f>'BW &amp; afsch'!J29</f>
        <v>227615342.75637546</v>
      </c>
      <c r="O23" s="43">
        <f>'BW &amp; afsch'!J30</f>
        <v>231712418.92599022</v>
      </c>
      <c r="P23" s="43">
        <f>'BW &amp; afsch'!J31</f>
        <v>235883242.46665803</v>
      </c>
    </row>
    <row r="24" spans="2:16" x14ac:dyDescent="0.2">
      <c r="B24" s="2" t="s">
        <v>180</v>
      </c>
      <c r="F24" s="2" t="s">
        <v>189</v>
      </c>
      <c r="L24" s="43">
        <f>'BW &amp; afsch'!J35</f>
        <v>3000761921.4544277</v>
      </c>
      <c r="M24" s="43">
        <f>'BW &amp; afsch'!J36</f>
        <v>2967709931.5920534</v>
      </c>
      <c r="N24" s="43">
        <f>'BW &amp; afsch'!J37</f>
        <v>2933012931.3311038</v>
      </c>
      <c r="O24" s="43">
        <f>'BW &amp; afsch'!J38</f>
        <v>2896612091.1421461</v>
      </c>
      <c r="P24" s="43">
        <f>'BW &amp; afsch'!J39</f>
        <v>2858188444.7645526</v>
      </c>
    </row>
    <row r="25" spans="2:16" x14ac:dyDescent="0.2">
      <c r="B25" s="2" t="s">
        <v>181</v>
      </c>
      <c r="F25" s="2" t="s">
        <v>189</v>
      </c>
      <c r="L25" s="43">
        <f>'BW &amp; afsch'!J43</f>
        <v>85993279.252500325</v>
      </c>
      <c r="M25" s="43">
        <f>'BW &amp; afsch'!J44</f>
        <v>87065704.448554516</v>
      </c>
      <c r="N25" s="43">
        <f>'BW &amp; afsch'!J45</f>
        <v>88115779.029606074</v>
      </c>
      <c r="O25" s="43">
        <f>'BW &amp; afsch'!J46</f>
        <v>89195072.952916831</v>
      </c>
      <c r="P25" s="43">
        <f>'BW &amp; afsch'!J47</f>
        <v>90562664.018152669</v>
      </c>
    </row>
    <row r="26" spans="2:16" x14ac:dyDescent="0.2">
      <c r="B26" s="2" t="s">
        <v>147</v>
      </c>
      <c r="F26" s="2" t="s">
        <v>189</v>
      </c>
      <c r="L26" s="43">
        <f>'BW &amp; afsch'!J53</f>
        <v>307758878.60559684</v>
      </c>
      <c r="M26" s="43">
        <f>'BW &amp; afsch'!J54</f>
        <v>285602191.32780546</v>
      </c>
      <c r="N26" s="43">
        <f>'BW &amp; afsch'!J55</f>
        <v>262548149.43134537</v>
      </c>
      <c r="O26" s="43">
        <f>'BW &amp; afsch'!J56</f>
        <v>238571626.91662249</v>
      </c>
      <c r="P26" s="43">
        <f>'BW &amp; afsch'!J57</f>
        <v>213646883.99095386</v>
      </c>
    </row>
    <row r="27" spans="2:16" x14ac:dyDescent="0.2">
      <c r="B27" s="2" t="s">
        <v>148</v>
      </c>
      <c r="F27" s="2" t="s">
        <v>189</v>
      </c>
      <c r="L27" s="43">
        <f>'BW &amp; afsch'!J61</f>
        <v>27206627.792428415</v>
      </c>
      <c r="M27" s="43">
        <f>'BW &amp; afsch'!J62</f>
        <v>27696347.092692129</v>
      </c>
      <c r="N27" s="43">
        <f>'BW &amp; afsch'!J63</f>
        <v>28194881.340360586</v>
      </c>
      <c r="O27" s="43">
        <f>'BW &amp; afsch'!J64</f>
        <v>28702389.204487078</v>
      </c>
      <c r="P27" s="43">
        <f>'BW &amp; afsch'!J65</f>
        <v>29219032.210167844</v>
      </c>
    </row>
    <row r="28" spans="2:16" x14ac:dyDescent="0.2">
      <c r="B28" s="2" t="s">
        <v>183</v>
      </c>
      <c r="F28" s="2" t="s">
        <v>189</v>
      </c>
      <c r="L28" s="43">
        <f>'BW &amp; afsch'!J69</f>
        <v>1250887264.9062438</v>
      </c>
      <c r="M28" s="43">
        <f>'BW &amp; afsch'!J70</f>
        <v>1232015098.6920738</v>
      </c>
      <c r="N28" s="43">
        <f>'BW &amp; afsch'!J71</f>
        <v>1212058247.0203643</v>
      </c>
      <c r="O28" s="43">
        <f>'BW &amp; afsch'!J72</f>
        <v>1190983775.7964969</v>
      </c>
      <c r="P28" s="43">
        <f>'BW &amp; afsch'!J73</f>
        <v>1168757916.7365358</v>
      </c>
    </row>
    <row r="29" spans="2:16" x14ac:dyDescent="0.2">
      <c r="B29" s="2" t="s">
        <v>197</v>
      </c>
      <c r="F29" s="2" t="s">
        <v>189</v>
      </c>
      <c r="L29" s="43">
        <f>'BW &amp; afsch'!J77</f>
        <v>40656323.165503152</v>
      </c>
      <c r="M29" s="43">
        <f>'BW &amp; afsch'!J78</f>
        <v>41388136.982482217</v>
      </c>
      <c r="N29" s="43">
        <f>'BW &amp; afsch'!J79</f>
        <v>42133123.448166892</v>
      </c>
      <c r="O29" s="43">
        <f>'BW &amp; afsch'!J80</f>
        <v>42891519.670233898</v>
      </c>
      <c r="P29" s="43">
        <f>'BW &amp; afsch'!J81</f>
        <v>43663567.024298117</v>
      </c>
    </row>
    <row r="31" spans="2:16" x14ac:dyDescent="0.2">
      <c r="B31" s="31" t="s">
        <v>113</v>
      </c>
    </row>
    <row r="32" spans="2:16" x14ac:dyDescent="0.2">
      <c r="B32" s="2" t="s">
        <v>145</v>
      </c>
      <c r="F32" s="2" t="s">
        <v>189</v>
      </c>
      <c r="L32" s="43">
        <f>'BW &amp; afsch'!J90</f>
        <v>3062758965.268374</v>
      </c>
      <c r="M32" s="43">
        <f>'BW &amp; afsch'!J91</f>
        <v>2824362074.2813678</v>
      </c>
      <c r="N32" s="43">
        <f>'BW &amp; afsch'!J92</f>
        <v>2604535715.6684194</v>
      </c>
      <c r="O32" s="43">
        <f>'BW &amp; afsch'!J93</f>
        <v>2394330571.0649557</v>
      </c>
      <c r="P32" s="43">
        <f>'BW &amp; afsch'!J94</f>
        <v>2184270077.2221222</v>
      </c>
    </row>
    <row r="33" spans="2:16" x14ac:dyDescent="0.2">
      <c r="B33" s="2" t="s">
        <v>146</v>
      </c>
      <c r="F33" s="2" t="s">
        <v>189</v>
      </c>
      <c r="L33" s="43">
        <f>'BW &amp; afsch'!J98</f>
        <v>258904408.24698815</v>
      </c>
      <c r="M33" s="43">
        <f>'BW &amp; afsch'!J99</f>
        <v>238396890.98700577</v>
      </c>
      <c r="N33" s="43">
        <f>'BW &amp; afsch'!J100</f>
        <v>219826358.61294827</v>
      </c>
      <c r="O33" s="43">
        <f>'BW &amp; afsch'!J101</f>
        <v>210205144.60346362</v>
      </c>
      <c r="P33" s="43">
        <f>'BW &amp; afsch'!J102</f>
        <v>210060493.8428337</v>
      </c>
    </row>
    <row r="34" spans="2:16" x14ac:dyDescent="0.2">
      <c r="B34" s="2" t="s">
        <v>180</v>
      </c>
      <c r="F34" s="2" t="s">
        <v>189</v>
      </c>
      <c r="L34" s="43">
        <f>'BW &amp; afsch'!J106</f>
        <v>2930861643.2455702</v>
      </c>
      <c r="M34" s="43">
        <f>'BW &amp; afsch'!J107</f>
        <v>2834012067.7133317</v>
      </c>
      <c r="N34" s="43">
        <f>'BW &amp; afsch'!J108</f>
        <v>2740881006.4931183</v>
      </c>
      <c r="O34" s="43">
        <f>'BW &amp; afsch'!J109</f>
        <v>2651266555.1043038</v>
      </c>
      <c r="P34" s="43">
        <f>'BW &amp; afsch'!J110</f>
        <v>2564609021.7259817</v>
      </c>
    </row>
    <row r="35" spans="2:16" x14ac:dyDescent="0.2">
      <c r="B35" s="2" t="s">
        <v>181</v>
      </c>
      <c r="F35" s="2" t="s">
        <v>189</v>
      </c>
      <c r="L35" s="43">
        <f>'BW &amp; afsch'!J114</f>
        <v>101314388.88304348</v>
      </c>
      <c r="M35" s="43">
        <f>'BW &amp; afsch'!J115</f>
        <v>96849575.532236606</v>
      </c>
      <c r="N35" s="43">
        <f>'BW &amp; afsch'!J116</f>
        <v>93131061.220214009</v>
      </c>
      <c r="O35" s="43">
        <f>'BW &amp; afsch'!J117</f>
        <v>89614451.38881509</v>
      </c>
      <c r="P35" s="43">
        <f>'BW &amp; afsch'!J118</f>
        <v>86657533.378322139</v>
      </c>
    </row>
    <row r="36" spans="2:16" x14ac:dyDescent="0.2">
      <c r="B36" s="2" t="s">
        <v>147</v>
      </c>
      <c r="F36" s="2" t="s">
        <v>189</v>
      </c>
      <c r="L36" s="43">
        <f>'BW &amp; afsch'!J124</f>
        <v>296972056.0384196</v>
      </c>
      <c r="M36" s="43">
        <f>'BW &amp; afsch'!J125</f>
        <v>268177838.24858558</v>
      </c>
      <c r="N36" s="43">
        <f>'BW &amp; afsch'!J126</f>
        <v>241736359.79323828</v>
      </c>
      <c r="O36" s="43">
        <f>'BW &amp; afsch'!J127</f>
        <v>215800668.83744618</v>
      </c>
      <c r="P36" s="43">
        <f>'BW &amp; afsch'!J128</f>
        <v>189864977.88165402</v>
      </c>
    </row>
    <row r="37" spans="2:16" x14ac:dyDescent="0.2">
      <c r="B37" s="2" t="s">
        <v>148</v>
      </c>
      <c r="F37" s="2" t="s">
        <v>189</v>
      </c>
      <c r="L37" s="43">
        <f>'BW &amp; afsch'!J132</f>
        <v>32070681.091271214</v>
      </c>
      <c r="M37" s="43">
        <f>'BW &amp; afsch'!J133</f>
        <v>28794217.78983403</v>
      </c>
      <c r="N37" s="43">
        <f>'BW &amp; afsch'!J134</f>
        <v>26441478.455347307</v>
      </c>
      <c r="O37" s="43">
        <f>'BW &amp; afsch'!J135</f>
        <v>25935690.955792136</v>
      </c>
      <c r="P37" s="43">
        <f>'BW &amp; afsch'!J136</f>
        <v>25935690.955792136</v>
      </c>
    </row>
    <row r="38" spans="2:16" x14ac:dyDescent="0.2">
      <c r="B38" s="2" t="s">
        <v>183</v>
      </c>
      <c r="F38" s="2" t="s">
        <v>189</v>
      </c>
      <c r="L38" s="43">
        <f>'BW &amp; afsch'!J140</f>
        <v>1220781925.6121247</v>
      </c>
      <c r="M38" s="43">
        <f>'BW &amp; afsch'!J141</f>
        <v>1174686761.2593839</v>
      </c>
      <c r="N38" s="43">
        <f>'BW &amp; afsch'!J142</f>
        <v>1130350773.9226632</v>
      </c>
      <c r="O38" s="43">
        <f>'BW &amp; afsch'!J143</f>
        <v>1087706117.8114269</v>
      </c>
      <c r="P38" s="43">
        <f>'BW &amp; afsch'!J144</f>
        <v>1046687590.5617974</v>
      </c>
    </row>
    <row r="39" spans="2:16" x14ac:dyDescent="0.2">
      <c r="B39" s="2" t="s">
        <v>197</v>
      </c>
      <c r="F39" s="2" t="s">
        <v>189</v>
      </c>
      <c r="L39" s="43">
        <f>'BW &amp; afsch'!J148</f>
        <v>47924938.898432009</v>
      </c>
      <c r="M39" s="43">
        <f>'BW &amp; afsch'!J149</f>
        <v>46095164.352740735</v>
      </c>
      <c r="N39" s="43">
        <f>'BW &amp; afsch'!J150</f>
        <v>44335987.336721174</v>
      </c>
      <c r="O39" s="43">
        <f>'BW &amp; afsch'!J151</f>
        <v>42644656.111235932</v>
      </c>
      <c r="P39" s="43">
        <f>'BW &amp; afsch'!J152</f>
        <v>41018527.24962949</v>
      </c>
    </row>
    <row r="42" spans="2:16" s="9" customFormat="1" x14ac:dyDescent="0.2">
      <c r="B42" s="9" t="s">
        <v>199</v>
      </c>
    </row>
    <row r="44" spans="2:16" x14ac:dyDescent="0.2">
      <c r="B44" s="31" t="s">
        <v>105</v>
      </c>
    </row>
    <row r="45" spans="2:16" x14ac:dyDescent="0.2">
      <c r="B45" s="2" t="s">
        <v>151</v>
      </c>
      <c r="F45" s="2" t="s">
        <v>189</v>
      </c>
      <c r="J45" s="71">
        <f>SUM(L45:P45)</f>
        <v>6118511387.644207</v>
      </c>
      <c r="L45" s="43">
        <f>'BW &amp; afsch investeringen 21-26'!L16</f>
        <v>605346351.33822107</v>
      </c>
      <c r="M45" s="43">
        <f>'BW &amp; afsch investeringen 21-26'!M16</f>
        <v>912056585.89644408</v>
      </c>
      <c r="N45" s="43">
        <f>'BW &amp; afsch investeringen 21-26'!N16</f>
        <v>1221288038.0246913</v>
      </c>
      <c r="O45" s="43">
        <f>'BW &amp; afsch investeringen 21-26'!O16</f>
        <v>1532903823.1188316</v>
      </c>
      <c r="P45" s="43">
        <f>'BW &amp; afsch investeringen 21-26'!P16</f>
        <v>1846916589.2660189</v>
      </c>
    </row>
    <row r="46" spans="2:16" x14ac:dyDescent="0.2">
      <c r="B46" s="2" t="s">
        <v>152</v>
      </c>
      <c r="F46" s="2" t="s">
        <v>189</v>
      </c>
      <c r="J46" s="71">
        <f>SUM(L46:P46)</f>
        <v>132960234.03036812</v>
      </c>
      <c r="L46" s="43">
        <f>'BW &amp; afsch investeringen 21-26'!L17</f>
        <v>10930340.827219788</v>
      </c>
      <c r="M46" s="43">
        <f>'BW &amp; afsch investeringen 21-26'!M17</f>
        <v>18523129.784135364</v>
      </c>
      <c r="N46" s="43">
        <f>'BW &amp; afsch investeringen 21-26'!N17</f>
        <v>26366560.283936981</v>
      </c>
      <c r="O46" s="43">
        <f>'BW &amp; afsch investeringen 21-26'!O17</f>
        <v>34466900.146910504</v>
      </c>
      <c r="P46" s="43">
        <f>'BW &amp; afsch investeringen 21-26'!P17</f>
        <v>42673302.988165475</v>
      </c>
    </row>
    <row r="47" spans="2:16" x14ac:dyDescent="0.2">
      <c r="B47" s="2" t="s">
        <v>153</v>
      </c>
      <c r="F47" s="2" t="s">
        <v>189</v>
      </c>
      <c r="J47" s="71">
        <f>SUM(L47:P47)</f>
        <v>2738061987.2986922</v>
      </c>
      <c r="L47" s="43">
        <f>'BW &amp; afsch investeringen 21-26'!L18</f>
        <v>260006873.80179822</v>
      </c>
      <c r="M47" s="43">
        <f>'BW &amp; afsch investeringen 21-26'!M18</f>
        <v>398081806.1267975</v>
      </c>
      <c r="N47" s="43">
        <f>'BW &amp; afsch investeringen 21-26'!N18</f>
        <v>541786416.09502149</v>
      </c>
      <c r="O47" s="43">
        <f>'BW &amp; afsch investeringen 21-26'!O18</f>
        <v>691315601.26078761</v>
      </c>
      <c r="P47" s="43">
        <f>'BW &amp; afsch investeringen 21-26'!P18</f>
        <v>846871290.01428735</v>
      </c>
    </row>
    <row r="48" spans="2:16" x14ac:dyDescent="0.2">
      <c r="B48" s="2" t="s">
        <v>154</v>
      </c>
      <c r="F48" s="2" t="s">
        <v>189</v>
      </c>
      <c r="J48" s="71">
        <f>SUM(L48:P48)</f>
        <v>64862491.234050944</v>
      </c>
      <c r="L48" s="43">
        <f>'BW &amp; afsch investeringen 21-26'!L19</f>
        <v>5104428.9964269539</v>
      </c>
      <c r="M48" s="43">
        <f>'BW &amp; afsch investeringen 21-26'!M19</f>
        <v>8786883.0863018073</v>
      </c>
      <c r="N48" s="43">
        <f>'BW &amp; afsch investeringen 21-26'!N19</f>
        <v>12714204.729555987</v>
      </c>
      <c r="O48" s="43">
        <f>'BW &amp; afsch investeringen 21-26'!O19</f>
        <v>16899683.693098594</v>
      </c>
      <c r="P48" s="43">
        <f>'BW &amp; afsch investeringen 21-26'!P19</f>
        <v>21357290.728667602</v>
      </c>
    </row>
    <row r="50" spans="2:16" x14ac:dyDescent="0.2">
      <c r="B50" s="31" t="s">
        <v>113</v>
      </c>
    </row>
    <row r="51" spans="2:16" x14ac:dyDescent="0.2">
      <c r="B51" s="2" t="s">
        <v>151</v>
      </c>
      <c r="F51" s="2" t="s">
        <v>189</v>
      </c>
      <c r="J51" s="71">
        <f>SUM(L51:P51)</f>
        <v>5886601478.0413017</v>
      </c>
      <c r="L51" s="43">
        <f>'BW &amp; afsch investeringen 21-26'!L22</f>
        <v>597891866.69886863</v>
      </c>
      <c r="M51" s="43">
        <f>'BW &amp; afsch investeringen 21-26'!M22</f>
        <v>890946580.16385722</v>
      </c>
      <c r="N51" s="43">
        <f>'BW &amp; afsch investeringen 21-26'!N22</f>
        <v>1180571084.0129714</v>
      </c>
      <c r="O51" s="43">
        <f>'BW &amp; afsch investeringen 21-26'!O22</f>
        <v>1466917477.2333126</v>
      </c>
      <c r="P51" s="43">
        <f>'BW &amp; afsch investeringen 21-26'!P22</f>
        <v>1750274469.9322915</v>
      </c>
    </row>
    <row r="52" spans="2:16" x14ac:dyDescent="0.2">
      <c r="B52" s="2" t="s">
        <v>152</v>
      </c>
      <c r="F52" s="2" t="s">
        <v>189</v>
      </c>
      <c r="J52" s="71">
        <f>SUM(L52:P52)</f>
        <v>147290485.41503456</v>
      </c>
      <c r="L52" s="43">
        <f>'BW &amp; afsch investeringen 21-26'!L23</f>
        <v>12961663.888318904</v>
      </c>
      <c r="M52" s="43">
        <f>'BW &amp; afsch investeringen 21-26'!M23</f>
        <v>21282416.553281885</v>
      </c>
      <c r="N52" s="43">
        <f>'BW &amp; afsch investeringen 21-26'!N23</f>
        <v>29556490.016933437</v>
      </c>
      <c r="O52" s="43">
        <f>'BW &amp; afsch investeringen 21-26'!O23</f>
        <v>37753107.336265437</v>
      </c>
      <c r="P52" s="43">
        <f>'BW &amp; afsch investeringen 21-26'!P23</f>
        <v>45736807.620234914</v>
      </c>
    </row>
    <row r="53" spans="2:16" x14ac:dyDescent="0.2">
      <c r="B53" s="2" t="s">
        <v>153</v>
      </c>
      <c r="F53" s="2" t="s">
        <v>189</v>
      </c>
      <c r="J53" s="71">
        <f>SUM(L53:P53)</f>
        <v>2634577884.3143573</v>
      </c>
      <c r="L53" s="43">
        <f>'BW &amp; afsch investeringen 21-26'!L24</f>
        <v>256764726.79784358</v>
      </c>
      <c r="M53" s="43">
        <f>'BW &amp; afsch investeringen 21-26'!M24</f>
        <v>388809242.65914035</v>
      </c>
      <c r="N53" s="43">
        <f>'BW &amp; afsch investeringen 21-26'!N24</f>
        <v>523755243.22047085</v>
      </c>
      <c r="O53" s="43">
        <f>'BW &amp; afsch investeringen 21-26'!O24</f>
        <v>661859713.71275568</v>
      </c>
      <c r="P53" s="43">
        <f>'BW &amp; afsch investeringen 21-26'!P24</f>
        <v>803388957.92414677</v>
      </c>
    </row>
    <row r="54" spans="2:16" x14ac:dyDescent="0.2">
      <c r="B54" s="2" t="s">
        <v>154</v>
      </c>
      <c r="F54" s="2" t="s">
        <v>189</v>
      </c>
      <c r="J54" s="71">
        <f>SUM(L54:P54)</f>
        <v>72010668.081925601</v>
      </c>
      <c r="L54" s="43">
        <f>'BW &amp; afsch investeringen 21-26'!L25</f>
        <v>6053853.3092350494</v>
      </c>
      <c r="M54" s="43">
        <f>'BW &amp; afsch investeringen 21-26'!M25</f>
        <v>10137175.821571948</v>
      </c>
      <c r="N54" s="43">
        <f>'BW &amp; afsch investeringen 21-26'!N25</f>
        <v>14307341.626167241</v>
      </c>
      <c r="O54" s="43">
        <f>'BW &amp; afsch investeringen 21-26'!O25</f>
        <v>18572242.876869384</v>
      </c>
      <c r="P54" s="43">
        <f>'BW &amp; afsch investeringen 21-26'!P25</f>
        <v>22940054.448081978</v>
      </c>
    </row>
    <row r="57" spans="2:16" s="9" customFormat="1" x14ac:dyDescent="0.2">
      <c r="B57" s="47" t="s">
        <v>200</v>
      </c>
    </row>
    <row r="58" spans="2:16" x14ac:dyDescent="0.2">
      <c r="L58" s="57"/>
      <c r="M58" s="57"/>
      <c r="N58" s="57"/>
      <c r="O58" s="57"/>
      <c r="P58" s="57"/>
    </row>
    <row r="59" spans="2:16" x14ac:dyDescent="0.2">
      <c r="B59" s="31" t="s">
        <v>201</v>
      </c>
    </row>
    <row r="60" spans="2:16" x14ac:dyDescent="0.2">
      <c r="B60" s="2" t="s">
        <v>204</v>
      </c>
      <c r="F60" s="2" t="s">
        <v>189</v>
      </c>
      <c r="L60" s="44">
        <f>L$17*(L22+L24)+L23+L25+L$17*L45+L46</f>
        <v>418079724.95310813</v>
      </c>
      <c r="M60" s="44">
        <f>M$17*(M22+M24)+M23+M25+M$17*M45+M46</f>
        <v>425428208.20950079</v>
      </c>
      <c r="N60" s="44">
        <f>N$17*(N22+N24)+N23+N25+N$17*N45+N46</f>
        <v>474636669.21464103</v>
      </c>
      <c r="O60" s="44">
        <f>O$17*(O22+O24)+O23+O25+O$17*O45+O46</f>
        <v>489704858.00123006</v>
      </c>
      <c r="P60" s="44">
        <f>P$17*(P22+P24)+P23+P25+P$17*P45+P46</f>
        <v>505107141.06202459</v>
      </c>
    </row>
    <row r="61" spans="2:16" x14ac:dyDescent="0.2">
      <c r="B61" s="2" t="s">
        <v>205</v>
      </c>
      <c r="F61" s="2" t="s">
        <v>189</v>
      </c>
      <c r="L61" s="44">
        <f>L$17*(L26+L28)+L27+L29+L$17*L47+L48</f>
        <v>100247175.21406311</v>
      </c>
      <c r="M61" s="44">
        <f>M$17*(M26+M28)+M27+M29+M$17*M47+M48</f>
        <v>104691154.50752963</v>
      </c>
      <c r="N61" s="44">
        <f>N$17*(N26+N28)+N27+N29+N$17*N47+N48</f>
        <v>121353672.95647135</v>
      </c>
      <c r="O61" s="44">
        <f>O$17*(O26+O28)+O27+O29+O$17*O47+O48</f>
        <v>128790141.64332379</v>
      </c>
      <c r="P61" s="44">
        <f>P$17*(P26+P28)+P27+P29+P$17*P47+P48</f>
        <v>136596135.68722731</v>
      </c>
    </row>
    <row r="63" spans="2:16" x14ac:dyDescent="0.2">
      <c r="B63" s="31" t="s">
        <v>202</v>
      </c>
    </row>
    <row r="64" spans="2:16" x14ac:dyDescent="0.2">
      <c r="B64" s="2" t="s">
        <v>204</v>
      </c>
      <c r="F64" s="2" t="s">
        <v>189</v>
      </c>
      <c r="L64" s="44">
        <f>L$16*(L32+L34)+L33+L35+L$16*L51+L52</f>
        <v>590700372.70037341</v>
      </c>
      <c r="M64" s="44">
        <f>M$16*(M32+M34)+M33+M35+M$16*M51+M52</f>
        <v>566107146.18159819</v>
      </c>
      <c r="N64" s="44">
        <f>N$16*(N32+N34)+N33+N35+N$16*N51+N52</f>
        <v>583975458.67855251</v>
      </c>
      <c r="O64" s="44">
        <f>O$16*(O32+O34)+O33+O35+O$16*O51+O52</f>
        <v>578535743.65443933</v>
      </c>
      <c r="P64" s="44">
        <f>P$16*(P32+P34)+P33+P35+P$16*P51+P52</f>
        <v>582923516.88996542</v>
      </c>
    </row>
    <row r="65" spans="2:16" x14ac:dyDescent="0.2">
      <c r="B65" s="2" t="s">
        <v>205</v>
      </c>
      <c r="F65" s="2" t="s">
        <v>189</v>
      </c>
      <c r="L65" s="44">
        <f>L$16*(L36+L38)+L37+L39+L$16*L53+L54</f>
        <v>144608590.67773506</v>
      </c>
      <c r="M65" s="44">
        <f>M$16*(M36+M38)+M37+M39+M$16*M53+M54</f>
        <v>143640120.91349423</v>
      </c>
      <c r="N65" s="44">
        <f>N$16*(N36+N38)+N37+N39+N$16*N53+N54</f>
        <v>155230975.36488149</v>
      </c>
      <c r="O65" s="44">
        <f>O$16*(O36+O38)+O37+O39+O$16*O53+O54</f>
        <v>159871150.45727772</v>
      </c>
      <c r="P65" s="44">
        <f>P$16*(P36+P38)+P37+P39+P$16*P53+P54</f>
        <v>165372109.12910473</v>
      </c>
    </row>
    <row r="67" spans="2:16" x14ac:dyDescent="0.2">
      <c r="B67" s="1" t="s">
        <v>203</v>
      </c>
    </row>
    <row r="68" spans="2:16" x14ac:dyDescent="0.2">
      <c r="B68" s="2" t="s">
        <v>206</v>
      </c>
      <c r="F68" s="2" t="s">
        <v>189</v>
      </c>
      <c r="L68" s="34">
        <f>L64-L60</f>
        <v>172620647.74726528</v>
      </c>
      <c r="M68" s="34">
        <f t="shared" ref="M68:P68" si="0">M64-M60</f>
        <v>140678937.9720974</v>
      </c>
      <c r="N68" s="34">
        <f t="shared" si="0"/>
        <v>109338789.46391147</v>
      </c>
      <c r="O68" s="34">
        <f t="shared" si="0"/>
        <v>88830885.653209269</v>
      </c>
      <c r="P68" s="34">
        <f t="shared" si="0"/>
        <v>77816375.827940822</v>
      </c>
    </row>
    <row r="69" spans="2:16" x14ac:dyDescent="0.2">
      <c r="B69" s="2" t="s">
        <v>207</v>
      </c>
      <c r="F69" s="2" t="s">
        <v>189</v>
      </c>
      <c r="L69" s="34">
        <f>L65-L61</f>
        <v>44361415.463671952</v>
      </c>
      <c r="M69" s="34">
        <f t="shared" ref="M69:P69" si="1">M65-M61</f>
        <v>38948966.405964598</v>
      </c>
      <c r="N69" s="34">
        <f t="shared" si="1"/>
        <v>33877302.408410132</v>
      </c>
      <c r="O69" s="34">
        <f t="shared" si="1"/>
        <v>31081008.813953921</v>
      </c>
      <c r="P69" s="34">
        <f t="shared" si="1"/>
        <v>28775973.441877425</v>
      </c>
    </row>
  </sheetData>
  <pageMargins left="0.7" right="0.7" top="0.75" bottom="0.75" header="0.3" footer="0.3"/>
  <pageSetup paperSize="9" orientation="portrait" r:id="rId1"/>
  <ignoredErrors>
    <ignoredError sqref="L10:P10"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C8D9"/>
  </sheetPr>
  <dimension ref="A2:Q83"/>
  <sheetViews>
    <sheetView showGridLines="0" zoomScale="85" zoomScaleNormal="85" workbookViewId="0">
      <pane ySplit="3" topLeftCell="A4" activePane="bottomLeft" state="frozen"/>
      <selection activeCell="O39" sqref="O39"/>
      <selection pane="bottomLeft" activeCell="F13" sqref="F13"/>
    </sheetView>
  </sheetViews>
  <sheetFormatPr defaultRowHeight="12.75" x14ac:dyDescent="0.2"/>
  <cols>
    <col min="1" max="1" width="4.7109375" style="2" customWidth="1"/>
    <col min="2" max="2" width="19.140625" style="2" customWidth="1"/>
    <col min="3" max="3" width="2.7109375" style="2" customWidth="1"/>
    <col min="4" max="4" width="40.7109375" style="2" customWidth="1"/>
    <col min="5" max="5" width="2.7109375" style="2" customWidth="1"/>
    <col min="6" max="6" width="20.7109375" style="2" customWidth="1"/>
    <col min="7" max="7" width="2.7109375" style="2" customWidth="1"/>
    <col min="8" max="8" width="40.7109375" style="2" customWidth="1"/>
    <col min="9" max="9" width="2.7109375" style="2" customWidth="1"/>
    <col min="10" max="10" width="20.7109375" style="2" customWidth="1"/>
    <col min="11" max="11" width="2.7109375" style="2" customWidth="1"/>
    <col min="12" max="12" width="40.7109375" style="2" customWidth="1"/>
    <col min="13" max="13" width="2.7109375" style="2" customWidth="1"/>
    <col min="14" max="14" width="20.7109375" style="2" customWidth="1"/>
    <col min="15" max="15" width="2.7109375" style="2" customWidth="1"/>
    <col min="16" max="16" width="40.7109375" style="2" customWidth="1"/>
    <col min="17" max="16384" width="9.140625" style="2"/>
  </cols>
  <sheetData>
    <row r="2" spans="2:2" s="8" customFormat="1" ht="18" x14ac:dyDescent="0.2">
      <c r="B2" s="8" t="s">
        <v>49</v>
      </c>
    </row>
    <row r="4" spans="2:2" s="9" customFormat="1" x14ac:dyDescent="0.2">
      <c r="B4" s="9" t="s">
        <v>11</v>
      </c>
    </row>
    <row r="6" spans="2:2" x14ac:dyDescent="0.2">
      <c r="B6" s="2" t="s">
        <v>232</v>
      </c>
    </row>
    <row r="7" spans="2:2" x14ac:dyDescent="0.2">
      <c r="B7" s="27" t="s">
        <v>233</v>
      </c>
    </row>
    <row r="8" spans="2:2" x14ac:dyDescent="0.2">
      <c r="B8" s="27" t="s">
        <v>163</v>
      </c>
    </row>
    <row r="10" spans="2:2" x14ac:dyDescent="0.2">
      <c r="B10" s="27" t="s">
        <v>167</v>
      </c>
    </row>
    <row r="11" spans="2:2" x14ac:dyDescent="0.2">
      <c r="B11" s="27" t="s">
        <v>168</v>
      </c>
    </row>
    <row r="12" spans="2:2" x14ac:dyDescent="0.2">
      <c r="B12" s="27" t="s">
        <v>169</v>
      </c>
    </row>
    <row r="13" spans="2:2" x14ac:dyDescent="0.2">
      <c r="B13" s="27" t="s">
        <v>166</v>
      </c>
    </row>
    <row r="14" spans="2:2" x14ac:dyDescent="0.2">
      <c r="B14" s="27" t="s">
        <v>170</v>
      </c>
    </row>
    <row r="15" spans="2:2" x14ac:dyDescent="0.2">
      <c r="B15" s="2" t="s">
        <v>171</v>
      </c>
    </row>
    <row r="16" spans="2:2" x14ac:dyDescent="0.2">
      <c r="B16" s="2" t="s">
        <v>236</v>
      </c>
    </row>
    <row r="18" spans="2:17" s="9" customFormat="1" x14ac:dyDescent="0.2">
      <c r="B18" s="9" t="s">
        <v>209</v>
      </c>
    </row>
    <row r="22" spans="2:17" x14ac:dyDescent="0.2">
      <c r="C22" s="73"/>
      <c r="D22" s="74"/>
      <c r="E22" s="75"/>
      <c r="G22" s="73"/>
      <c r="H22" s="74"/>
      <c r="I22" s="75"/>
      <c r="K22" s="73"/>
      <c r="L22" s="74"/>
      <c r="M22" s="75"/>
      <c r="O22" s="73"/>
      <c r="P22" s="74"/>
      <c r="Q22" s="75"/>
    </row>
    <row r="23" spans="2:17" x14ac:dyDescent="0.2">
      <c r="C23" s="76"/>
      <c r="D23" s="84" t="s">
        <v>213</v>
      </c>
      <c r="E23" s="78"/>
      <c r="G23" s="76"/>
      <c r="H23" s="77" t="s">
        <v>212</v>
      </c>
      <c r="I23" s="78"/>
      <c r="K23" s="76"/>
      <c r="L23" s="82" t="s">
        <v>215</v>
      </c>
      <c r="M23" s="78"/>
      <c r="O23" s="76"/>
      <c r="P23" s="82" t="s">
        <v>214</v>
      </c>
      <c r="Q23" s="78"/>
    </row>
    <row r="24" spans="2:17" x14ac:dyDescent="0.2">
      <c r="C24" s="79"/>
      <c r="D24" s="80"/>
      <c r="E24" s="81"/>
      <c r="G24" s="79"/>
      <c r="H24" s="80"/>
      <c r="I24" s="81"/>
      <c r="K24" s="79"/>
      <c r="L24" s="80"/>
      <c r="M24" s="81"/>
      <c r="O24" s="79"/>
      <c r="P24" s="80"/>
      <c r="Q24" s="81"/>
    </row>
    <row r="27" spans="2:17" x14ac:dyDescent="0.2">
      <c r="G27" s="73"/>
      <c r="H27" s="74"/>
      <c r="I27" s="75"/>
    </row>
    <row r="28" spans="2:17" x14ac:dyDescent="0.2">
      <c r="G28" s="76"/>
      <c r="H28" s="77" t="s">
        <v>211</v>
      </c>
      <c r="I28" s="78"/>
    </row>
    <row r="29" spans="2:17" x14ac:dyDescent="0.2">
      <c r="G29" s="79"/>
      <c r="H29" s="80"/>
      <c r="I29" s="81"/>
    </row>
    <row r="32" spans="2:17" s="9" customFormat="1" x14ac:dyDescent="0.2">
      <c r="B32" s="9" t="s">
        <v>210</v>
      </c>
    </row>
    <row r="34" spans="1:13" x14ac:dyDescent="0.2">
      <c r="B34" s="2" t="s">
        <v>216</v>
      </c>
    </row>
    <row r="36" spans="1:13" x14ac:dyDescent="0.2">
      <c r="A36" s="10"/>
      <c r="C36" s="73"/>
      <c r="D36" s="74"/>
      <c r="E36" s="75"/>
      <c r="G36" s="73"/>
      <c r="H36" s="74"/>
      <c r="I36" s="75"/>
      <c r="K36" s="73"/>
      <c r="L36" s="74"/>
      <c r="M36" s="75"/>
    </row>
    <row r="37" spans="1:13" x14ac:dyDescent="0.2">
      <c r="A37" s="10"/>
      <c r="C37" s="76"/>
      <c r="D37" s="84" t="s">
        <v>218</v>
      </c>
      <c r="E37" s="78"/>
      <c r="G37" s="76"/>
      <c r="H37" s="82" t="s">
        <v>221</v>
      </c>
      <c r="I37" s="78"/>
      <c r="K37" s="76"/>
      <c r="L37" s="83" t="s">
        <v>30</v>
      </c>
      <c r="M37" s="78"/>
    </row>
    <row r="38" spans="1:13" x14ac:dyDescent="0.2">
      <c r="A38" s="10"/>
      <c r="C38" s="79"/>
      <c r="D38" s="80"/>
      <c r="E38" s="81"/>
      <c r="G38" s="79"/>
      <c r="H38" s="80"/>
      <c r="I38" s="81"/>
      <c r="K38" s="79"/>
      <c r="L38" s="80"/>
      <c r="M38" s="81"/>
    </row>
    <row r="39" spans="1:13" x14ac:dyDescent="0.2">
      <c r="A39" s="10"/>
    </row>
    <row r="40" spans="1:13" x14ac:dyDescent="0.2">
      <c r="A40" s="10"/>
    </row>
    <row r="41" spans="1:13" x14ac:dyDescent="0.2">
      <c r="A41" s="10"/>
      <c r="C41" s="73"/>
      <c r="D41" s="74"/>
      <c r="E41" s="75"/>
      <c r="G41" s="85"/>
      <c r="H41" s="86"/>
      <c r="I41" s="87"/>
    </row>
    <row r="42" spans="1:13" x14ac:dyDescent="0.2">
      <c r="A42" s="10"/>
      <c r="C42" s="76"/>
      <c r="D42" s="84" t="s">
        <v>220</v>
      </c>
      <c r="E42" s="78"/>
      <c r="G42" s="88"/>
      <c r="H42" s="77" t="s">
        <v>211</v>
      </c>
      <c r="I42" s="89"/>
    </row>
    <row r="43" spans="1:13" x14ac:dyDescent="0.2">
      <c r="A43" s="10"/>
      <c r="C43" s="79"/>
      <c r="D43" s="80"/>
      <c r="E43" s="81"/>
      <c r="G43" s="90"/>
      <c r="H43" s="91"/>
      <c r="I43" s="92"/>
    </row>
    <row r="44" spans="1:13" x14ac:dyDescent="0.2">
      <c r="A44" s="10"/>
    </row>
    <row r="45" spans="1:13" x14ac:dyDescent="0.2">
      <c r="A45" s="10"/>
    </row>
    <row r="46" spans="1:13" x14ac:dyDescent="0.2">
      <c r="A46" s="10"/>
      <c r="C46" s="73"/>
      <c r="D46" s="74"/>
      <c r="E46" s="75"/>
      <c r="G46" s="73"/>
      <c r="H46" s="74"/>
      <c r="I46" s="75"/>
    </row>
    <row r="47" spans="1:13" x14ac:dyDescent="0.2">
      <c r="A47" s="10"/>
      <c r="C47" s="76"/>
      <c r="D47" s="84" t="s">
        <v>219</v>
      </c>
      <c r="E47" s="78"/>
      <c r="G47" s="76"/>
      <c r="H47" s="93" t="s">
        <v>222</v>
      </c>
      <c r="I47" s="78"/>
    </row>
    <row r="48" spans="1:13" x14ac:dyDescent="0.2">
      <c r="A48" s="10"/>
      <c r="C48" s="79"/>
      <c r="D48" s="80"/>
      <c r="E48" s="81"/>
      <c r="G48" s="79"/>
      <c r="H48" s="80"/>
      <c r="I48" s="81"/>
    </row>
    <row r="49" spans="1:6" x14ac:dyDescent="0.2">
      <c r="A49" s="10"/>
    </row>
    <row r="50" spans="1:6" x14ac:dyDescent="0.2">
      <c r="A50" s="10"/>
    </row>
    <row r="51" spans="1:6" ht="13.5" customHeight="1" x14ac:dyDescent="0.2">
      <c r="C51" s="5" t="s">
        <v>217</v>
      </c>
      <c r="D51" s="5"/>
    </row>
    <row r="53" spans="1:6" s="9" customFormat="1" x14ac:dyDescent="0.2">
      <c r="B53" s="9" t="s">
        <v>12</v>
      </c>
    </row>
    <row r="54" spans="1:6" x14ac:dyDescent="0.2">
      <c r="C54" s="10"/>
    </row>
    <row r="55" spans="1:6" x14ac:dyDescent="0.2">
      <c r="B55" s="31" t="s">
        <v>36</v>
      </c>
      <c r="C55" s="10"/>
      <c r="D55" s="31" t="s">
        <v>13</v>
      </c>
      <c r="F55" s="14"/>
    </row>
    <row r="56" spans="1:6" x14ac:dyDescent="0.2">
      <c r="C56" s="10"/>
    </row>
    <row r="57" spans="1:6" x14ac:dyDescent="0.2">
      <c r="B57" s="38">
        <v>123</v>
      </c>
      <c r="C57" s="10"/>
      <c r="D57" s="27" t="s">
        <v>66</v>
      </c>
    </row>
    <row r="58" spans="1:6" x14ac:dyDescent="0.2">
      <c r="B58" s="43">
        <f>B57</f>
        <v>123</v>
      </c>
      <c r="C58" s="10"/>
      <c r="D58" s="2" t="s">
        <v>14</v>
      </c>
    </row>
    <row r="59" spans="1:6" x14ac:dyDescent="0.2">
      <c r="B59" s="44">
        <f>B58+B57</f>
        <v>246</v>
      </c>
      <c r="C59" s="10"/>
      <c r="D59" s="2" t="s">
        <v>15</v>
      </c>
    </row>
    <row r="60" spans="1:6" x14ac:dyDescent="0.2">
      <c r="B60" s="34">
        <f>B58+B59</f>
        <v>369</v>
      </c>
      <c r="C60" s="10"/>
      <c r="D60" s="27" t="s">
        <v>67</v>
      </c>
      <c r="E60" s="14"/>
      <c r="F60" s="6"/>
    </row>
    <row r="61" spans="1:6" x14ac:dyDescent="0.2">
      <c r="B61" s="15"/>
      <c r="C61" s="10"/>
      <c r="D61" s="27" t="s">
        <v>16</v>
      </c>
      <c r="E61" s="14"/>
    </row>
    <row r="62" spans="1:6" x14ac:dyDescent="0.2">
      <c r="B62" s="10"/>
      <c r="C62" s="10"/>
    </row>
    <row r="63" spans="1:6" x14ac:dyDescent="0.2">
      <c r="B63" s="32" t="s">
        <v>17</v>
      </c>
      <c r="C63" s="10"/>
    </row>
    <row r="64" spans="1:6" x14ac:dyDescent="0.2">
      <c r="B64" s="36">
        <f>B60+16</f>
        <v>385</v>
      </c>
      <c r="C64" s="10"/>
      <c r="D64" s="2" t="s">
        <v>68</v>
      </c>
    </row>
    <row r="65" spans="2:7" x14ac:dyDescent="0.2">
      <c r="B65" s="37">
        <f>B58*PI()</f>
        <v>386.41589639154455</v>
      </c>
      <c r="C65" s="17"/>
      <c r="D65" s="2" t="s">
        <v>18</v>
      </c>
    </row>
    <row r="66" spans="2:7" x14ac:dyDescent="0.2">
      <c r="B66" s="17"/>
      <c r="C66" s="17"/>
    </row>
    <row r="67" spans="2:7" x14ac:dyDescent="0.2">
      <c r="B67" s="32" t="s">
        <v>19</v>
      </c>
      <c r="C67" s="18"/>
    </row>
    <row r="68" spans="2:7" x14ac:dyDescent="0.2">
      <c r="B68" s="42">
        <v>123</v>
      </c>
      <c r="C68" s="18"/>
      <c r="D68" s="27" t="s">
        <v>69</v>
      </c>
      <c r="G68" s="14"/>
    </row>
    <row r="69" spans="2:7" x14ac:dyDescent="0.2">
      <c r="B69" s="39">
        <v>124</v>
      </c>
      <c r="C69" s="18"/>
      <c r="D69" s="27" t="s">
        <v>71</v>
      </c>
    </row>
    <row r="70" spans="2:7" x14ac:dyDescent="0.2">
      <c r="B70" s="40">
        <f>B68-B69</f>
        <v>-1</v>
      </c>
      <c r="C70" s="19"/>
      <c r="D70" s="2" t="s">
        <v>55</v>
      </c>
    </row>
    <row r="73" spans="2:7" x14ac:dyDescent="0.2">
      <c r="B73" s="31" t="s">
        <v>31</v>
      </c>
    </row>
    <row r="74" spans="2:7" x14ac:dyDescent="0.2">
      <c r="B74" s="1"/>
    </row>
    <row r="75" spans="2:7" x14ac:dyDescent="0.2">
      <c r="B75" s="32" t="s">
        <v>37</v>
      </c>
    </row>
    <row r="76" spans="2:7" x14ac:dyDescent="0.2">
      <c r="B76" s="24" t="s">
        <v>30</v>
      </c>
      <c r="C76" s="10"/>
      <c r="D76" s="3" t="s">
        <v>40</v>
      </c>
    </row>
    <row r="77" spans="2:7" x14ac:dyDescent="0.2">
      <c r="B77" s="38" t="s">
        <v>28</v>
      </c>
      <c r="C77" s="10"/>
      <c r="D77" s="3" t="s">
        <v>32</v>
      </c>
    </row>
    <row r="78" spans="2:7" x14ac:dyDescent="0.2">
      <c r="B78" s="35" t="s">
        <v>29</v>
      </c>
      <c r="C78" s="10"/>
      <c r="D78" s="3" t="s">
        <v>33</v>
      </c>
    </row>
    <row r="79" spans="2:7" x14ac:dyDescent="0.2">
      <c r="B79" s="16" t="s">
        <v>29</v>
      </c>
      <c r="C79" s="10"/>
      <c r="D79" s="3" t="s">
        <v>35</v>
      </c>
    </row>
    <row r="80" spans="2:7" x14ac:dyDescent="0.2">
      <c r="C80" s="10"/>
      <c r="D80" s="3"/>
    </row>
    <row r="81" spans="2:4" x14ac:dyDescent="0.2">
      <c r="B81" s="32" t="s">
        <v>39</v>
      </c>
      <c r="C81" s="10"/>
      <c r="D81" s="3"/>
    </row>
    <row r="82" spans="2:4" x14ac:dyDescent="0.2">
      <c r="B82" s="25" t="s">
        <v>34</v>
      </c>
      <c r="C82" s="10"/>
      <c r="D82" s="3" t="s">
        <v>41</v>
      </c>
    </row>
    <row r="83" spans="2:4" x14ac:dyDescent="0.2">
      <c r="B83" s="26" t="s">
        <v>38</v>
      </c>
      <c r="D83" s="27" t="s">
        <v>70</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C8D9"/>
  </sheetPr>
  <dimension ref="B2:F33"/>
  <sheetViews>
    <sheetView showGridLines="0" zoomScale="85" zoomScaleNormal="85" workbookViewId="0">
      <pane ySplit="3" topLeftCell="A4" activePane="bottomLeft" state="frozen"/>
      <selection activeCell="O39" sqref="O39"/>
      <selection pane="bottomLeft" activeCell="C44" sqref="C44"/>
    </sheetView>
  </sheetViews>
  <sheetFormatPr defaultRowHeight="12.75" x14ac:dyDescent="0.2"/>
  <cols>
    <col min="1" max="1" width="4.7109375" style="2" customWidth="1"/>
    <col min="2" max="2" width="7.5703125" style="2" customWidth="1"/>
    <col min="3" max="3" width="60.42578125" style="2" customWidth="1"/>
    <col min="4" max="4" width="28" style="2" customWidth="1"/>
    <col min="5" max="5" width="36.28515625" style="2" customWidth="1"/>
    <col min="6" max="6" width="99.85546875" style="2" customWidth="1"/>
    <col min="7" max="7" width="4.5703125" style="2" customWidth="1"/>
    <col min="8" max="16384" width="9.140625" style="2"/>
  </cols>
  <sheetData>
    <row r="2" spans="2:6" s="13" customFormat="1" ht="18" x14ac:dyDescent="0.2">
      <c r="B2" s="4" t="s">
        <v>20</v>
      </c>
    </row>
    <row r="4" spans="2:6" s="9" customFormat="1" x14ac:dyDescent="0.2">
      <c r="B4" s="9" t="s">
        <v>21</v>
      </c>
    </row>
    <row r="6" spans="2:6" x14ac:dyDescent="0.2">
      <c r="B6" s="32" t="s">
        <v>60</v>
      </c>
    </row>
    <row r="7" spans="2:6" x14ac:dyDescent="0.2">
      <c r="B7" s="32" t="s">
        <v>61</v>
      </c>
    </row>
    <row r="9" spans="2:6" x14ac:dyDescent="0.2">
      <c r="B9" s="20" t="s">
        <v>50</v>
      </c>
      <c r="C9" s="20" t="s">
        <v>51</v>
      </c>
      <c r="D9" s="20" t="s">
        <v>52</v>
      </c>
      <c r="E9" s="20" t="s">
        <v>59</v>
      </c>
      <c r="F9" s="20" t="s">
        <v>56</v>
      </c>
    </row>
    <row r="10" spans="2:6" x14ac:dyDescent="0.2">
      <c r="B10" s="21"/>
      <c r="C10" s="28" t="s">
        <v>58</v>
      </c>
      <c r="D10" s="28" t="s">
        <v>22</v>
      </c>
      <c r="E10" s="28" t="s">
        <v>62</v>
      </c>
      <c r="F10" s="28" t="s">
        <v>57</v>
      </c>
    </row>
    <row r="11" spans="2:6" x14ac:dyDescent="0.2">
      <c r="B11" s="29">
        <v>1</v>
      </c>
      <c r="C11" s="7" t="s">
        <v>139</v>
      </c>
      <c r="D11" s="7"/>
      <c r="E11" s="7"/>
      <c r="F11" s="7"/>
    </row>
    <row r="12" spans="2:6" x14ac:dyDescent="0.2">
      <c r="B12" s="7">
        <v>2</v>
      </c>
      <c r="C12" s="7" t="s">
        <v>253</v>
      </c>
      <c r="D12" s="7"/>
      <c r="E12" s="7"/>
      <c r="F12" s="7" t="s">
        <v>255</v>
      </c>
    </row>
    <row r="13" spans="2:6" x14ac:dyDescent="0.2">
      <c r="B13" s="7">
        <v>3</v>
      </c>
      <c r="C13" s="7" t="s">
        <v>161</v>
      </c>
      <c r="D13" s="7"/>
      <c r="E13" s="7"/>
      <c r="F13" s="7" t="s">
        <v>246</v>
      </c>
    </row>
    <row r="14" spans="2:6" x14ac:dyDescent="0.2">
      <c r="B14" s="7">
        <v>4</v>
      </c>
      <c r="C14" s="2" t="s">
        <v>164</v>
      </c>
      <c r="D14" s="7"/>
      <c r="E14" s="7"/>
      <c r="F14" s="7" t="s">
        <v>165</v>
      </c>
    </row>
    <row r="15" spans="2:6" x14ac:dyDescent="0.2">
      <c r="B15" s="7">
        <v>5</v>
      </c>
      <c r="C15" s="7" t="s">
        <v>254</v>
      </c>
      <c r="D15" s="7"/>
      <c r="E15" s="7"/>
      <c r="F15" s="7"/>
    </row>
    <row r="16" spans="2:6" ht="38.25" x14ac:dyDescent="0.2">
      <c r="B16" s="7">
        <v>6</v>
      </c>
      <c r="C16" s="103" t="s">
        <v>256</v>
      </c>
      <c r="D16" s="104" t="s">
        <v>261</v>
      </c>
      <c r="E16" s="7"/>
      <c r="F16" s="7"/>
    </row>
    <row r="17" spans="2:6" x14ac:dyDescent="0.2">
      <c r="B17" s="7">
        <v>7</v>
      </c>
      <c r="C17" s="7"/>
      <c r="D17" s="7"/>
      <c r="E17" s="7"/>
      <c r="F17" s="7"/>
    </row>
    <row r="18" spans="2:6" x14ac:dyDescent="0.2">
      <c r="B18" s="7">
        <v>8</v>
      </c>
      <c r="C18" s="7"/>
      <c r="D18" s="7"/>
      <c r="E18" s="7"/>
      <c r="F18" s="7"/>
    </row>
    <row r="19" spans="2:6" x14ac:dyDescent="0.2">
      <c r="B19" s="7">
        <v>9</v>
      </c>
      <c r="C19" s="7"/>
      <c r="D19" s="7"/>
      <c r="E19" s="7"/>
      <c r="F19" s="7"/>
    </row>
    <row r="20" spans="2:6" x14ac:dyDescent="0.2">
      <c r="B20" s="7">
        <v>10</v>
      </c>
      <c r="C20" s="7"/>
      <c r="D20" s="7"/>
      <c r="E20" s="7"/>
      <c r="F20" s="7"/>
    </row>
    <row r="23" spans="2:6" s="9" customFormat="1" x14ac:dyDescent="0.2">
      <c r="B23" s="9" t="s">
        <v>48</v>
      </c>
    </row>
    <row r="25" spans="2:6" x14ac:dyDescent="0.2">
      <c r="B25" s="32" t="s">
        <v>46</v>
      </c>
    </row>
    <row r="26" spans="2:6" x14ac:dyDescent="0.2">
      <c r="B26" s="32" t="s">
        <v>47</v>
      </c>
    </row>
    <row r="28" spans="2:6" x14ac:dyDescent="0.2">
      <c r="B28" s="5" t="s">
        <v>162</v>
      </c>
    </row>
    <row r="33" spans="2:2" x14ac:dyDescent="0.2">
      <c r="B33" s="2" t="s">
        <v>99</v>
      </c>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FF"/>
  </sheetPr>
  <dimension ref="B2:S13"/>
  <sheetViews>
    <sheetView showGridLines="0" zoomScale="85" zoomScaleNormal="85" workbookViewId="0"/>
  </sheetViews>
  <sheetFormatPr defaultRowHeight="12.75" x14ac:dyDescent="0.2"/>
  <cols>
    <col min="1" max="1" width="4.7109375" style="2" customWidth="1"/>
    <col min="2" max="2" width="56.140625" style="2" customWidth="1"/>
    <col min="3" max="5" width="4.7109375" style="2" customWidth="1"/>
    <col min="6" max="6" width="32.7109375" style="2" bestFit="1" customWidth="1"/>
    <col min="7" max="7" width="2.7109375" style="2" customWidth="1"/>
    <col min="8" max="8" width="16" style="2" customWidth="1"/>
    <col min="9" max="9" width="2.7109375" style="2" customWidth="1"/>
    <col min="10" max="10" width="13.7109375" style="2" customWidth="1"/>
    <col min="11" max="11" width="2.7109375" style="2" customWidth="1"/>
    <col min="12" max="17" width="17.5703125" style="2" customWidth="1"/>
    <col min="18" max="18" width="2.7109375" style="2" customWidth="1"/>
    <col min="19" max="19" width="32.42578125" style="2" customWidth="1"/>
    <col min="20" max="32" width="13.7109375" style="2" customWidth="1"/>
    <col min="33" max="16384" width="9.140625" style="2"/>
  </cols>
  <sheetData>
    <row r="2" spans="2:19" s="22" customFormat="1" ht="18" x14ac:dyDescent="0.2">
      <c r="B2" s="22" t="s">
        <v>30</v>
      </c>
    </row>
    <row r="4" spans="2:19" x14ac:dyDescent="0.2">
      <c r="B4" s="31" t="s">
        <v>54</v>
      </c>
      <c r="C4" s="1"/>
      <c r="D4" s="1"/>
    </row>
    <row r="5" spans="2:19" x14ac:dyDescent="0.2">
      <c r="B5" s="99" t="s">
        <v>227</v>
      </c>
      <c r="H5" s="23"/>
    </row>
    <row r="7" spans="2:19" s="9" customFormat="1" x14ac:dyDescent="0.2">
      <c r="B7" s="9" t="s">
        <v>42</v>
      </c>
      <c r="F7" s="9" t="s">
        <v>23</v>
      </c>
      <c r="H7" s="9" t="s">
        <v>24</v>
      </c>
      <c r="J7" s="9" t="s">
        <v>45</v>
      </c>
      <c r="L7" s="9" t="s">
        <v>135</v>
      </c>
      <c r="M7" s="9" t="s">
        <v>100</v>
      </c>
      <c r="N7" s="9" t="s">
        <v>101</v>
      </c>
      <c r="O7" s="9" t="s">
        <v>102</v>
      </c>
      <c r="P7" s="9" t="s">
        <v>103</v>
      </c>
      <c r="Q7" s="9" t="s">
        <v>104</v>
      </c>
      <c r="S7" s="9" t="s">
        <v>44</v>
      </c>
    </row>
    <row r="9" spans="2:19" s="9" customFormat="1" x14ac:dyDescent="0.2">
      <c r="B9" s="9" t="s">
        <v>230</v>
      </c>
    </row>
    <row r="11" spans="2:19" x14ac:dyDescent="0.2">
      <c r="B11" s="5" t="s">
        <v>208</v>
      </c>
    </row>
    <row r="12" spans="2:19" x14ac:dyDescent="0.2">
      <c r="B12" s="2" t="s">
        <v>228</v>
      </c>
      <c r="F12" s="2" t="s">
        <v>156</v>
      </c>
      <c r="M12" s="100">
        <f>'Berekening kapitaalkosten'!L68</f>
        <v>172620647.74726528</v>
      </c>
      <c r="N12" s="100">
        <f>'Berekening kapitaalkosten'!M68</f>
        <v>140678937.9720974</v>
      </c>
      <c r="O12" s="100">
        <f>'Berekening kapitaalkosten'!N68</f>
        <v>109338789.46391147</v>
      </c>
      <c r="P12" s="100">
        <f>'Berekening kapitaalkosten'!O68</f>
        <v>88830885.653209269</v>
      </c>
      <c r="Q12" s="100">
        <f>'Berekening kapitaalkosten'!P68</f>
        <v>77816375.827940822</v>
      </c>
    </row>
    <row r="13" spans="2:19" x14ac:dyDescent="0.2">
      <c r="B13" s="2" t="s">
        <v>229</v>
      </c>
      <c r="F13" s="2" t="s">
        <v>156</v>
      </c>
      <c r="M13" s="100">
        <f>'Berekening kapitaalkosten'!L69</f>
        <v>44361415.463671952</v>
      </c>
      <c r="N13" s="100">
        <f>'Berekening kapitaalkosten'!M69</f>
        <v>38948966.405964598</v>
      </c>
      <c r="O13" s="100">
        <f>'Berekening kapitaalkosten'!N69</f>
        <v>33877302.408410132</v>
      </c>
      <c r="P13" s="100">
        <f>'Berekening kapitaalkosten'!O69</f>
        <v>31081008.813953921</v>
      </c>
      <c r="Q13" s="100">
        <f>'Berekening kapitaalkosten'!P69</f>
        <v>28775973.441877425</v>
      </c>
    </row>
  </sheetData>
  <pageMargins left="0.7" right="0.7" top="0.75" bottom="0.75" header="0.3" footer="0.3"/>
  <pageSetup paperSize="9" orientation="portrait" r:id="rId1"/>
  <ignoredErrors>
    <ignoredError sqref="L7:Q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
  <sheetViews>
    <sheetView showGridLines="0" zoomScale="85" zoomScaleNormal="85" workbookViewId="0"/>
  </sheetViews>
  <sheetFormatPr defaultRowHeight="12.75" x14ac:dyDescent="0.2"/>
  <cols>
    <col min="1" max="16384" width="9.140625" style="25"/>
  </cols>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1FFE1"/>
  </sheetPr>
  <dimension ref="B2:X38"/>
  <sheetViews>
    <sheetView showGridLines="0" zoomScale="85" zoomScaleNormal="85" workbookViewId="0">
      <pane xSplit="6" ySplit="11" topLeftCell="G12" activePane="bottomRight" state="frozen"/>
      <selection activeCell="R6" sqref="R6"/>
      <selection pane="topRight" activeCell="R6" sqref="R6"/>
      <selection pane="bottomLeft" activeCell="R6" sqref="R6"/>
      <selection pane="bottomRight" activeCell="G12" sqref="G12"/>
    </sheetView>
  </sheetViews>
  <sheetFormatPr defaultRowHeight="12.75" x14ac:dyDescent="0.2"/>
  <cols>
    <col min="1" max="1" width="4.7109375" style="2" customWidth="1"/>
    <col min="2" max="2" width="57.710937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20" width="13" style="2" customWidth="1"/>
    <col min="21" max="21" width="2.7109375" style="2" customWidth="1"/>
    <col min="22" max="22" width="102.5703125" style="2" bestFit="1" customWidth="1"/>
    <col min="23" max="23" width="2.7109375" style="2" customWidth="1"/>
    <col min="24" max="24" width="13.7109375" style="2" customWidth="1"/>
    <col min="25" max="25" width="2.7109375" style="2" customWidth="1"/>
    <col min="26" max="40" width="13.7109375" style="2" customWidth="1"/>
    <col min="41" max="16384" width="9.140625" style="2"/>
  </cols>
  <sheetData>
    <row r="2" spans="2:24" s="22" customFormat="1" ht="18" x14ac:dyDescent="0.2">
      <c r="B2" s="22" t="s">
        <v>176</v>
      </c>
    </row>
    <row r="4" spans="2:24" x14ac:dyDescent="0.2">
      <c r="B4" s="31" t="s">
        <v>25</v>
      </c>
      <c r="C4" s="1"/>
      <c r="D4" s="1"/>
      <c r="P4"/>
    </row>
    <row r="5" spans="2:24" x14ac:dyDescent="0.2">
      <c r="B5" s="27" t="s">
        <v>237</v>
      </c>
      <c r="C5" s="3"/>
      <c r="D5" s="3"/>
      <c r="H5" s="23"/>
    </row>
    <row r="6" spans="2:24" x14ac:dyDescent="0.2">
      <c r="B6" s="27"/>
      <c r="C6" s="3"/>
      <c r="D6" s="3"/>
      <c r="H6" s="23"/>
    </row>
    <row r="7" spans="2:24" x14ac:dyDescent="0.2">
      <c r="B7" s="32" t="s">
        <v>26</v>
      </c>
      <c r="C7" s="3"/>
      <c r="D7" s="3"/>
      <c r="H7" s="23"/>
    </row>
    <row r="8" spans="2:24" x14ac:dyDescent="0.2">
      <c r="B8" s="5" t="s">
        <v>158</v>
      </c>
      <c r="C8" s="3"/>
      <c r="D8" s="3"/>
    </row>
    <row r="10" spans="2:24" s="9" customFormat="1" x14ac:dyDescent="0.2">
      <c r="B10" s="9" t="s">
        <v>42</v>
      </c>
      <c r="F10" s="9" t="s">
        <v>23</v>
      </c>
      <c r="H10" s="9" t="s">
        <v>24</v>
      </c>
      <c r="J10" s="9" t="s">
        <v>45</v>
      </c>
      <c r="L10" s="9" t="s">
        <v>132</v>
      </c>
      <c r="M10" s="9" t="s">
        <v>133</v>
      </c>
      <c r="N10" s="9" t="s">
        <v>134</v>
      </c>
      <c r="O10" s="9" t="s">
        <v>135</v>
      </c>
      <c r="P10" s="9" t="s">
        <v>100</v>
      </c>
      <c r="Q10" s="9" t="s">
        <v>101</v>
      </c>
      <c r="R10" s="9" t="s">
        <v>102</v>
      </c>
      <c r="S10" s="9" t="s">
        <v>103</v>
      </c>
      <c r="T10" s="9" t="s">
        <v>104</v>
      </c>
      <c r="V10" s="9" t="s">
        <v>43</v>
      </c>
      <c r="X10" s="9" t="s">
        <v>44</v>
      </c>
    </row>
    <row r="13" spans="2:24" s="9" customFormat="1" x14ac:dyDescent="0.2">
      <c r="B13" s="9" t="s">
        <v>173</v>
      </c>
    </row>
    <row r="15" spans="2:24" x14ac:dyDescent="0.2">
      <c r="B15" s="1" t="s">
        <v>173</v>
      </c>
    </row>
    <row r="16" spans="2:24" x14ac:dyDescent="0.2">
      <c r="B16" t="s">
        <v>138</v>
      </c>
      <c r="F16" s="2" t="s">
        <v>172</v>
      </c>
      <c r="J16" s="67"/>
      <c r="L16" s="51">
        <v>1.4E-2</v>
      </c>
      <c r="M16" s="51">
        <v>2.1000000000000001E-2</v>
      </c>
      <c r="N16" s="51">
        <v>2.8000000000000001E-2</v>
      </c>
      <c r="O16" s="51">
        <v>7.0000000000000001E-3</v>
      </c>
      <c r="V16" s="2" t="s">
        <v>139</v>
      </c>
    </row>
    <row r="17" spans="2:22" x14ac:dyDescent="0.2">
      <c r="B17" s="2" t="s">
        <v>178</v>
      </c>
      <c r="F17" s="60" t="s">
        <v>172</v>
      </c>
      <c r="H17" s="63">
        <v>1.77E-2</v>
      </c>
    </row>
    <row r="18" spans="2:22" x14ac:dyDescent="0.2">
      <c r="B18" s="64" t="s">
        <v>174</v>
      </c>
      <c r="C18" s="60"/>
      <c r="F18" s="60" t="s">
        <v>172</v>
      </c>
      <c r="G18" s="60"/>
      <c r="H18" s="65">
        <f>ROUND(H17,3)</f>
        <v>1.7999999999999999E-2</v>
      </c>
    </row>
    <row r="19" spans="2:22" x14ac:dyDescent="0.2">
      <c r="B19" s="60" t="s">
        <v>174</v>
      </c>
      <c r="F19" s="2" t="s">
        <v>172</v>
      </c>
      <c r="P19" s="66">
        <f>$H$18</f>
        <v>1.7999999999999999E-2</v>
      </c>
      <c r="Q19" s="66">
        <f t="shared" ref="Q19:T19" si="0">$H$18</f>
        <v>1.7999999999999999E-2</v>
      </c>
      <c r="R19" s="66">
        <f t="shared" si="0"/>
        <v>1.7999999999999999E-2</v>
      </c>
      <c r="S19" s="66">
        <f t="shared" si="0"/>
        <v>1.7999999999999999E-2</v>
      </c>
      <c r="T19" s="66">
        <f t="shared" si="0"/>
        <v>1.7999999999999999E-2</v>
      </c>
      <c r="V19" s="54"/>
    </row>
    <row r="22" spans="2:22" s="9" customFormat="1" x14ac:dyDescent="0.2">
      <c r="B22" s="9" t="s">
        <v>175</v>
      </c>
    </row>
    <row r="24" spans="2:22" x14ac:dyDescent="0.2">
      <c r="B24" s="1" t="s">
        <v>175</v>
      </c>
      <c r="P24" s="62"/>
      <c r="Q24" s="62"/>
      <c r="R24" s="62"/>
      <c r="S24" s="62"/>
      <c r="T24" s="62"/>
    </row>
    <row r="25" spans="2:22" x14ac:dyDescent="0.2">
      <c r="B25" s="2" t="s">
        <v>111</v>
      </c>
      <c r="F25" s="2" t="s">
        <v>172</v>
      </c>
      <c r="O25" s="53">
        <v>3.4000000000000002E-2</v>
      </c>
      <c r="P25" s="53">
        <v>3.3000000000000002E-2</v>
      </c>
      <c r="Q25" s="53">
        <v>3.2000000000000001E-2</v>
      </c>
      <c r="R25" s="53">
        <v>3.6999999999999998E-2</v>
      </c>
      <c r="S25" s="53">
        <v>3.6999999999999998E-2</v>
      </c>
      <c r="T25" s="53">
        <v>3.6999999999999998E-2</v>
      </c>
      <c r="V25" s="103" t="s">
        <v>248</v>
      </c>
    </row>
    <row r="26" spans="2:22" x14ac:dyDescent="0.2">
      <c r="B26" s="2" t="s">
        <v>112</v>
      </c>
      <c r="F26" s="2" t="s">
        <v>172</v>
      </c>
      <c r="O26" s="53">
        <v>1.7000000000000001E-2</v>
      </c>
      <c r="P26" s="53">
        <v>1.4999999999999999E-2</v>
      </c>
      <c r="Q26" s="53">
        <v>1.4E-2</v>
      </c>
      <c r="R26" s="53">
        <v>1.9E-2</v>
      </c>
      <c r="S26" s="53">
        <v>1.9E-2</v>
      </c>
      <c r="T26" s="53">
        <v>1.9E-2</v>
      </c>
      <c r="V26" s="103" t="s">
        <v>248</v>
      </c>
    </row>
    <row r="28" spans="2:22" s="9" customFormat="1" x14ac:dyDescent="0.2">
      <c r="B28" s="9" t="s">
        <v>140</v>
      </c>
    </row>
    <row r="30" spans="2:22" x14ac:dyDescent="0.2">
      <c r="B30" s="1" t="s">
        <v>231</v>
      </c>
    </row>
    <row r="31" spans="2:22" x14ac:dyDescent="0.2">
      <c r="B31" s="52"/>
    </row>
    <row r="32" spans="2:22" x14ac:dyDescent="0.2">
      <c r="B32" s="97" t="s">
        <v>225</v>
      </c>
    </row>
    <row r="33" spans="2:24" x14ac:dyDescent="0.2">
      <c r="B33" s="2" t="s">
        <v>141</v>
      </c>
      <c r="F33" s="2" t="s">
        <v>172</v>
      </c>
      <c r="H33" s="53">
        <v>-7.5913637800173461E-4</v>
      </c>
      <c r="V33" s="101" t="s">
        <v>251</v>
      </c>
      <c r="X33" s="2" t="s">
        <v>155</v>
      </c>
    </row>
    <row r="34" spans="2:24" x14ac:dyDescent="0.2">
      <c r="B34" s="2" t="s">
        <v>142</v>
      </c>
      <c r="F34" s="2" t="s">
        <v>172</v>
      </c>
      <c r="H34" s="53">
        <v>-3.6868648042002516E-2</v>
      </c>
      <c r="V34" s="101" t="s">
        <v>252</v>
      </c>
      <c r="X34" s="2" t="s">
        <v>155</v>
      </c>
    </row>
    <row r="36" spans="2:24" x14ac:dyDescent="0.2">
      <c r="B36" s="2" t="s">
        <v>226</v>
      </c>
    </row>
    <row r="37" spans="2:24" x14ac:dyDescent="0.2">
      <c r="B37" s="2" t="s">
        <v>141</v>
      </c>
      <c r="F37" s="2" t="s">
        <v>172</v>
      </c>
      <c r="H37" s="53">
        <v>2.5444272186812E-3</v>
      </c>
      <c r="V37" s="101" t="s">
        <v>249</v>
      </c>
    </row>
    <row r="38" spans="2:24" x14ac:dyDescent="0.2">
      <c r="B38" s="2" t="s">
        <v>142</v>
      </c>
      <c r="F38" s="2" t="s">
        <v>172</v>
      </c>
      <c r="H38" s="53">
        <v>-3.1175556579387642E-2</v>
      </c>
      <c r="V38" s="101" t="s">
        <v>250</v>
      </c>
      <c r="X38" s="2" t="s">
        <v>155</v>
      </c>
    </row>
  </sheetData>
  <pageMargins left="0.7" right="0.7" top="0.75" bottom="0.75" header="0.3" footer="0.3"/>
  <pageSetup paperSize="9" orientation="portrait" r:id="rId1"/>
  <ignoredErrors>
    <ignoredError sqref="L10:T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1FFE1"/>
  </sheetPr>
  <dimension ref="B1:V152"/>
  <sheetViews>
    <sheetView showGridLines="0" zoomScale="85" zoomScaleNormal="85" workbookViewId="0">
      <pane xSplit="10" ySplit="11" topLeftCell="K12" activePane="bottomRight" state="frozen"/>
      <selection pane="topRight" activeCell="K1" sqref="K1"/>
      <selection pane="bottomLeft" activeCell="A12" sqref="A12"/>
      <selection pane="bottomRight" activeCell="K12" sqref="K12"/>
    </sheetView>
  </sheetViews>
  <sheetFormatPr defaultRowHeight="12.75" x14ac:dyDescent="0.2"/>
  <cols>
    <col min="1" max="1" width="4.7109375" style="2" customWidth="1"/>
    <col min="2" max="2" width="61.570312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6" style="2" customWidth="1"/>
    <col min="11" max="11" width="2.7109375" style="2" customWidth="1"/>
    <col min="12" max="18" width="16" style="2" customWidth="1"/>
    <col min="19" max="19" width="2.7109375" style="2" customWidth="1"/>
    <col min="20" max="20" width="52.42578125" style="2" customWidth="1"/>
    <col min="21" max="21" width="2.7109375" style="2" customWidth="1"/>
    <col min="22" max="22" width="13.7109375" style="2" customWidth="1"/>
    <col min="23" max="23" width="2.7109375" style="2" customWidth="1"/>
    <col min="24" max="38" width="13.7109375" style="2" customWidth="1"/>
    <col min="39" max="16384" width="9.140625" style="2"/>
  </cols>
  <sheetData>
    <row r="1" spans="2:22" s="10" customFormat="1" x14ac:dyDescent="0.2"/>
    <row r="2" spans="2:22" s="22" customFormat="1" ht="18" x14ac:dyDescent="0.2">
      <c r="B2" s="22" t="s">
        <v>179</v>
      </c>
    </row>
    <row r="4" spans="2:22" x14ac:dyDescent="0.2">
      <c r="B4" s="31" t="s">
        <v>25</v>
      </c>
      <c r="C4" s="1"/>
      <c r="D4" s="1"/>
      <c r="L4"/>
    </row>
    <row r="5" spans="2:22" ht="120" customHeight="1" x14ac:dyDescent="0.2">
      <c r="B5" s="59" t="s">
        <v>240</v>
      </c>
      <c r="C5" s="3"/>
      <c r="D5" s="3"/>
      <c r="H5" s="23"/>
    </row>
    <row r="6" spans="2:22" x14ac:dyDescent="0.2">
      <c r="B6" s="27"/>
      <c r="C6" s="3"/>
      <c r="D6" s="3"/>
      <c r="H6" s="23"/>
    </row>
    <row r="7" spans="2:22" x14ac:dyDescent="0.2">
      <c r="B7" s="32" t="s">
        <v>26</v>
      </c>
      <c r="C7" s="3"/>
      <c r="D7" s="3"/>
      <c r="H7" s="23"/>
    </row>
    <row r="8" spans="2:22" x14ac:dyDescent="0.2">
      <c r="B8" s="59"/>
      <c r="C8" s="3"/>
      <c r="D8" s="3"/>
    </row>
    <row r="10" spans="2:22" s="9" customFormat="1" x14ac:dyDescent="0.2">
      <c r="B10" s="9" t="s">
        <v>42</v>
      </c>
      <c r="F10" s="9" t="s">
        <v>23</v>
      </c>
      <c r="H10" s="9" t="s">
        <v>24</v>
      </c>
      <c r="J10" s="9" t="s">
        <v>45</v>
      </c>
      <c r="L10" s="9" t="s">
        <v>74</v>
      </c>
      <c r="M10" s="9" t="s">
        <v>75</v>
      </c>
      <c r="N10" s="9" t="s">
        <v>76</v>
      </c>
      <c r="O10" s="9" t="s">
        <v>77</v>
      </c>
      <c r="P10" s="9" t="s">
        <v>78</v>
      </c>
      <c r="Q10" s="9" t="s">
        <v>79</v>
      </c>
      <c r="R10" s="9" t="s">
        <v>80</v>
      </c>
      <c r="T10" s="9" t="s">
        <v>43</v>
      </c>
      <c r="V10" s="9" t="s">
        <v>44</v>
      </c>
    </row>
    <row r="13" spans="2:22" s="9" customFormat="1" x14ac:dyDescent="0.2">
      <c r="B13" s="9" t="s">
        <v>184</v>
      </c>
    </row>
    <row r="15" spans="2:22" x14ac:dyDescent="0.2">
      <c r="B15" s="1" t="s">
        <v>141</v>
      </c>
      <c r="C15" s="1"/>
      <c r="D15" s="1"/>
      <c r="E15" s="1"/>
      <c r="F15" s="1"/>
      <c r="G15" s="1"/>
      <c r="H15" s="1"/>
      <c r="I15" s="1"/>
      <c r="J15" s="1"/>
      <c r="K15" s="1"/>
      <c r="L15" s="102"/>
      <c r="M15" s="102"/>
    </row>
    <row r="16" spans="2:22" x14ac:dyDescent="0.2">
      <c r="L16" s="71">
        <f>SUM('BW &amp; afsch'!L18:L81)</f>
        <v>658219279.56401491</v>
      </c>
      <c r="M16" s="71">
        <f>SUM('BW &amp; afsch'!M18:M81)</f>
        <v>929938873.05158556</v>
      </c>
      <c r="N16" s="71">
        <f>SUM('BW &amp; afsch'!N18:N81)</f>
        <v>15318761943.676775</v>
      </c>
      <c r="O16" s="71">
        <f>SUM('BW &amp; afsch'!O18:O81)</f>
        <v>15492170497.213169</v>
      </c>
      <c r="P16" s="71">
        <f>SUM('BW &amp; afsch'!P18:P81)</f>
        <v>785360907.74427116</v>
      </c>
      <c r="Q16" s="71">
        <f>SUM('BW &amp; afsch'!Q18:Q81)</f>
        <v>12536399225.277941</v>
      </c>
      <c r="R16" s="71">
        <f>SUM('BW &amp; afsch'!R18:R81)</f>
        <v>619556240.5105418</v>
      </c>
      <c r="V16" s="2" t="s">
        <v>238</v>
      </c>
    </row>
    <row r="17" spans="2:22" x14ac:dyDescent="0.2">
      <c r="B17" s="5" t="s">
        <v>145</v>
      </c>
    </row>
    <row r="18" spans="2:22" x14ac:dyDescent="0.2">
      <c r="B18" s="58">
        <v>2021</v>
      </c>
      <c r="F18" s="2" t="s">
        <v>157</v>
      </c>
      <c r="J18" s="44">
        <f t="shared" ref="J18:J23" si="0">SUM(L18:R18)</f>
        <v>3321663373.5153623</v>
      </c>
      <c r="L18" s="38">
        <v>50721642.317400172</v>
      </c>
      <c r="M18" s="38">
        <v>65020241.055948019</v>
      </c>
      <c r="N18" s="38">
        <v>947992243.42479491</v>
      </c>
      <c r="O18" s="38">
        <v>1281000589.2403259</v>
      </c>
      <c r="P18" s="38">
        <v>91152580.496650904</v>
      </c>
      <c r="Q18" s="38">
        <v>822160306.10255218</v>
      </c>
      <c r="R18" s="38">
        <v>63615770.877689689</v>
      </c>
      <c r="T18" s="7" t="s">
        <v>246</v>
      </c>
      <c r="V18" s="2" t="s">
        <v>239</v>
      </c>
    </row>
    <row r="19" spans="2:22" x14ac:dyDescent="0.2">
      <c r="B19" s="45">
        <v>2022</v>
      </c>
      <c r="F19" s="2" t="s">
        <v>94</v>
      </c>
      <c r="J19" s="44">
        <f t="shared" si="0"/>
        <v>3161816074.5757761</v>
      </c>
      <c r="L19" s="38">
        <v>47693056.926509276</v>
      </c>
      <c r="M19" s="38">
        <v>61974643.267887898</v>
      </c>
      <c r="N19" s="38">
        <v>906268851.76739252</v>
      </c>
      <c r="O19" s="38">
        <v>1225877015.2682133</v>
      </c>
      <c r="P19" s="38">
        <v>86437619.620550126</v>
      </c>
      <c r="Q19" s="38">
        <v>775412283.45678496</v>
      </c>
      <c r="R19" s="38">
        <v>58152604.26843828</v>
      </c>
    </row>
    <row r="20" spans="2:22" x14ac:dyDescent="0.2">
      <c r="B20" s="45">
        <v>2023</v>
      </c>
      <c r="F20" s="2" t="s">
        <v>95</v>
      </c>
      <c r="J20" s="44">
        <f t="shared" si="0"/>
        <v>2995138053.9413471</v>
      </c>
      <c r="L20" s="38">
        <v>44539008.649435468</v>
      </c>
      <c r="M20" s="38">
        <v>58798337.401355483</v>
      </c>
      <c r="N20" s="38">
        <v>862736268.52345419</v>
      </c>
      <c r="O20" s="38">
        <v>1168353948.4421911</v>
      </c>
      <c r="P20" s="38">
        <v>81523386.716828808</v>
      </c>
      <c r="Q20" s="38">
        <v>726714952.05659282</v>
      </c>
      <c r="R20" s="38">
        <v>52472152.151489437</v>
      </c>
    </row>
    <row r="21" spans="2:22" x14ac:dyDescent="0.2">
      <c r="B21" s="45">
        <v>2024</v>
      </c>
      <c r="F21" s="2" t="s">
        <v>96</v>
      </c>
      <c r="J21" s="44">
        <f t="shared" si="0"/>
        <v>2821435196.1559162</v>
      </c>
      <c r="L21" s="38">
        <v>41255962.083942816</v>
      </c>
      <c r="M21" s="38">
        <v>55487604.739209108</v>
      </c>
      <c r="N21" s="38">
        <v>817342881.17476141</v>
      </c>
      <c r="O21" s="38">
        <v>1108362867.0574851</v>
      </c>
      <c r="P21" s="38">
        <v>76404235.639816463</v>
      </c>
      <c r="Q21" s="38">
        <v>676013283.14615381</v>
      </c>
      <c r="R21" s="38">
        <v>46568362.314547464</v>
      </c>
    </row>
    <row r="22" spans="2:22" x14ac:dyDescent="0.2">
      <c r="B22" s="45">
        <v>2025</v>
      </c>
      <c r="F22" s="2" t="s">
        <v>97</v>
      </c>
      <c r="J22" s="44">
        <f t="shared" si="0"/>
        <v>2640508610.7607327</v>
      </c>
      <c r="L22" s="38">
        <v>37840295.203290008</v>
      </c>
      <c r="M22" s="38">
        <v>52038635.039907418</v>
      </c>
      <c r="N22" s="38">
        <v>770035805.33051395</v>
      </c>
      <c r="O22" s="38">
        <v>1045833560.0636346</v>
      </c>
      <c r="P22" s="38">
        <v>71074381.546735421</v>
      </c>
      <c r="Q22" s="38">
        <v>623250898.51047277</v>
      </c>
      <c r="R22" s="38">
        <v>40435035.066178501</v>
      </c>
    </row>
    <row r="23" spans="2:22" x14ac:dyDescent="0.2">
      <c r="B23" s="45">
        <v>2026</v>
      </c>
      <c r="F23" s="2" t="s">
        <v>98</v>
      </c>
      <c r="J23" s="44">
        <f t="shared" si="0"/>
        <v>2452154523.2877679</v>
      </c>
      <c r="L23" s="38">
        <v>34288297.383218504</v>
      </c>
      <c r="M23" s="38">
        <v>48447524.447495364</v>
      </c>
      <c r="N23" s="38">
        <v>720760855.66237307</v>
      </c>
      <c r="O23" s="38">
        <v>980694088.44907856</v>
      </c>
      <c r="P23" s="38">
        <v>65527897.733956173</v>
      </c>
      <c r="Q23" s="38">
        <v>568370039.72416782</v>
      </c>
      <c r="R23" s="38">
        <v>34065819.887478344</v>
      </c>
    </row>
    <row r="25" spans="2:22" x14ac:dyDescent="0.2">
      <c r="B25" s="5" t="s">
        <v>146</v>
      </c>
    </row>
    <row r="26" spans="2:22" x14ac:dyDescent="0.2">
      <c r="B26" s="58">
        <v>2021</v>
      </c>
      <c r="F26" s="2" t="s">
        <v>157</v>
      </c>
      <c r="J26" s="44">
        <f t="shared" ref="J26:J31" si="1">SUM(L26:R26)</f>
        <v>215753673.53915697</v>
      </c>
      <c r="L26" s="38">
        <v>3871881.0929313069</v>
      </c>
      <c r="M26" s="38">
        <v>4141416.6277673859</v>
      </c>
      <c r="N26" s="38">
        <v>57747791.786884859</v>
      </c>
      <c r="O26" s="38">
        <v>76799198.996501058</v>
      </c>
      <c r="P26" s="38">
        <v>6243327.4312774511</v>
      </c>
      <c r="Q26" s="38">
        <v>60458652.412193932</v>
      </c>
      <c r="R26" s="38">
        <v>6491405.1916009672</v>
      </c>
    </row>
    <row r="27" spans="2:22" x14ac:dyDescent="0.2">
      <c r="B27" s="45">
        <v>2022</v>
      </c>
      <c r="F27" s="2" t="s">
        <v>94</v>
      </c>
      <c r="J27" s="44">
        <f t="shared" si="1"/>
        <v>219637239.66286165</v>
      </c>
      <c r="L27" s="38">
        <v>3941574.9526040982</v>
      </c>
      <c r="M27" s="38">
        <v>4215962.1270671869</v>
      </c>
      <c r="N27" s="38">
        <v>58787252.039048627</v>
      </c>
      <c r="O27" s="38">
        <v>78181584.578438237</v>
      </c>
      <c r="P27" s="38">
        <v>6355707.3250404876</v>
      </c>
      <c r="Q27" s="38">
        <v>61546908.155613154</v>
      </c>
      <c r="R27" s="38">
        <v>6608250.4850498317</v>
      </c>
    </row>
    <row r="28" spans="2:22" x14ac:dyDescent="0.2">
      <c r="B28" s="45">
        <v>2023</v>
      </c>
      <c r="F28" s="2" t="s">
        <v>95</v>
      </c>
      <c r="J28" s="44">
        <f t="shared" si="1"/>
        <v>223590709.97679311</v>
      </c>
      <c r="L28" s="38">
        <v>4012523.3017509724</v>
      </c>
      <c r="M28" s="38">
        <v>4291849.4453543965</v>
      </c>
      <c r="N28" s="38">
        <v>59845422.575751491</v>
      </c>
      <c r="O28" s="38">
        <v>79588853.10085012</v>
      </c>
      <c r="P28" s="38">
        <v>6470110.0568912169</v>
      </c>
      <c r="Q28" s="38">
        <v>62654752.502414197</v>
      </c>
      <c r="R28" s="38">
        <v>6727198.9937807294</v>
      </c>
    </row>
    <row r="29" spans="2:22" x14ac:dyDescent="0.2">
      <c r="B29" s="45">
        <v>2024</v>
      </c>
      <c r="F29" s="2" t="s">
        <v>96</v>
      </c>
      <c r="J29" s="44">
        <f t="shared" si="1"/>
        <v>227615342.75637546</v>
      </c>
      <c r="L29" s="38">
        <v>4084748.7211824902</v>
      </c>
      <c r="M29" s="38">
        <v>4369102.7353707757</v>
      </c>
      <c r="N29" s="38">
        <v>60922640.182115026</v>
      </c>
      <c r="O29" s="38">
        <v>81021452.456665441</v>
      </c>
      <c r="P29" s="38">
        <v>6586572.0379152596</v>
      </c>
      <c r="Q29" s="38">
        <v>63782538.047457658</v>
      </c>
      <c r="R29" s="38">
        <v>6848288.5756687829</v>
      </c>
    </row>
    <row r="30" spans="2:22" x14ac:dyDescent="0.2">
      <c r="B30" s="45">
        <v>2025</v>
      </c>
      <c r="F30" s="2" t="s">
        <v>97</v>
      </c>
      <c r="J30" s="44">
        <f t="shared" si="1"/>
        <v>231712418.92599022</v>
      </c>
      <c r="L30" s="38">
        <v>4158274.1981637753</v>
      </c>
      <c r="M30" s="38">
        <v>4447746.5846074494</v>
      </c>
      <c r="N30" s="38">
        <v>62019247.705393106</v>
      </c>
      <c r="O30" s="38">
        <v>82479838.600885421</v>
      </c>
      <c r="P30" s="38">
        <v>6705130.3345977347</v>
      </c>
      <c r="Q30" s="38">
        <v>64930623.732311897</v>
      </c>
      <c r="R30" s="38">
        <v>6971557.7700308217</v>
      </c>
    </row>
    <row r="31" spans="2:22" x14ac:dyDescent="0.2">
      <c r="B31" s="45">
        <v>2026</v>
      </c>
      <c r="F31" s="2" t="s">
        <v>98</v>
      </c>
      <c r="J31" s="44">
        <f t="shared" si="1"/>
        <v>235883242.46665803</v>
      </c>
      <c r="L31" s="38">
        <v>4233123.1337307235</v>
      </c>
      <c r="M31" s="38">
        <v>4527806.0231303843</v>
      </c>
      <c r="N31" s="38">
        <v>63135594.164090171</v>
      </c>
      <c r="O31" s="38">
        <v>83964475.695701361</v>
      </c>
      <c r="P31" s="38">
        <v>6825822.6806204934</v>
      </c>
      <c r="Q31" s="38">
        <v>66099374.95949351</v>
      </c>
      <c r="R31" s="38">
        <v>7097045.8098913757</v>
      </c>
    </row>
    <row r="33" spans="2:18" x14ac:dyDescent="0.2">
      <c r="B33" s="5" t="s">
        <v>180</v>
      </c>
    </row>
    <row r="34" spans="2:18" x14ac:dyDescent="0.2">
      <c r="B34" s="58">
        <v>2021</v>
      </c>
      <c r="F34" s="2" t="s">
        <v>157</v>
      </c>
      <c r="J34" s="44">
        <f t="shared" ref="J34:J39" si="2">SUM(L34:R34)</f>
        <v>3032176032.1286125</v>
      </c>
      <c r="L34" s="38">
        <v>30999188.439156905</v>
      </c>
      <c r="M34" s="38">
        <v>68282180.185853601</v>
      </c>
      <c r="N34" s="38">
        <v>1204860643.8653486</v>
      </c>
      <c r="O34" s="38">
        <v>876149535.3558408</v>
      </c>
      <c r="P34" s="38">
        <v>32783543.295303263</v>
      </c>
      <c r="Q34" s="38">
        <v>777523733.56576598</v>
      </c>
      <c r="R34" s="38">
        <v>41577207.421343505</v>
      </c>
    </row>
    <row r="35" spans="2:18" x14ac:dyDescent="0.2">
      <c r="B35" s="45">
        <v>2022</v>
      </c>
      <c r="F35" s="2" t="s">
        <v>94</v>
      </c>
      <c r="J35" s="44">
        <f t="shared" si="2"/>
        <v>3000761921.4544277</v>
      </c>
      <c r="L35" s="38">
        <v>30620302.730006024</v>
      </c>
      <c r="M35" s="38">
        <v>67077110.244451724</v>
      </c>
      <c r="N35" s="38">
        <v>1193907770.0719535</v>
      </c>
      <c r="O35" s="38">
        <v>867164165.08929706</v>
      </c>
      <c r="P35" s="38">
        <v>32096206.715395901</v>
      </c>
      <c r="Q35" s="38">
        <v>768842780.63855863</v>
      </c>
      <c r="R35" s="38">
        <v>41053585.964764826</v>
      </c>
    </row>
    <row r="36" spans="2:18" x14ac:dyDescent="0.2">
      <c r="B36" s="45">
        <v>2023</v>
      </c>
      <c r="F36" s="2" t="s">
        <v>95</v>
      </c>
      <c r="J36" s="44">
        <f t="shared" si="2"/>
        <v>2967709931.5920534</v>
      </c>
      <c r="L36" s="38">
        <v>30228623.541326597</v>
      </c>
      <c r="M36" s="38">
        <v>66061118.820736408</v>
      </c>
      <c r="N36" s="38">
        <v>1182198171.9875944</v>
      </c>
      <c r="O36" s="38">
        <v>857609860.75377643</v>
      </c>
      <c r="P36" s="38">
        <v>31452055.252766501</v>
      </c>
      <c r="Q36" s="38">
        <v>759662458.11530828</v>
      </c>
      <c r="R36" s="38">
        <v>40497643.120544828</v>
      </c>
    </row>
    <row r="37" spans="2:18" x14ac:dyDescent="0.2">
      <c r="B37" s="45">
        <v>2024</v>
      </c>
      <c r="F37" s="2" t="s">
        <v>96</v>
      </c>
      <c r="J37" s="44">
        <f t="shared" si="2"/>
        <v>2933012931.3311038</v>
      </c>
      <c r="L37" s="38">
        <v>29820323.93924401</v>
      </c>
      <c r="M37" s="38">
        <v>65232654.778499745</v>
      </c>
      <c r="N37" s="38">
        <v>1169604702.0831592</v>
      </c>
      <c r="O37" s="38">
        <v>847469684.81431758</v>
      </c>
      <c r="P37" s="38">
        <v>30837303.694930166</v>
      </c>
      <c r="Q37" s="38">
        <v>750113368.94036365</v>
      </c>
      <c r="R37" s="38">
        <v>39934893.080589913</v>
      </c>
    </row>
    <row r="38" spans="2:18" x14ac:dyDescent="0.2">
      <c r="B38" s="45">
        <v>2025</v>
      </c>
      <c r="F38" s="2" t="s">
        <v>97</v>
      </c>
      <c r="J38" s="44">
        <f t="shared" si="2"/>
        <v>2896612091.1421461</v>
      </c>
      <c r="L38" s="38">
        <v>29395811.492141724</v>
      </c>
      <c r="M38" s="38">
        <v>64398937.123730071</v>
      </c>
      <c r="N38" s="38">
        <v>1156194889.7161114</v>
      </c>
      <c r="O38" s="38">
        <v>836715340.81766713</v>
      </c>
      <c r="P38" s="38">
        <v>30305597.262680095</v>
      </c>
      <c r="Q38" s="38">
        <v>740198700.46402061</v>
      </c>
      <c r="R38" s="38">
        <v>39402814.265795335</v>
      </c>
    </row>
    <row r="39" spans="2:18" x14ac:dyDescent="0.2">
      <c r="B39" s="45">
        <v>2026</v>
      </c>
      <c r="F39" s="2" t="s">
        <v>98</v>
      </c>
      <c r="J39" s="44">
        <f t="shared" si="2"/>
        <v>2858188444.7645526</v>
      </c>
      <c r="L39" s="38">
        <v>28950885.229215182</v>
      </c>
      <c r="M39" s="38">
        <v>63517109.872168884</v>
      </c>
      <c r="N39" s="38">
        <v>1141946898.3079753</v>
      </c>
      <c r="O39" s="38">
        <v>825312182.15345311</v>
      </c>
      <c r="P39" s="38">
        <v>29840869.67801334</v>
      </c>
      <c r="Q39" s="38">
        <v>729737138.58364761</v>
      </c>
      <c r="R39" s="38">
        <v>38883360.94007916</v>
      </c>
    </row>
    <row r="41" spans="2:18" x14ac:dyDescent="0.2">
      <c r="B41" s="5" t="s">
        <v>181</v>
      </c>
    </row>
    <row r="42" spans="2:18" x14ac:dyDescent="0.2">
      <c r="B42" s="58">
        <v>2021</v>
      </c>
      <c r="F42" s="2" t="s">
        <v>157</v>
      </c>
      <c r="J42" s="44">
        <f t="shared" ref="J42:J47" si="3">SUM(L42:R42)</f>
        <v>85110055.705741361</v>
      </c>
      <c r="L42" s="38">
        <v>938584.15462553035</v>
      </c>
      <c r="M42" s="38">
        <v>2595459.1114477268</v>
      </c>
      <c r="N42" s="38">
        <v>32257894.371810969</v>
      </c>
      <c r="O42" s="38">
        <v>24333332.469133191</v>
      </c>
      <c r="P42" s="38">
        <v>1328224.4220156982</v>
      </c>
      <c r="Q42" s="38">
        <v>22358577.468746033</v>
      </c>
      <c r="R42" s="38">
        <v>1297983.7079622149</v>
      </c>
    </row>
    <row r="43" spans="2:18" x14ac:dyDescent="0.2">
      <c r="B43" s="45">
        <v>2022</v>
      </c>
      <c r="F43" s="2" t="s">
        <v>94</v>
      </c>
      <c r="J43" s="44">
        <f t="shared" si="3"/>
        <v>85993279.252500325</v>
      </c>
      <c r="L43" s="38">
        <v>936871.1010557058</v>
      </c>
      <c r="M43" s="38">
        <v>2434149.184747275</v>
      </c>
      <c r="N43" s="38">
        <v>32640365.382971894</v>
      </c>
      <c r="O43" s="38">
        <v>24756061.902948782</v>
      </c>
      <c r="P43" s="38">
        <v>1277440.3592228186</v>
      </c>
      <c r="Q43" s="38">
        <v>22676380.131390996</v>
      </c>
      <c r="R43" s="38">
        <v>1272011.1901628529</v>
      </c>
    </row>
    <row r="44" spans="2:18" x14ac:dyDescent="0.2">
      <c r="B44" s="45">
        <v>2023</v>
      </c>
      <c r="F44" s="2" t="s">
        <v>95</v>
      </c>
      <c r="J44" s="44">
        <f t="shared" si="3"/>
        <v>87065704.448554516</v>
      </c>
      <c r="L44" s="38">
        <v>942844.63781951612</v>
      </c>
      <c r="M44" s="38">
        <v>2223379.4081154256</v>
      </c>
      <c r="N44" s="38">
        <v>33199937.945654638</v>
      </c>
      <c r="O44" s="38">
        <v>25163259.307128306</v>
      </c>
      <c r="P44" s="38">
        <v>1221883.183506499</v>
      </c>
      <c r="Q44" s="38">
        <v>23019492.574744347</v>
      </c>
      <c r="R44" s="38">
        <v>1294907.3915857847</v>
      </c>
    </row>
    <row r="45" spans="2:18" x14ac:dyDescent="0.2">
      <c r="B45" s="45">
        <v>2024</v>
      </c>
      <c r="F45" s="2" t="s">
        <v>96</v>
      </c>
      <c r="J45" s="44">
        <f t="shared" si="3"/>
        <v>88115779.029606074</v>
      </c>
      <c r="L45" s="38">
        <v>952414.82582648494</v>
      </c>
      <c r="M45" s="38">
        <v>2017564.181009931</v>
      </c>
      <c r="N45" s="38">
        <v>33873037.000212535</v>
      </c>
      <c r="O45" s="38">
        <v>25577153.433025893</v>
      </c>
      <c r="P45" s="38">
        <v>1180888.5523861544</v>
      </c>
      <c r="Q45" s="38">
        <v>23223013.421020366</v>
      </c>
      <c r="R45" s="38">
        <v>1291707.6161247105</v>
      </c>
    </row>
    <row r="46" spans="2:18" x14ac:dyDescent="0.2">
      <c r="B46" s="45">
        <v>2025</v>
      </c>
      <c r="F46" s="2" t="s">
        <v>97</v>
      </c>
      <c r="J46" s="44">
        <f t="shared" si="3"/>
        <v>89195072.952916831</v>
      </c>
      <c r="L46" s="38">
        <v>961278.27800867241</v>
      </c>
      <c r="M46" s="38">
        <v>2007905.4407826646</v>
      </c>
      <c r="N46" s="38">
        <v>34462697.004543424</v>
      </c>
      <c r="O46" s="38">
        <v>26008798.32330858</v>
      </c>
      <c r="P46" s="38">
        <v>1086777.8987588093</v>
      </c>
      <c r="Q46" s="38">
        <v>23416709.11726949</v>
      </c>
      <c r="R46" s="38">
        <v>1250906.8902452008</v>
      </c>
    </row>
    <row r="47" spans="2:18" x14ac:dyDescent="0.2">
      <c r="B47" s="45">
        <v>2026</v>
      </c>
      <c r="F47" s="2" t="s">
        <v>98</v>
      </c>
      <c r="J47" s="44">
        <f t="shared" si="3"/>
        <v>90562664.018152669</v>
      </c>
      <c r="L47" s="38">
        <v>974050.86978509056</v>
      </c>
      <c r="M47" s="38">
        <v>2041008.1197883324</v>
      </c>
      <c r="N47" s="38">
        <v>35059499.423026212</v>
      </c>
      <c r="O47" s="38">
        <v>26464034.798932172</v>
      </c>
      <c r="P47" s="38">
        <v>1010228.3353949926</v>
      </c>
      <c r="Q47" s="38">
        <v>23785138.488725372</v>
      </c>
      <c r="R47" s="38">
        <v>1228703.9825004961</v>
      </c>
    </row>
    <row r="49" spans="2:18" x14ac:dyDescent="0.2">
      <c r="B49" s="1" t="s">
        <v>142</v>
      </c>
      <c r="C49" s="1"/>
      <c r="D49" s="1"/>
      <c r="E49" s="1"/>
      <c r="F49" s="1"/>
      <c r="G49" s="1"/>
      <c r="H49" s="1"/>
      <c r="I49" s="1"/>
      <c r="J49" s="1"/>
      <c r="K49" s="1"/>
      <c r="L49" s="1"/>
      <c r="M49" s="1"/>
      <c r="N49" s="1"/>
      <c r="O49" s="1"/>
      <c r="P49" s="1"/>
      <c r="Q49" s="1"/>
      <c r="R49" s="1"/>
    </row>
    <row r="51" spans="2:18" x14ac:dyDescent="0.2">
      <c r="B51" s="5" t="s">
        <v>147</v>
      </c>
    </row>
    <row r="52" spans="2:18" x14ac:dyDescent="0.2">
      <c r="B52" s="58">
        <v>2021</v>
      </c>
      <c r="F52" s="2" t="s">
        <v>157</v>
      </c>
      <c r="J52" s="44">
        <f t="shared" ref="J52:J56" si="4">SUM(L52:R52)</f>
        <v>329042737.12969083</v>
      </c>
      <c r="L52" s="38">
        <v>6041465.8705926752</v>
      </c>
      <c r="M52" s="38">
        <v>7840712.0881175026</v>
      </c>
      <c r="N52" s="38">
        <v>88220221.271411046</v>
      </c>
      <c r="O52" s="38">
        <v>49672603.196671754</v>
      </c>
      <c r="P52" s="38">
        <v>5222075.4526201542</v>
      </c>
      <c r="Q52" s="38">
        <v>170427053.42933533</v>
      </c>
      <c r="R52" s="38">
        <v>1618605.8209423686</v>
      </c>
    </row>
    <row r="53" spans="2:18" x14ac:dyDescent="0.2">
      <c r="B53" s="45">
        <v>2022</v>
      </c>
      <c r="F53" s="2" t="s">
        <v>94</v>
      </c>
      <c r="J53" s="44">
        <f t="shared" si="4"/>
        <v>307758878.60559684</v>
      </c>
      <c r="L53" s="38">
        <v>5677119.0057815481</v>
      </c>
      <c r="M53" s="38">
        <v>7183660.4151332565</v>
      </c>
      <c r="N53" s="38">
        <v>82724638.351502925</v>
      </c>
      <c r="O53" s="38">
        <v>44740462.319996074</v>
      </c>
      <c r="P53" s="38">
        <v>4832793.4643339245</v>
      </c>
      <c r="Q53" s="38">
        <v>161102258.93455884</v>
      </c>
      <c r="R53" s="38">
        <v>1497946.1142903012</v>
      </c>
    </row>
    <row r="54" spans="2:18" x14ac:dyDescent="0.2">
      <c r="B54" s="45">
        <v>2023</v>
      </c>
      <c r="F54" s="2" t="s">
        <v>95</v>
      </c>
      <c r="J54" s="44">
        <f t="shared" si="4"/>
        <v>285602191.32780546</v>
      </c>
      <c r="L54" s="38">
        <v>5297698.2188951485</v>
      </c>
      <c r="M54" s="38">
        <v>6500414.4912050264</v>
      </c>
      <c r="N54" s="38">
        <v>77002631.094786152</v>
      </c>
      <c r="O54" s="38">
        <v>39614670.448324323</v>
      </c>
      <c r="P54" s="38">
        <v>4427805.3720227415</v>
      </c>
      <c r="Q54" s="38">
        <v>151386553.47265929</v>
      </c>
      <c r="R54" s="38">
        <v>1372418.2299127739</v>
      </c>
    </row>
    <row r="55" spans="2:18" x14ac:dyDescent="0.2">
      <c r="B55" s="45">
        <v>2024</v>
      </c>
      <c r="F55" s="2" t="s">
        <v>96</v>
      </c>
      <c r="J55" s="44">
        <f t="shared" si="4"/>
        <v>262548149.43134537</v>
      </c>
      <c r="L55" s="38">
        <v>4902778.8971229652</v>
      </c>
      <c r="M55" s="38">
        <v>5790244.2080408763</v>
      </c>
      <c r="N55" s="38">
        <v>71047828.794001698</v>
      </c>
      <c r="O55" s="38">
        <v>34289854.159480721</v>
      </c>
      <c r="P55" s="38">
        <v>4006671.8833059124</v>
      </c>
      <c r="Q55" s="38">
        <v>141268885.48223656</v>
      </c>
      <c r="R55" s="38">
        <v>1241886.0071566256</v>
      </c>
    </row>
    <row r="56" spans="2:18" x14ac:dyDescent="0.2">
      <c r="B56" s="45">
        <v>2025</v>
      </c>
      <c r="F56" s="2" t="s">
        <v>97</v>
      </c>
      <c r="J56" s="44">
        <f t="shared" si="4"/>
        <v>238571626.91662249</v>
      </c>
      <c r="L56" s="38">
        <v>4491926.0255440604</v>
      </c>
      <c r="M56" s="38">
        <v>5052401.6603876678</v>
      </c>
      <c r="N56" s="38">
        <v>64853704.75791429</v>
      </c>
      <c r="O56" s="38">
        <v>28760509.331013493</v>
      </c>
      <c r="P56" s="38">
        <v>3568942.9800547417</v>
      </c>
      <c r="Q56" s="38">
        <v>130737932.20083348</v>
      </c>
      <c r="R56" s="38">
        <v>1106209.9608747642</v>
      </c>
    </row>
    <row r="57" spans="2:18" x14ac:dyDescent="0.2">
      <c r="B57" s="45">
        <v>2026</v>
      </c>
      <c r="F57" s="2" t="s">
        <v>98</v>
      </c>
      <c r="J57" s="44">
        <f>SUM(L57:R57)</f>
        <v>213646883.99095386</v>
      </c>
      <c r="L57" s="38">
        <v>4064693.9502256485</v>
      </c>
      <c r="M57" s="38">
        <v>4286120.7418955378</v>
      </c>
      <c r="N57" s="38">
        <v>58413572.759998478</v>
      </c>
      <c r="O57" s="38">
        <v>23020998.175973773</v>
      </c>
      <c r="P57" s="38">
        <v>3114157.6745963376</v>
      </c>
      <c r="Q57" s="38">
        <v>119782093.48240365</v>
      </c>
      <c r="R57" s="38">
        <v>965247.20586043713</v>
      </c>
    </row>
    <row r="59" spans="2:18" x14ac:dyDescent="0.2">
      <c r="B59" s="5" t="s">
        <v>148</v>
      </c>
    </row>
    <row r="60" spans="2:18" x14ac:dyDescent="0.2">
      <c r="B60" s="58">
        <v>2021</v>
      </c>
      <c r="F60" s="2" t="s">
        <v>157</v>
      </c>
      <c r="J60" s="44">
        <f t="shared" ref="J60:J65" si="5">SUM(L60:R60)</f>
        <v>26725567.576059349</v>
      </c>
      <c r="L60" s="38">
        <v>464728.14389174414</v>
      </c>
      <c r="M60" s="38">
        <v>784071.2088117504</v>
      </c>
      <c r="N60" s="38">
        <v>6958297.5469484627</v>
      </c>
      <c r="O60" s="38">
        <v>5723229.601390752</v>
      </c>
      <c r="P60" s="38">
        <v>474734.13205637777</v>
      </c>
      <c r="Q60" s="38">
        <v>12173360.959238227</v>
      </c>
      <c r="R60" s="38">
        <v>147145.9837220335</v>
      </c>
    </row>
    <row r="61" spans="2:18" x14ac:dyDescent="0.2">
      <c r="B61" s="45">
        <v>2022</v>
      </c>
      <c r="F61" s="2" t="s">
        <v>94</v>
      </c>
      <c r="J61" s="44">
        <f t="shared" si="5"/>
        <v>27206627.792428415</v>
      </c>
      <c r="L61" s="38">
        <v>473093.25048179558</v>
      </c>
      <c r="M61" s="38">
        <v>798184.49057036219</v>
      </c>
      <c r="N61" s="38">
        <v>7083546.9027935332</v>
      </c>
      <c r="O61" s="38">
        <v>5826247.7342157876</v>
      </c>
      <c r="P61" s="38">
        <v>483279.34643339249</v>
      </c>
      <c r="Q61" s="38">
        <v>12392481.456504516</v>
      </c>
      <c r="R61" s="38">
        <v>149794.6114290301</v>
      </c>
    </row>
    <row r="62" spans="2:18" x14ac:dyDescent="0.2">
      <c r="B62" s="45">
        <v>2023</v>
      </c>
      <c r="F62" s="2" t="s">
        <v>95</v>
      </c>
      <c r="J62" s="44">
        <f t="shared" si="5"/>
        <v>27696347.092692129</v>
      </c>
      <c r="L62" s="38">
        <v>481608.92899046786</v>
      </c>
      <c r="M62" s="38">
        <v>812551.81140062853</v>
      </c>
      <c r="N62" s="38">
        <v>7211050.7470438164</v>
      </c>
      <c r="O62" s="38">
        <v>5931120.1934316708</v>
      </c>
      <c r="P62" s="38">
        <v>491978.37466919352</v>
      </c>
      <c r="Q62" s="38">
        <v>12615546.122721598</v>
      </c>
      <c r="R62" s="38">
        <v>152490.91443475266</v>
      </c>
    </row>
    <row r="63" spans="2:18" x14ac:dyDescent="0.2">
      <c r="B63" s="45">
        <v>2024</v>
      </c>
      <c r="F63" s="2" t="s">
        <v>96</v>
      </c>
      <c r="J63" s="44">
        <f t="shared" si="5"/>
        <v>28194881.340360586</v>
      </c>
      <c r="L63" s="38">
        <v>490277.88971229631</v>
      </c>
      <c r="M63" s="38">
        <v>827177.74400583992</v>
      </c>
      <c r="N63" s="38">
        <v>7340849.660490606</v>
      </c>
      <c r="O63" s="38">
        <v>6037880.3569134409</v>
      </c>
      <c r="P63" s="38">
        <v>500833.98541323905</v>
      </c>
      <c r="Q63" s="38">
        <v>12842625.952930586</v>
      </c>
      <c r="R63" s="38">
        <v>155235.7508945782</v>
      </c>
    </row>
    <row r="64" spans="2:18" x14ac:dyDescent="0.2">
      <c r="B64" s="45">
        <v>2025</v>
      </c>
      <c r="F64" s="2" t="s">
        <v>97</v>
      </c>
      <c r="J64" s="44">
        <f t="shared" si="5"/>
        <v>28702389.204487078</v>
      </c>
      <c r="L64" s="38">
        <v>499102.89172711765</v>
      </c>
      <c r="M64" s="38">
        <v>842066.94339794503</v>
      </c>
      <c r="N64" s="38">
        <v>7472984.9543794375</v>
      </c>
      <c r="O64" s="38">
        <v>6146562.2033378826</v>
      </c>
      <c r="P64" s="38">
        <v>509848.99715067731</v>
      </c>
      <c r="Q64" s="38">
        <v>13073793.220083337</v>
      </c>
      <c r="R64" s="38">
        <v>158029.99441068061</v>
      </c>
    </row>
    <row r="65" spans="2:18" x14ac:dyDescent="0.2">
      <c r="B65" s="45">
        <v>2026</v>
      </c>
      <c r="F65" s="2" t="s">
        <v>98</v>
      </c>
      <c r="J65" s="44">
        <f t="shared" si="5"/>
        <v>29219032.210167844</v>
      </c>
      <c r="L65" s="38">
        <v>508086.74377820571</v>
      </c>
      <c r="M65" s="38">
        <v>857224.14837910805</v>
      </c>
      <c r="N65" s="38">
        <v>7607498.6835582666</v>
      </c>
      <c r="O65" s="38">
        <v>6257200.3229979649</v>
      </c>
      <c r="P65" s="38">
        <v>519026.2790993895</v>
      </c>
      <c r="Q65" s="38">
        <v>13309121.498044835</v>
      </c>
      <c r="R65" s="38">
        <v>160874.53431007286</v>
      </c>
    </row>
    <row r="67" spans="2:18" x14ac:dyDescent="0.2">
      <c r="B67" s="5" t="s">
        <v>183</v>
      </c>
    </row>
    <row r="68" spans="2:18" x14ac:dyDescent="0.2">
      <c r="B68" s="58">
        <v>2021</v>
      </c>
      <c r="F68" s="2" t="s">
        <v>157</v>
      </c>
      <c r="J68" s="44">
        <f>SUM(L68:R68)</f>
        <v>1268706864.5105572</v>
      </c>
      <c r="L68" s="38">
        <v>26546985.350983948</v>
      </c>
      <c r="M68" s="38">
        <v>18859734.822071865</v>
      </c>
      <c r="N68" s="38">
        <v>367403169.2582888</v>
      </c>
      <c r="O68" s="38">
        <v>449314142.24673325</v>
      </c>
      <c r="P68" s="38">
        <v>8635159.3069998361</v>
      </c>
      <c r="Q68" s="38">
        <v>393648347.66223484</v>
      </c>
      <c r="R68" s="38">
        <v>4299325.8632444991</v>
      </c>
    </row>
    <row r="69" spans="2:18" x14ac:dyDescent="0.2">
      <c r="B69" s="45">
        <v>2022</v>
      </c>
      <c r="F69" s="2" t="s">
        <v>94</v>
      </c>
      <c r="J69" s="44">
        <f t="shared" ref="J69:J73" si="6">SUM(L69:R69)</f>
        <v>1250887264.9062438</v>
      </c>
      <c r="L69" s="38">
        <v>26172211.606633052</v>
      </c>
      <c r="M69" s="38">
        <v>18607744.44044397</v>
      </c>
      <c r="N69" s="38">
        <v>362415870.62584466</v>
      </c>
      <c r="O69" s="38">
        <v>442888199.80640584</v>
      </c>
      <c r="P69" s="38">
        <v>8506533.4173559602</v>
      </c>
      <c r="Q69" s="38">
        <v>388044754.22449178</v>
      </c>
      <c r="R69" s="38">
        <v>4251950.7850684356</v>
      </c>
    </row>
    <row r="70" spans="2:18" x14ac:dyDescent="0.2">
      <c r="B70" s="45">
        <v>2023</v>
      </c>
      <c r="F70" s="2" t="s">
        <v>95</v>
      </c>
      <c r="J70" s="44">
        <f t="shared" si="6"/>
        <v>1232015098.6920738</v>
      </c>
      <c r="L70" s="38">
        <v>25775344.784231812</v>
      </c>
      <c r="M70" s="38">
        <v>18340571.850995112</v>
      </c>
      <c r="N70" s="38">
        <v>357129990.61579287</v>
      </c>
      <c r="O70" s="38">
        <v>436085345.65613854</v>
      </c>
      <c r="P70" s="38">
        <v>8370479.2040694356</v>
      </c>
      <c r="Q70" s="38">
        <v>382111889.35834759</v>
      </c>
      <c r="R70" s="38">
        <v>4201477.2224983415</v>
      </c>
    </row>
    <row r="71" spans="2:18" x14ac:dyDescent="0.2">
      <c r="B71" s="45">
        <v>2024</v>
      </c>
      <c r="F71" s="2" t="s">
        <v>96</v>
      </c>
      <c r="J71" s="44">
        <f t="shared" si="6"/>
        <v>1212058247.0203643</v>
      </c>
      <c r="L71" s="38">
        <v>25355710.959663574</v>
      </c>
      <c r="M71" s="38">
        <v>18057752.139127396</v>
      </c>
      <c r="N71" s="38">
        <v>351536396.18329656</v>
      </c>
      <c r="O71" s="38">
        <v>428894092.97972465</v>
      </c>
      <c r="P71" s="38">
        <v>8226770.9222773695</v>
      </c>
      <c r="Q71" s="38">
        <v>375839714.85665333</v>
      </c>
      <c r="R71" s="38">
        <v>4147808.9796213615</v>
      </c>
    </row>
    <row r="72" spans="2:18" x14ac:dyDescent="0.2">
      <c r="B72" s="45">
        <v>2025</v>
      </c>
      <c r="F72" s="2" t="s">
        <v>97</v>
      </c>
      <c r="J72" s="44">
        <f t="shared" si="6"/>
        <v>1190983775.7964969</v>
      </c>
      <c r="L72" s="38">
        <v>24912619.105700795</v>
      </c>
      <c r="M72" s="38">
        <v>17758808.572352715</v>
      </c>
      <c r="N72" s="38">
        <v>345625722.23427063</v>
      </c>
      <c r="O72" s="38">
        <v>421302663.55496716</v>
      </c>
      <c r="P72" s="38">
        <v>8075177.1070786733</v>
      </c>
      <c r="Q72" s="38">
        <v>369217937.820746</v>
      </c>
      <c r="R72" s="38">
        <v>4090847.401380721</v>
      </c>
    </row>
    <row r="73" spans="2:18" x14ac:dyDescent="0.2">
      <c r="B73" s="45">
        <v>2026</v>
      </c>
      <c r="F73" s="2" t="s">
        <v>98</v>
      </c>
      <c r="J73" s="44">
        <f t="shared" si="6"/>
        <v>1168757916.7365358</v>
      </c>
      <c r="L73" s="38">
        <v>24445360.694644418</v>
      </c>
      <c r="M73" s="38">
        <v>17443252.325481072</v>
      </c>
      <c r="N73" s="38">
        <v>339388366.23071659</v>
      </c>
      <c r="O73" s="38">
        <v>413298980.98479313</v>
      </c>
      <c r="P73" s="38">
        <v>7915460.4407540075</v>
      </c>
      <c r="Q73" s="38">
        <v>362236004.74393243</v>
      </c>
      <c r="R73" s="38">
        <v>4030491.3162140199</v>
      </c>
    </row>
    <row r="75" spans="2:18" x14ac:dyDescent="0.2">
      <c r="B75" s="5" t="s">
        <v>182</v>
      </c>
    </row>
    <row r="76" spans="2:18" x14ac:dyDescent="0.2">
      <c r="B76" s="58">
        <v>2021</v>
      </c>
      <c r="F76" s="2" t="s">
        <v>157</v>
      </c>
      <c r="J76" s="44">
        <f t="shared" ref="J76:J81" si="7">SUM(L76:R76)</f>
        <v>39937449.082026668</v>
      </c>
      <c r="L76" s="38">
        <v>837543.69417348038</v>
      </c>
      <c r="M76" s="38">
        <v>581007.47389508132</v>
      </c>
      <c r="N76" s="38">
        <v>11395437.798716368</v>
      </c>
      <c r="O76" s="38">
        <v>14256971.513525093</v>
      </c>
      <c r="P76" s="38">
        <v>279036.1072395629</v>
      </c>
      <c r="Q76" s="38">
        <v>12464895.575307662</v>
      </c>
      <c r="R76" s="38">
        <v>122556.91916941619</v>
      </c>
    </row>
    <row r="77" spans="2:18" x14ac:dyDescent="0.2">
      <c r="B77" s="45">
        <v>2022</v>
      </c>
      <c r="F77" s="2" t="s">
        <v>94</v>
      </c>
      <c r="J77" s="44">
        <f t="shared" si="7"/>
        <v>40656323.165503152</v>
      </c>
      <c r="L77" s="38">
        <v>852619.48066860286</v>
      </c>
      <c r="M77" s="38">
        <v>591465.60842519288</v>
      </c>
      <c r="N77" s="38">
        <v>11600555.679093262</v>
      </c>
      <c r="O77" s="38">
        <v>14513597.000768552</v>
      </c>
      <c r="P77" s="38">
        <v>284058.7571698752</v>
      </c>
      <c r="Q77" s="38">
        <v>12689263.695663204</v>
      </c>
      <c r="R77" s="38">
        <v>124762.94371446571</v>
      </c>
    </row>
    <row r="78" spans="2:18" x14ac:dyDescent="0.2">
      <c r="B78" s="45">
        <v>2023</v>
      </c>
      <c r="F78" s="2" t="s">
        <v>95</v>
      </c>
      <c r="J78" s="44">
        <f t="shared" si="7"/>
        <v>41388136.982482217</v>
      </c>
      <c r="L78" s="38">
        <v>867966.63132063777</v>
      </c>
      <c r="M78" s="38">
        <v>602111.98937684635</v>
      </c>
      <c r="N78" s="38">
        <v>11809365.681316951</v>
      </c>
      <c r="O78" s="38">
        <v>14774841.746782381</v>
      </c>
      <c r="P78" s="38">
        <v>289171.81479893287</v>
      </c>
      <c r="Q78" s="38">
        <v>12917670.442185139</v>
      </c>
      <c r="R78" s="38">
        <v>127008.67670132607</v>
      </c>
    </row>
    <row r="79" spans="2:18" x14ac:dyDescent="0.2">
      <c r="B79" s="45">
        <v>2024</v>
      </c>
      <c r="F79" s="2" t="s">
        <v>96</v>
      </c>
      <c r="J79" s="44">
        <f t="shared" si="7"/>
        <v>42133123.448166892</v>
      </c>
      <c r="L79" s="38">
        <v>883590.03068440943</v>
      </c>
      <c r="M79" s="38">
        <v>612950.00518562982</v>
      </c>
      <c r="N79" s="38">
        <v>12021934.26358065</v>
      </c>
      <c r="O79" s="38">
        <v>15040788.89822446</v>
      </c>
      <c r="P79" s="38">
        <v>294376.90746531362</v>
      </c>
      <c r="Q79" s="38">
        <v>13150188.510144478</v>
      </c>
      <c r="R79" s="38">
        <v>129294.83288194996</v>
      </c>
    </row>
    <row r="80" spans="2:18" x14ac:dyDescent="0.2">
      <c r="B80" s="45">
        <v>2025</v>
      </c>
      <c r="F80" s="2" t="s">
        <v>97</v>
      </c>
      <c r="J80" s="44">
        <f t="shared" si="7"/>
        <v>42891519.670233898</v>
      </c>
      <c r="L80" s="38">
        <v>899494.651236729</v>
      </c>
      <c r="M80" s="38">
        <v>623983.10527897102</v>
      </c>
      <c r="N80" s="38">
        <v>12238329.080325104</v>
      </c>
      <c r="O80" s="38">
        <v>15311523.098392507</v>
      </c>
      <c r="P80" s="38">
        <v>299675.69179968932</v>
      </c>
      <c r="Q80" s="38">
        <v>13386891.903327076</v>
      </c>
      <c r="R80" s="38">
        <v>131622.13987382507</v>
      </c>
    </row>
    <row r="81" spans="2:22" x14ac:dyDescent="0.2">
      <c r="B81" s="45">
        <v>2026</v>
      </c>
      <c r="F81" s="2" t="s">
        <v>98</v>
      </c>
      <c r="J81" s="44">
        <f t="shared" si="7"/>
        <v>43663567.024298117</v>
      </c>
      <c r="L81" s="38">
        <v>915685.55495898996</v>
      </c>
      <c r="M81" s="38">
        <v>635214.80117399257</v>
      </c>
      <c r="N81" s="38">
        <v>12458619.00377096</v>
      </c>
      <c r="O81" s="38">
        <v>15587130.514163572</v>
      </c>
      <c r="P81" s="38">
        <v>305069.85425208369</v>
      </c>
      <c r="Q81" s="38">
        <v>13627855.957586959</v>
      </c>
      <c r="R81" s="38">
        <v>133991.3383915539</v>
      </c>
    </row>
    <row r="84" spans="2:22" s="9" customFormat="1" x14ac:dyDescent="0.2">
      <c r="B84" s="9" t="s">
        <v>185</v>
      </c>
      <c r="L84" s="9" t="s">
        <v>74</v>
      </c>
      <c r="M84" s="9" t="s">
        <v>75</v>
      </c>
      <c r="N84" s="9" t="s">
        <v>76</v>
      </c>
      <c r="O84" s="9" t="s">
        <v>77</v>
      </c>
      <c r="P84" s="9" t="s">
        <v>78</v>
      </c>
      <c r="Q84" s="9" t="s">
        <v>79</v>
      </c>
      <c r="R84" s="9" t="s">
        <v>80</v>
      </c>
    </row>
    <row r="86" spans="2:22" x14ac:dyDescent="0.2">
      <c r="B86" s="1" t="s">
        <v>141</v>
      </c>
      <c r="C86" s="1"/>
      <c r="D86" s="1"/>
      <c r="E86" s="1"/>
      <c r="F86" s="1"/>
      <c r="G86" s="1"/>
      <c r="H86" s="1"/>
      <c r="I86" s="1"/>
      <c r="J86" s="1"/>
      <c r="K86" s="1"/>
      <c r="L86" s="102"/>
      <c r="M86" s="102"/>
      <c r="N86" s="102"/>
    </row>
    <row r="87" spans="2:22" x14ac:dyDescent="0.2">
      <c r="J87" s="2" t="s">
        <v>224</v>
      </c>
      <c r="L87" s="71">
        <f>SUM('BW &amp; afsch'!L89:L152)</f>
        <v>623999396.59401739</v>
      </c>
      <c r="M87" s="71">
        <f>SUM('BW &amp; afsch'!M89:M152)</f>
        <v>881993598.9068501</v>
      </c>
      <c r="N87" s="71">
        <f>SUM('BW &amp; afsch'!N89:N152)</f>
        <v>14533966354.667055</v>
      </c>
      <c r="O87" s="71">
        <f>SUM('BW &amp; afsch'!O89:O152)</f>
        <v>14691532295.730892</v>
      </c>
      <c r="P87" s="71">
        <f>SUM('BW &amp; afsch'!P89:P152)</f>
        <v>744072017.76883304</v>
      </c>
      <c r="Q87" s="71">
        <f>SUM('BW &amp; afsch'!Q89:Q152)</f>
        <v>11887335942.604172</v>
      </c>
      <c r="R87" s="71">
        <f>SUM('BW &amp; afsch'!R89:R152)</f>
        <v>587026254.56234789</v>
      </c>
      <c r="V87" s="2" t="s">
        <v>238</v>
      </c>
    </row>
    <row r="88" spans="2:22" x14ac:dyDescent="0.2">
      <c r="B88" s="5" t="s">
        <v>145</v>
      </c>
      <c r="L88" s="94"/>
      <c r="M88" s="94"/>
      <c r="N88" s="94"/>
      <c r="O88" s="94"/>
      <c r="P88" s="94"/>
      <c r="Q88" s="94"/>
      <c r="R88" s="94"/>
    </row>
    <row r="89" spans="2:22" x14ac:dyDescent="0.2">
      <c r="B89" s="58">
        <v>2021</v>
      </c>
      <c r="F89" s="2" t="s">
        <v>157</v>
      </c>
      <c r="J89" s="44">
        <f t="shared" ref="J89:J94" si="8">SUM(L89:R89)</f>
        <v>3321663373.5153623</v>
      </c>
      <c r="L89" s="38">
        <v>50721642.317400172</v>
      </c>
      <c r="M89" s="38">
        <v>65020241.055948019</v>
      </c>
      <c r="N89" s="38">
        <v>947992243.42479491</v>
      </c>
      <c r="O89" s="38">
        <v>1281000589.2403259</v>
      </c>
      <c r="P89" s="38">
        <v>91152580.496650904</v>
      </c>
      <c r="Q89" s="38">
        <v>822160306.10255218</v>
      </c>
      <c r="R89" s="38">
        <v>63615770.877689689</v>
      </c>
      <c r="T89" s="7" t="s">
        <v>246</v>
      </c>
      <c r="V89" s="2" t="s">
        <v>239</v>
      </c>
    </row>
    <row r="90" spans="2:22" x14ac:dyDescent="0.2">
      <c r="B90" s="45">
        <v>2022</v>
      </c>
      <c r="F90" s="2" t="s">
        <v>94</v>
      </c>
      <c r="J90" s="44">
        <f t="shared" si="8"/>
        <v>3062758965.268374</v>
      </c>
      <c r="L90" s="38">
        <v>46075385.005882569</v>
      </c>
      <c r="M90" s="38">
        <v>60050541.102627173</v>
      </c>
      <c r="N90" s="38">
        <v>878694893.28053331</v>
      </c>
      <c r="O90" s="38">
        <v>1188841550.4445243</v>
      </c>
      <c r="P90" s="38">
        <v>83660587.579117909</v>
      </c>
      <c r="Q90" s="38">
        <v>749609923.20791984</v>
      </c>
      <c r="R90" s="38">
        <v>55826084.647768475</v>
      </c>
    </row>
    <row r="91" spans="2:22" x14ac:dyDescent="0.2">
      <c r="B91" s="45">
        <v>2023</v>
      </c>
      <c r="F91" s="2" t="s">
        <v>95</v>
      </c>
      <c r="J91" s="44">
        <f t="shared" si="8"/>
        <v>2824362074.2813678</v>
      </c>
      <c r="L91" s="38">
        <v>41854739.051145211</v>
      </c>
      <c r="M91" s="38">
        <v>55460690.827267155</v>
      </c>
      <c r="N91" s="38">
        <v>814493447.22704184</v>
      </c>
      <c r="O91" s="38">
        <v>1103316937.6475403</v>
      </c>
      <c r="P91" s="38">
        <v>76784374.901382148</v>
      </c>
      <c r="Q91" s="38">
        <v>683461647.07894933</v>
      </c>
      <c r="R91" s="38">
        <v>48990237.548041701</v>
      </c>
    </row>
    <row r="92" spans="2:22" x14ac:dyDescent="0.2">
      <c r="B92" s="45">
        <v>2024</v>
      </c>
      <c r="F92" s="2" t="s">
        <v>96</v>
      </c>
      <c r="J92" s="44">
        <f t="shared" si="8"/>
        <v>2604535715.6684194</v>
      </c>
      <c r="L92" s="38">
        <v>38020717.153330363</v>
      </c>
      <c r="M92" s="38">
        <v>51221657.133463316</v>
      </c>
      <c r="N92" s="38">
        <v>755011233.83925354</v>
      </c>
      <c r="O92" s="38">
        <v>1023948806.5061278</v>
      </c>
      <c r="P92" s="38">
        <v>70473330.388939753</v>
      </c>
      <c r="Q92" s="38">
        <v>623150532.78490937</v>
      </c>
      <c r="R92" s="38">
        <v>42709437.862395301</v>
      </c>
    </row>
    <row r="93" spans="2:22" x14ac:dyDescent="0.2">
      <c r="B93" s="45">
        <v>2025</v>
      </c>
      <c r="F93" s="2" t="s">
        <v>97</v>
      </c>
      <c r="J93" s="44">
        <f t="shared" si="8"/>
        <v>2394330571.0649557</v>
      </c>
      <c r="L93" s="38">
        <v>34256289.712406538</v>
      </c>
      <c r="M93" s="38">
        <v>47188455.784371734</v>
      </c>
      <c r="N93" s="38">
        <v>698604797.9990983</v>
      </c>
      <c r="O93" s="38">
        <v>949098697.32335722</v>
      </c>
      <c r="P93" s="38">
        <v>64398043.286444902</v>
      </c>
      <c r="Q93" s="38">
        <v>564355648.78252816</v>
      </c>
      <c r="R93" s="38">
        <v>36428638.176748902</v>
      </c>
    </row>
    <row r="94" spans="2:22" x14ac:dyDescent="0.2">
      <c r="B94" s="45">
        <v>2026</v>
      </c>
      <c r="F94" s="2" t="s">
        <v>98</v>
      </c>
      <c r="J94" s="44">
        <f t="shared" si="8"/>
        <v>2184270077.2221222</v>
      </c>
      <c r="L94" s="38">
        <v>30491862.27148271</v>
      </c>
      <c r="M94" s="38">
        <v>43155254.435280152</v>
      </c>
      <c r="N94" s="38">
        <v>642343012.91957307</v>
      </c>
      <c r="O94" s="38">
        <v>874248588.1405865</v>
      </c>
      <c r="P94" s="38">
        <v>58322756.183950052</v>
      </c>
      <c r="Q94" s="38">
        <v>505560764.78014702</v>
      </c>
      <c r="R94" s="38">
        <v>30147838.491102502</v>
      </c>
    </row>
    <row r="96" spans="2:22" x14ac:dyDescent="0.2">
      <c r="B96" s="5" t="s">
        <v>146</v>
      </c>
    </row>
    <row r="97" spans="2:18" x14ac:dyDescent="0.2">
      <c r="B97" s="58">
        <v>2021</v>
      </c>
      <c r="F97" s="2" t="s">
        <v>157</v>
      </c>
      <c r="J97" s="44">
        <f t="shared" ref="J97:J102" si="9">SUM(L97:R97)</f>
        <v>215753673.53915697</v>
      </c>
      <c r="L97" s="38">
        <v>3871881.0929313069</v>
      </c>
      <c r="M97" s="38">
        <v>4141416.6277673859</v>
      </c>
      <c r="N97" s="38">
        <v>57747791.786884859</v>
      </c>
      <c r="O97" s="38">
        <v>76799198.996501058</v>
      </c>
      <c r="P97" s="38">
        <v>6243327.4312774511</v>
      </c>
      <c r="Q97" s="38">
        <v>60458652.412193932</v>
      </c>
      <c r="R97" s="38">
        <v>6491405.1916009672</v>
      </c>
    </row>
    <row r="98" spans="2:18" x14ac:dyDescent="0.2">
      <c r="B98" s="45">
        <v>2022</v>
      </c>
      <c r="F98" s="2" t="s">
        <v>94</v>
      </c>
      <c r="J98" s="44">
        <f t="shared" si="9"/>
        <v>258904408.24698815</v>
      </c>
      <c r="L98" s="38">
        <v>4646257.3115176009</v>
      </c>
      <c r="M98" s="38">
        <v>4969699.9533208478</v>
      </c>
      <c r="N98" s="38">
        <v>69297350.144261628</v>
      </c>
      <c r="O98" s="38">
        <v>92159038.795801461</v>
      </c>
      <c r="P98" s="38">
        <v>7491992.9175329916</v>
      </c>
      <c r="Q98" s="38">
        <v>72550382.894632399</v>
      </c>
      <c r="R98" s="38">
        <v>7789686.2299212161</v>
      </c>
    </row>
    <row r="99" spans="2:18" x14ac:dyDescent="0.2">
      <c r="B99" s="45">
        <v>2023</v>
      </c>
      <c r="F99" s="2" t="s">
        <v>95</v>
      </c>
      <c r="J99" s="44">
        <f t="shared" si="9"/>
        <v>238396890.98700577</v>
      </c>
      <c r="L99" s="38">
        <v>4220645.9547373597</v>
      </c>
      <c r="M99" s="38">
        <v>4589850.2753600199</v>
      </c>
      <c r="N99" s="38">
        <v>64201446.053491391</v>
      </c>
      <c r="O99" s="38">
        <v>85524612.796983942</v>
      </c>
      <c r="P99" s="38">
        <v>6876212.6777357552</v>
      </c>
      <c r="Q99" s="38">
        <v>66148276.128970541</v>
      </c>
      <c r="R99" s="38">
        <v>6835847.0997267766</v>
      </c>
    </row>
    <row r="100" spans="2:18" x14ac:dyDescent="0.2">
      <c r="B100" s="45">
        <v>2024</v>
      </c>
      <c r="F100" s="2" t="s">
        <v>96</v>
      </c>
      <c r="J100" s="44">
        <f t="shared" si="9"/>
        <v>219826358.61294827</v>
      </c>
      <c r="L100" s="38">
        <v>3834021.8978148508</v>
      </c>
      <c r="M100" s="38">
        <v>4239033.6938038412</v>
      </c>
      <c r="N100" s="38">
        <v>59482213.38778834</v>
      </c>
      <c r="O100" s="38">
        <v>79368131.141412467</v>
      </c>
      <c r="P100" s="38">
        <v>6311044.5124424007</v>
      </c>
      <c r="Q100" s="38">
        <v>60311114.294039927</v>
      </c>
      <c r="R100" s="38">
        <v>6280799.6856464008</v>
      </c>
    </row>
    <row r="101" spans="2:18" x14ac:dyDescent="0.2">
      <c r="B101" s="45">
        <v>2025</v>
      </c>
      <c r="F101" s="2" t="s">
        <v>97</v>
      </c>
      <c r="J101" s="44">
        <f t="shared" si="9"/>
        <v>210205144.60346362</v>
      </c>
      <c r="L101" s="38">
        <v>3764427.4409238277</v>
      </c>
      <c r="M101" s="38">
        <v>4033201.3490915787</v>
      </c>
      <c r="N101" s="38">
        <v>56406435.840155199</v>
      </c>
      <c r="O101" s="38">
        <v>74850109.182770595</v>
      </c>
      <c r="P101" s="38">
        <v>6075287.102494847</v>
      </c>
      <c r="Q101" s="38">
        <v>58794884.002381168</v>
      </c>
      <c r="R101" s="38">
        <v>6280799.6856464008</v>
      </c>
    </row>
    <row r="102" spans="2:18" x14ac:dyDescent="0.2">
      <c r="B102" s="45">
        <v>2026</v>
      </c>
      <c r="F102" s="2" t="s">
        <v>98</v>
      </c>
      <c r="J102" s="44">
        <f t="shared" si="9"/>
        <v>210060493.8428337</v>
      </c>
      <c r="L102" s="38">
        <v>3764427.4409238277</v>
      </c>
      <c r="M102" s="38">
        <v>4033201.3490915787</v>
      </c>
      <c r="N102" s="38">
        <v>56261785.079525262</v>
      </c>
      <c r="O102" s="38">
        <v>74850109.182770595</v>
      </c>
      <c r="P102" s="38">
        <v>6075287.102494847</v>
      </c>
      <c r="Q102" s="38">
        <v>58794884.002381168</v>
      </c>
      <c r="R102" s="38">
        <v>6280799.6856464008</v>
      </c>
    </row>
    <row r="104" spans="2:18" x14ac:dyDescent="0.2">
      <c r="B104" s="5" t="s">
        <v>180</v>
      </c>
    </row>
    <row r="105" spans="2:18" x14ac:dyDescent="0.2">
      <c r="B105" s="58">
        <v>2021</v>
      </c>
      <c r="F105" s="2" t="s">
        <v>157</v>
      </c>
      <c r="J105" s="44">
        <f t="shared" ref="J105:J110" si="10">SUM(L105:R105)</f>
        <v>3032176032.1286125</v>
      </c>
      <c r="L105" s="38">
        <v>30999188.439156905</v>
      </c>
      <c r="M105" s="38">
        <v>68282180.185853601</v>
      </c>
      <c r="N105" s="38">
        <v>1204860643.8653486</v>
      </c>
      <c r="O105" s="38">
        <v>876149535.3558408</v>
      </c>
      <c r="P105" s="38">
        <v>32783543.295303263</v>
      </c>
      <c r="Q105" s="38">
        <v>777523733.56576598</v>
      </c>
      <c r="R105" s="38">
        <v>41577207.421343505</v>
      </c>
    </row>
    <row r="106" spans="2:18" x14ac:dyDescent="0.2">
      <c r="B106" s="45">
        <v>2022</v>
      </c>
      <c r="F106" s="2" t="s">
        <v>94</v>
      </c>
      <c r="J106" s="44">
        <f t="shared" si="10"/>
        <v>2930861643.2455702</v>
      </c>
      <c r="L106" s="38">
        <v>29896233.528132092</v>
      </c>
      <c r="M106" s="38">
        <v>65423382.013392091</v>
      </c>
      <c r="N106" s="38">
        <v>1166403889.8099046</v>
      </c>
      <c r="O106" s="38">
        <v>846970537.15013087</v>
      </c>
      <c r="P106" s="38">
        <v>31285079.131810483</v>
      </c>
      <c r="Q106" s="38">
        <v>750804737.99065554</v>
      </c>
      <c r="R106" s="38">
        <v>40077783.621544458</v>
      </c>
    </row>
    <row r="107" spans="2:18" x14ac:dyDescent="0.2">
      <c r="B107" s="45">
        <v>2023</v>
      </c>
      <c r="F107" s="2" t="s">
        <v>95</v>
      </c>
      <c r="J107" s="44">
        <f t="shared" si="10"/>
        <v>2834012067.7133317</v>
      </c>
      <c r="L107" s="38">
        <v>28853311.812898312</v>
      </c>
      <c r="M107" s="38">
        <v>63075566.780285724</v>
      </c>
      <c r="N107" s="38">
        <v>1129261689.6007252</v>
      </c>
      <c r="O107" s="38">
        <v>818888296.36511338</v>
      </c>
      <c r="P107" s="38">
        <v>30000897.378850408</v>
      </c>
      <c r="Q107" s="38">
        <v>725265067.28320789</v>
      </c>
      <c r="R107" s="38">
        <v>38667238.492251128</v>
      </c>
    </row>
    <row r="108" spans="2:18" x14ac:dyDescent="0.2">
      <c r="B108" s="45">
        <v>2024</v>
      </c>
      <c r="F108" s="2" t="s">
        <v>96</v>
      </c>
      <c r="J108" s="44">
        <f t="shared" si="10"/>
        <v>2740881006.4931183</v>
      </c>
      <c r="L108" s="38">
        <v>27854408.088994928</v>
      </c>
      <c r="M108" s="38">
        <v>60957387.473869391</v>
      </c>
      <c r="N108" s="38">
        <v>1093335632.1361079</v>
      </c>
      <c r="O108" s="38">
        <v>791816585.43396389</v>
      </c>
      <c r="P108" s="38">
        <v>28799570.181546226</v>
      </c>
      <c r="Q108" s="38">
        <v>700792700.73685849</v>
      </c>
      <c r="R108" s="38">
        <v>37324722.441777825</v>
      </c>
    </row>
    <row r="109" spans="2:18" x14ac:dyDescent="0.2">
      <c r="B109" s="45">
        <v>2025</v>
      </c>
      <c r="F109" s="2" t="s">
        <v>97</v>
      </c>
      <c r="J109" s="44">
        <f t="shared" si="10"/>
        <v>2651266555.1043038</v>
      </c>
      <c r="L109" s="38">
        <v>26896667.399523549</v>
      </c>
      <c r="M109" s="38">
        <v>58946862.095302984</v>
      </c>
      <c r="N109" s="38">
        <v>1058599721.8623542</v>
      </c>
      <c r="O109" s="38">
        <v>765689715.13037539</v>
      </c>
      <c r="P109" s="38">
        <v>27731376.874147154</v>
      </c>
      <c r="Q109" s="38">
        <v>677325210.42356658</v>
      </c>
      <c r="R109" s="38">
        <v>36077001.319034331</v>
      </c>
    </row>
    <row r="110" spans="2:18" x14ac:dyDescent="0.2">
      <c r="B110" s="45">
        <v>2026</v>
      </c>
      <c r="F110" s="2" t="s">
        <v>98</v>
      </c>
      <c r="J110" s="44">
        <f t="shared" si="10"/>
        <v>2564609021.7259817</v>
      </c>
      <c r="L110" s="38">
        <v>25970870.723994214</v>
      </c>
      <c r="M110" s="38">
        <v>57000493.589779645</v>
      </c>
      <c r="N110" s="38">
        <v>1024931097.8795229</v>
      </c>
      <c r="O110" s="38">
        <v>740405167.05457222</v>
      </c>
      <c r="P110" s="38">
        <v>26772137.859577276</v>
      </c>
      <c r="Q110" s="38">
        <v>654627979.35655391</v>
      </c>
      <c r="R110" s="38">
        <v>34901275.261981636</v>
      </c>
    </row>
    <row r="112" spans="2:18" x14ac:dyDescent="0.2">
      <c r="B112" s="5" t="s">
        <v>181</v>
      </c>
    </row>
    <row r="113" spans="2:18" x14ac:dyDescent="0.2">
      <c r="B113" s="58">
        <v>2021</v>
      </c>
      <c r="F113" s="2" t="s">
        <v>157</v>
      </c>
      <c r="J113" s="44">
        <f t="shared" ref="J113:J118" si="11">SUM(L113:R113)</f>
        <v>85110055.705741361</v>
      </c>
      <c r="L113" s="38">
        <v>938584.15462553035</v>
      </c>
      <c r="M113" s="38">
        <v>2595459.1114477268</v>
      </c>
      <c r="N113" s="38">
        <v>32257894.371810969</v>
      </c>
      <c r="O113" s="38">
        <v>24333332.469133191</v>
      </c>
      <c r="P113" s="38">
        <v>1328224.4220156982</v>
      </c>
      <c r="Q113" s="38">
        <v>22358577.468746033</v>
      </c>
      <c r="R113" s="38">
        <v>1297983.7079622149</v>
      </c>
    </row>
    <row r="114" spans="2:18" x14ac:dyDescent="0.2">
      <c r="B114" s="45">
        <v>2022</v>
      </c>
      <c r="F114" s="2" t="s">
        <v>94</v>
      </c>
      <c r="J114" s="44">
        <f t="shared" si="11"/>
        <v>101314388.88304348</v>
      </c>
      <c r="L114" s="38">
        <v>1102954.9110248033</v>
      </c>
      <c r="M114" s="38">
        <v>2858798.172461526</v>
      </c>
      <c r="N114" s="38">
        <v>38456754.05544506</v>
      </c>
      <c r="O114" s="38">
        <v>29178998.205709983</v>
      </c>
      <c r="P114" s="38">
        <v>1498464.1634927727</v>
      </c>
      <c r="Q114" s="38">
        <v>26718995.575110298</v>
      </c>
      <c r="R114" s="38">
        <v>1499423.7997990407</v>
      </c>
    </row>
    <row r="115" spans="2:18" x14ac:dyDescent="0.2">
      <c r="B115" s="45">
        <v>2023</v>
      </c>
      <c r="F115" s="2" t="s">
        <v>95</v>
      </c>
      <c r="J115" s="44">
        <f t="shared" si="11"/>
        <v>96849575.532236606</v>
      </c>
      <c r="L115" s="38">
        <v>1042921.7152337746</v>
      </c>
      <c r="M115" s="38">
        <v>2347815.2331063668</v>
      </c>
      <c r="N115" s="38">
        <v>37142200.209178835</v>
      </c>
      <c r="O115" s="38">
        <v>28082240.785016898</v>
      </c>
      <c r="P115" s="38">
        <v>1284181.7529600614</v>
      </c>
      <c r="Q115" s="38">
        <v>25539670.707447313</v>
      </c>
      <c r="R115" s="38">
        <v>1410545.1292933461</v>
      </c>
    </row>
    <row r="116" spans="2:18" x14ac:dyDescent="0.2">
      <c r="B116" s="45">
        <v>2024</v>
      </c>
      <c r="F116" s="2" t="s">
        <v>96</v>
      </c>
      <c r="J116" s="44">
        <f t="shared" si="11"/>
        <v>93131061.220214009</v>
      </c>
      <c r="L116" s="38">
        <v>998903.72390338941</v>
      </c>
      <c r="M116" s="38">
        <v>2118179.306416329</v>
      </c>
      <c r="N116" s="38">
        <v>35926057.46461679</v>
      </c>
      <c r="O116" s="38">
        <v>27071710.931149978</v>
      </c>
      <c r="P116" s="38">
        <v>1201327.1973041913</v>
      </c>
      <c r="Q116" s="38">
        <v>24472366.546350032</v>
      </c>
      <c r="R116" s="38">
        <v>1342516.0504732965</v>
      </c>
    </row>
    <row r="117" spans="2:18" x14ac:dyDescent="0.2">
      <c r="B117" s="45">
        <v>2025</v>
      </c>
      <c r="F117" s="2" t="s">
        <v>97</v>
      </c>
      <c r="J117" s="44">
        <f t="shared" si="11"/>
        <v>89614451.38881509</v>
      </c>
      <c r="L117" s="38">
        <v>957740.68947136973</v>
      </c>
      <c r="M117" s="38">
        <v>2010525.3785664046</v>
      </c>
      <c r="N117" s="38">
        <v>34735910.27375488</v>
      </c>
      <c r="O117" s="38">
        <v>26126870.303588439</v>
      </c>
      <c r="P117" s="38">
        <v>1068193.307399061</v>
      </c>
      <c r="Q117" s="38">
        <v>23467490.313291427</v>
      </c>
      <c r="R117" s="38">
        <v>1247721.1227434962</v>
      </c>
    </row>
    <row r="118" spans="2:18" x14ac:dyDescent="0.2">
      <c r="B118" s="45">
        <v>2026</v>
      </c>
      <c r="F118" s="2" t="s">
        <v>98</v>
      </c>
      <c r="J118" s="44">
        <f t="shared" si="11"/>
        <v>86657533.378322139</v>
      </c>
      <c r="L118" s="38">
        <v>925796.6755293404</v>
      </c>
      <c r="M118" s="38">
        <v>1946368.5055233547</v>
      </c>
      <c r="N118" s="38">
        <v>33668623.982830897</v>
      </c>
      <c r="O118" s="38">
        <v>25284548.075803127</v>
      </c>
      <c r="P118" s="38">
        <v>959239.01456988137</v>
      </c>
      <c r="Q118" s="38">
        <v>22697231.067012858</v>
      </c>
      <c r="R118" s="38">
        <v>1175726.0570526882</v>
      </c>
    </row>
    <row r="120" spans="2:18" x14ac:dyDescent="0.2">
      <c r="B120" s="1" t="s">
        <v>142</v>
      </c>
      <c r="C120" s="1"/>
      <c r="D120" s="1"/>
      <c r="E120" s="1"/>
      <c r="F120" s="1"/>
      <c r="G120" s="1"/>
      <c r="H120" s="1"/>
      <c r="I120" s="1"/>
      <c r="J120" s="1"/>
      <c r="K120" s="1"/>
      <c r="L120" s="1"/>
      <c r="M120" s="1"/>
      <c r="N120" s="1"/>
      <c r="O120" s="1"/>
      <c r="P120" s="1"/>
      <c r="Q120" s="1"/>
      <c r="R120" s="1"/>
    </row>
    <row r="122" spans="2:18" x14ac:dyDescent="0.2">
      <c r="B122" s="5" t="s">
        <v>147</v>
      </c>
    </row>
    <row r="123" spans="2:18" x14ac:dyDescent="0.2">
      <c r="B123" s="58">
        <v>2021</v>
      </c>
      <c r="F123" s="2" t="s">
        <v>157</v>
      </c>
      <c r="J123" s="44">
        <f t="shared" ref="J123:J128" si="12">SUM(L123:R123)</f>
        <v>329042737.12969083</v>
      </c>
      <c r="L123" s="38">
        <v>6041465.8705926752</v>
      </c>
      <c r="M123" s="38">
        <v>7840712.0881175026</v>
      </c>
      <c r="N123" s="38">
        <v>88220221.271411046</v>
      </c>
      <c r="O123" s="38">
        <v>49672603.196671754</v>
      </c>
      <c r="P123" s="38">
        <v>5222075.4526201542</v>
      </c>
      <c r="Q123" s="38">
        <v>170427053.42933533</v>
      </c>
      <c r="R123" s="38">
        <v>1618605.8209423686</v>
      </c>
    </row>
    <row r="124" spans="2:18" x14ac:dyDescent="0.2">
      <c r="B124" s="45">
        <v>2022</v>
      </c>
      <c r="F124" s="2" t="s">
        <v>94</v>
      </c>
      <c r="J124" s="44">
        <f t="shared" si="12"/>
        <v>296972056.0384196</v>
      </c>
      <c r="L124" s="38">
        <v>5483792.0979225822</v>
      </c>
      <c r="M124" s="38">
        <v>6899826.6375434017</v>
      </c>
      <c r="N124" s="38">
        <v>79870264.2150729</v>
      </c>
      <c r="O124" s="38">
        <v>42804727.675002858</v>
      </c>
      <c r="P124" s="38">
        <v>4652394.4941525012</v>
      </c>
      <c r="Q124" s="38">
        <v>155819020.27824944</v>
      </c>
      <c r="R124" s="38">
        <v>1442030.6404759283</v>
      </c>
    </row>
    <row r="125" spans="2:18" x14ac:dyDescent="0.2">
      <c r="B125" s="45">
        <v>2023</v>
      </c>
      <c r="F125" s="2" t="s">
        <v>95</v>
      </c>
      <c r="J125" s="44">
        <f t="shared" si="12"/>
        <v>268177838.24858558</v>
      </c>
      <c r="L125" s="38">
        <v>4977595.9042681903</v>
      </c>
      <c r="M125" s="38">
        <v>6071847.4410381932</v>
      </c>
      <c r="N125" s="38">
        <v>72323556.54826571</v>
      </c>
      <c r="O125" s="38">
        <v>36912155.344308652</v>
      </c>
      <c r="P125" s="38">
        <v>4144860.5493358648</v>
      </c>
      <c r="Q125" s="38">
        <v>142463104.25439951</v>
      </c>
      <c r="R125" s="38">
        <v>1284718.2069694635</v>
      </c>
    </row>
    <row r="126" spans="2:18" x14ac:dyDescent="0.2">
      <c r="B126" s="45">
        <v>2024</v>
      </c>
      <c r="F126" s="2" t="s">
        <v>96</v>
      </c>
      <c r="J126" s="44">
        <f t="shared" si="12"/>
        <v>241736359.79323828</v>
      </c>
      <c r="L126" s="38">
        <v>4518125.5131049734</v>
      </c>
      <c r="M126" s="38">
        <v>5312866.5109084183</v>
      </c>
      <c r="N126" s="38">
        <v>65447561.40252874</v>
      </c>
      <c r="O126" s="38">
        <v>31379533.106275335</v>
      </c>
      <c r="P126" s="38">
        <v>3684320.4882985465</v>
      </c>
      <c r="Q126" s="38">
        <v>130251981.03259385</v>
      </c>
      <c r="R126" s="38">
        <v>1141971.739528412</v>
      </c>
    </row>
    <row r="127" spans="2:18" x14ac:dyDescent="0.2">
      <c r="B127" s="45">
        <v>2025</v>
      </c>
      <c r="F127" s="2" t="s">
        <v>97</v>
      </c>
      <c r="J127" s="44">
        <f t="shared" si="12"/>
        <v>215800668.83744618</v>
      </c>
      <c r="L127" s="38">
        <v>4066312.961794476</v>
      </c>
      <c r="M127" s="38">
        <v>4553885.5807786435</v>
      </c>
      <c r="N127" s="38">
        <v>58687420.97486902</v>
      </c>
      <c r="O127" s="38">
        <v>25859151.772842817</v>
      </c>
      <c r="P127" s="38">
        <v>3223780.4272612282</v>
      </c>
      <c r="Q127" s="38">
        <v>118410891.84781261</v>
      </c>
      <c r="R127" s="38">
        <v>999225.2720873605</v>
      </c>
    </row>
    <row r="128" spans="2:18" x14ac:dyDescent="0.2">
      <c r="B128" s="45">
        <v>2026</v>
      </c>
      <c r="F128" s="2" t="s">
        <v>98</v>
      </c>
      <c r="J128" s="44">
        <f t="shared" si="12"/>
        <v>189864977.88165402</v>
      </c>
      <c r="L128" s="38">
        <v>3614500.4104839787</v>
      </c>
      <c r="M128" s="38">
        <v>3794904.6506488686</v>
      </c>
      <c r="N128" s="38">
        <v>51927280.547209285</v>
      </c>
      <c r="O128" s="38">
        <v>20338770.439410303</v>
      </c>
      <c r="P128" s="38">
        <v>2763240.3662239099</v>
      </c>
      <c r="Q128" s="38">
        <v>106569802.66303137</v>
      </c>
      <c r="R128" s="38">
        <v>856478.804646309</v>
      </c>
    </row>
    <row r="130" spans="2:18" x14ac:dyDescent="0.2">
      <c r="B130" s="5" t="s">
        <v>148</v>
      </c>
    </row>
    <row r="131" spans="2:18" x14ac:dyDescent="0.2">
      <c r="B131" s="58">
        <v>2021</v>
      </c>
      <c r="F131" s="2" t="s">
        <v>157</v>
      </c>
      <c r="J131" s="44">
        <f t="shared" ref="J131:J136" si="13">SUM(L131:R131)</f>
        <v>26725567.576059349</v>
      </c>
      <c r="L131" s="38">
        <v>464728.14389174414</v>
      </c>
      <c r="M131" s="38">
        <v>784071.2088117504</v>
      </c>
      <c r="N131" s="38">
        <v>6958297.5469484627</v>
      </c>
      <c r="O131" s="38">
        <v>5723229.601390752</v>
      </c>
      <c r="P131" s="38">
        <v>474734.13205637777</v>
      </c>
      <c r="Q131" s="38">
        <v>12173360.959238227</v>
      </c>
      <c r="R131" s="38">
        <v>147145.9837220335</v>
      </c>
    </row>
    <row r="132" spans="2:18" x14ac:dyDescent="0.2">
      <c r="B132" s="45">
        <v>2022</v>
      </c>
      <c r="F132" s="2" t="s">
        <v>94</v>
      </c>
      <c r="J132" s="44">
        <f t="shared" si="13"/>
        <v>32070681.091271214</v>
      </c>
      <c r="L132" s="38">
        <v>557673.77267009288</v>
      </c>
      <c r="M132" s="38">
        <v>940885.45057410072</v>
      </c>
      <c r="N132" s="38">
        <v>8349957.0563381528</v>
      </c>
      <c r="O132" s="38">
        <v>6867875.5216689026</v>
      </c>
      <c r="P132" s="38">
        <v>569680.95846765314</v>
      </c>
      <c r="Q132" s="38">
        <v>14608033.151085872</v>
      </c>
      <c r="R132" s="38">
        <v>176575.18046644019</v>
      </c>
    </row>
    <row r="133" spans="2:18" x14ac:dyDescent="0.2">
      <c r="B133" s="45">
        <v>2023</v>
      </c>
      <c r="F133" s="2" t="s">
        <v>95</v>
      </c>
      <c r="J133" s="44">
        <f t="shared" si="13"/>
        <v>28794217.78983403</v>
      </c>
      <c r="L133" s="38">
        <v>506196.19365439203</v>
      </c>
      <c r="M133" s="38">
        <v>827979.1965052085</v>
      </c>
      <c r="N133" s="38">
        <v>7546707.666807184</v>
      </c>
      <c r="O133" s="38">
        <v>5892572.3306942051</v>
      </c>
      <c r="P133" s="38">
        <v>507533.94481663645</v>
      </c>
      <c r="Q133" s="38">
        <v>13355916.023849938</v>
      </c>
      <c r="R133" s="38">
        <v>157312.43350646491</v>
      </c>
    </row>
    <row r="134" spans="2:18" x14ac:dyDescent="0.2">
      <c r="B134" s="45">
        <v>2024</v>
      </c>
      <c r="F134" s="2" t="s">
        <v>96</v>
      </c>
      <c r="J134" s="44">
        <f t="shared" si="13"/>
        <v>26441478.455347307</v>
      </c>
      <c r="L134" s="38">
        <v>459470.39116321737</v>
      </c>
      <c r="M134" s="38">
        <v>758980.93012977461</v>
      </c>
      <c r="N134" s="38">
        <v>6875995.1457369663</v>
      </c>
      <c r="O134" s="38">
        <v>5532622.238033318</v>
      </c>
      <c r="P134" s="38">
        <v>460540.06103731826</v>
      </c>
      <c r="Q134" s="38">
        <v>12211123.221805662</v>
      </c>
      <c r="R134" s="38">
        <v>142746.46744105147</v>
      </c>
    </row>
    <row r="135" spans="2:18" x14ac:dyDescent="0.2">
      <c r="B135" s="45">
        <v>2025</v>
      </c>
      <c r="F135" s="2" t="s">
        <v>97</v>
      </c>
      <c r="J135" s="44">
        <f t="shared" si="13"/>
        <v>25935690.955792136</v>
      </c>
      <c r="L135" s="38">
        <v>451812.5513104971</v>
      </c>
      <c r="M135" s="38">
        <v>758980.93012977461</v>
      </c>
      <c r="N135" s="38">
        <v>6760140.4276597323</v>
      </c>
      <c r="O135" s="38">
        <v>5520381.3334325179</v>
      </c>
      <c r="P135" s="38">
        <v>460540.06103731826</v>
      </c>
      <c r="Q135" s="38">
        <v>11841089.184781244</v>
      </c>
      <c r="R135" s="38">
        <v>142746.46744105147</v>
      </c>
    </row>
    <row r="136" spans="2:18" x14ac:dyDescent="0.2">
      <c r="B136" s="45">
        <v>2026</v>
      </c>
      <c r="F136" s="2" t="s">
        <v>98</v>
      </c>
      <c r="J136" s="44">
        <f t="shared" si="13"/>
        <v>25935690.955792136</v>
      </c>
      <c r="L136" s="38">
        <v>451812.5513104971</v>
      </c>
      <c r="M136" s="38">
        <v>758980.93012977461</v>
      </c>
      <c r="N136" s="38">
        <v>6760140.4276597323</v>
      </c>
      <c r="O136" s="38">
        <v>5520381.3334325179</v>
      </c>
      <c r="P136" s="38">
        <v>460540.06103731826</v>
      </c>
      <c r="Q136" s="38">
        <v>11841089.184781244</v>
      </c>
      <c r="R136" s="38">
        <v>142746.46744105147</v>
      </c>
    </row>
    <row r="138" spans="2:18" x14ac:dyDescent="0.2">
      <c r="B138" s="5" t="s">
        <v>149</v>
      </c>
    </row>
    <row r="139" spans="2:18" x14ac:dyDescent="0.2">
      <c r="B139" s="58">
        <v>2021</v>
      </c>
      <c r="F139" s="2" t="s">
        <v>157</v>
      </c>
      <c r="J139" s="44">
        <f t="shared" ref="J139:J144" si="14">SUM(L139:R139)</f>
        <v>1268706864.5105572</v>
      </c>
      <c r="L139" s="38">
        <v>26546985.350983948</v>
      </c>
      <c r="M139" s="38">
        <v>18859734.822071865</v>
      </c>
      <c r="N139" s="38">
        <v>367403169.2582888</v>
      </c>
      <c r="O139" s="38">
        <v>449314142.24673325</v>
      </c>
      <c r="P139" s="38">
        <v>8635159.3069998361</v>
      </c>
      <c r="Q139" s="38">
        <v>393648347.66223484</v>
      </c>
      <c r="R139" s="38">
        <v>4299325.8632444991</v>
      </c>
    </row>
    <row r="140" spans="2:18" x14ac:dyDescent="0.2">
      <c r="B140" s="45">
        <v>2022</v>
      </c>
      <c r="F140" s="2" t="s">
        <v>94</v>
      </c>
      <c r="J140" s="44">
        <f t="shared" si="14"/>
        <v>1220781925.6121247</v>
      </c>
      <c r="L140" s="38">
        <v>25541932.917975772</v>
      </c>
      <c r="M140" s="38">
        <v>18162525.853397768</v>
      </c>
      <c r="N140" s="38">
        <v>353728643.89982903</v>
      </c>
      <c r="O140" s="38">
        <v>432205776.43050301</v>
      </c>
      <c r="P140" s="38">
        <v>8300315.978312362</v>
      </c>
      <c r="Q140" s="38">
        <v>378690472.97186553</v>
      </c>
      <c r="R140" s="38">
        <v>4152257.5602412</v>
      </c>
    </row>
    <row r="141" spans="2:18" x14ac:dyDescent="0.2">
      <c r="B141" s="45">
        <v>2023</v>
      </c>
      <c r="F141" s="2" t="s">
        <v>95</v>
      </c>
      <c r="J141" s="44">
        <f t="shared" si="14"/>
        <v>1174686761.2593839</v>
      </c>
      <c r="L141" s="38">
        <v>24575327.734582029</v>
      </c>
      <c r="M141" s="38">
        <v>17491416.866706062</v>
      </c>
      <c r="N141" s="38">
        <v>340569142.46286237</v>
      </c>
      <c r="O141" s="38">
        <v>415754668.18001282</v>
      </c>
      <c r="P141" s="38">
        <v>7978649.3414748479</v>
      </c>
      <c r="Q141" s="38">
        <v>364307317.72008765</v>
      </c>
      <c r="R141" s="38">
        <v>4010238.9536582143</v>
      </c>
    </row>
    <row r="142" spans="2:18" x14ac:dyDescent="0.2">
      <c r="B142" s="45">
        <v>2024</v>
      </c>
      <c r="F142" s="2" t="s">
        <v>96</v>
      </c>
      <c r="J142" s="44">
        <f t="shared" si="14"/>
        <v>1130350773.9226632</v>
      </c>
      <c r="L142" s="38">
        <v>23645683.745688956</v>
      </c>
      <c r="M142" s="38">
        <v>16845418.133147296</v>
      </c>
      <c r="N142" s="38">
        <v>327905034.71544486</v>
      </c>
      <c r="O142" s="38">
        <v>399935346.95403707</v>
      </c>
      <c r="P142" s="38">
        <v>7669633.550639933</v>
      </c>
      <c r="Q142" s="38">
        <v>350476560.89927059</v>
      </c>
      <c r="R142" s="38">
        <v>3873095.9244343624</v>
      </c>
    </row>
    <row r="143" spans="2:18" x14ac:dyDescent="0.2">
      <c r="B143" s="45">
        <v>2025</v>
      </c>
      <c r="F143" s="2" t="s">
        <v>97</v>
      </c>
      <c r="J143" s="44">
        <f t="shared" si="14"/>
        <v>1087706117.8114269</v>
      </c>
      <c r="L143" s="38">
        <v>22751572.924477428</v>
      </c>
      <c r="M143" s="38">
        <v>16223577.946847018</v>
      </c>
      <c r="N143" s="38">
        <v>315717447.54911536</v>
      </c>
      <c r="O143" s="38">
        <v>384723337.60707575</v>
      </c>
      <c r="P143" s="38">
        <v>7372764.021381381</v>
      </c>
      <c r="Q143" s="38">
        <v>337176757.37603402</v>
      </c>
      <c r="R143" s="38">
        <v>3740660.3864958631</v>
      </c>
    </row>
    <row r="144" spans="2:18" x14ac:dyDescent="0.2">
      <c r="B144" s="45">
        <v>2026</v>
      </c>
      <c r="F144" s="2" t="s">
        <v>98</v>
      </c>
      <c r="J144" s="44">
        <f t="shared" si="14"/>
        <v>1046687590.5617974</v>
      </c>
      <c r="L144" s="38">
        <v>21891622.983783875</v>
      </c>
      <c r="M144" s="38">
        <v>15624981.14516134</v>
      </c>
      <c r="N144" s="38">
        <v>303988235.43702519</v>
      </c>
      <c r="O144" s="38">
        <v>370095121.17309433</v>
      </c>
      <c r="P144" s="38">
        <v>7087556.5606612731</v>
      </c>
      <c r="Q144" s="38">
        <v>324387303.18553454</v>
      </c>
      <c r="R144" s="38">
        <v>3612770.0765369004</v>
      </c>
    </row>
    <row r="146" spans="2:18" x14ac:dyDescent="0.2">
      <c r="B146" s="5" t="s">
        <v>150</v>
      </c>
    </row>
    <row r="147" spans="2:18" x14ac:dyDescent="0.2">
      <c r="B147" s="58">
        <v>2021</v>
      </c>
      <c r="F147" s="2" t="s">
        <v>157</v>
      </c>
      <c r="J147" s="44">
        <f t="shared" ref="J147:J152" si="15">SUM(L147:R147)</f>
        <v>39937449.082026668</v>
      </c>
      <c r="L147" s="38">
        <v>837543.69417348038</v>
      </c>
      <c r="M147" s="38">
        <v>581007.47389508132</v>
      </c>
      <c r="N147" s="38">
        <v>11395437.798716368</v>
      </c>
      <c r="O147" s="38">
        <v>14256971.513525093</v>
      </c>
      <c r="P147" s="38">
        <v>279036.1072395629</v>
      </c>
      <c r="Q147" s="38">
        <v>12464895.575307662</v>
      </c>
      <c r="R147" s="38">
        <v>122556.91916941619</v>
      </c>
    </row>
    <row r="148" spans="2:18" x14ac:dyDescent="0.2">
      <c r="B148" s="45">
        <v>2022</v>
      </c>
      <c r="F148" s="2" t="s">
        <v>94</v>
      </c>
      <c r="J148" s="44">
        <f t="shared" si="15"/>
        <v>47924938.898432009</v>
      </c>
      <c r="L148" s="38">
        <v>1005052.4330081763</v>
      </c>
      <c r="M148" s="38">
        <v>697208.96867409768</v>
      </c>
      <c r="N148" s="38">
        <v>13674525.358459651</v>
      </c>
      <c r="O148" s="38">
        <v>17108365.816230115</v>
      </c>
      <c r="P148" s="38">
        <v>334843.32868747564</v>
      </c>
      <c r="Q148" s="38">
        <v>14957874.690369196</v>
      </c>
      <c r="R148" s="38">
        <v>147068.30300329943</v>
      </c>
    </row>
    <row r="149" spans="2:18" x14ac:dyDescent="0.2">
      <c r="B149" s="45">
        <v>2023</v>
      </c>
      <c r="F149" s="2" t="s">
        <v>95</v>
      </c>
      <c r="J149" s="44">
        <f t="shared" si="15"/>
        <v>46095164.352740735</v>
      </c>
      <c r="L149" s="38">
        <v>966605.18339374103</v>
      </c>
      <c r="M149" s="38">
        <v>671108.98669170903</v>
      </c>
      <c r="N149" s="38">
        <v>13159501.436966553</v>
      </c>
      <c r="O149" s="38">
        <v>16451108.250490244</v>
      </c>
      <c r="P149" s="38">
        <v>321666.63683751295</v>
      </c>
      <c r="Q149" s="38">
        <v>14383155.25177799</v>
      </c>
      <c r="R149" s="38">
        <v>142018.60658298645</v>
      </c>
    </row>
    <row r="150" spans="2:18" x14ac:dyDescent="0.2">
      <c r="B150" s="45">
        <v>2024</v>
      </c>
      <c r="F150" s="2" t="s">
        <v>96</v>
      </c>
      <c r="J150" s="44">
        <f t="shared" si="15"/>
        <v>44335987.336721174</v>
      </c>
      <c r="L150" s="38">
        <v>929643.9888930762</v>
      </c>
      <c r="M150" s="38">
        <v>645998.733558762</v>
      </c>
      <c r="N150" s="38">
        <v>12664107.747417819</v>
      </c>
      <c r="O150" s="38">
        <v>15819321.225975806</v>
      </c>
      <c r="P150" s="38">
        <v>309015.79083491553</v>
      </c>
      <c r="Q150" s="38">
        <v>13830756.820816945</v>
      </c>
      <c r="R150" s="38">
        <v>137143.02922385168</v>
      </c>
    </row>
    <row r="151" spans="2:18" x14ac:dyDescent="0.2">
      <c r="B151" s="45">
        <v>2025</v>
      </c>
      <c r="F151" s="2" t="s">
        <v>97</v>
      </c>
      <c r="J151" s="44">
        <f t="shared" si="15"/>
        <v>42644656.111235932</v>
      </c>
      <c r="L151" s="38">
        <v>894110.82121152349</v>
      </c>
      <c r="M151" s="38">
        <v>621840.18630027736</v>
      </c>
      <c r="N151" s="38">
        <v>12187587.166329421</v>
      </c>
      <c r="O151" s="38">
        <v>15212009.346961083</v>
      </c>
      <c r="P151" s="38">
        <v>296869.52925855218</v>
      </c>
      <c r="Q151" s="38">
        <v>13299803.523236578</v>
      </c>
      <c r="R151" s="38">
        <v>132435.53793849921</v>
      </c>
    </row>
    <row r="152" spans="2:18" x14ac:dyDescent="0.2">
      <c r="B152" s="45">
        <v>2026</v>
      </c>
      <c r="F152" s="2" t="s">
        <v>98</v>
      </c>
      <c r="J152" s="44">
        <f t="shared" si="15"/>
        <v>41018527.24962949</v>
      </c>
      <c r="L152" s="38">
        <v>859949.94069355458</v>
      </c>
      <c r="M152" s="38">
        <v>598596.8016856804</v>
      </c>
      <c r="N152" s="38">
        <v>11729212.112090176</v>
      </c>
      <c r="O152" s="38">
        <v>14628216.433981406</v>
      </c>
      <c r="P152" s="38">
        <v>285207.46072010789</v>
      </c>
      <c r="Q152" s="38">
        <v>12789454.190499604</v>
      </c>
      <c r="R152" s="38">
        <v>127890.30995896344</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E1FFE1"/>
  </sheetPr>
  <dimension ref="B2:V46"/>
  <sheetViews>
    <sheetView showGridLines="0" zoomScale="85" zoomScaleNormal="85" workbookViewId="0">
      <pane xSplit="6" ySplit="11" topLeftCell="G12" activePane="bottomRight" state="frozen"/>
      <selection pane="topRight" activeCell="G1" sqref="G1"/>
      <selection pane="bottomLeft" activeCell="A12" sqref="A12"/>
      <selection pane="bottomRight" activeCell="G12" sqref="G12"/>
    </sheetView>
  </sheetViews>
  <sheetFormatPr defaultRowHeight="12.75" x14ac:dyDescent="0.2"/>
  <cols>
    <col min="1" max="1" width="4.7109375" style="2" customWidth="1"/>
    <col min="2" max="2" width="62"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3.7109375" style="2" customWidth="1"/>
    <col min="11" max="11" width="2.7109375" style="2" customWidth="1"/>
    <col min="12" max="18" width="15.140625" style="2" customWidth="1"/>
    <col min="19" max="19" width="2.7109375" style="2" customWidth="1"/>
    <col min="20" max="20" width="50.85546875" style="2" customWidth="1"/>
    <col min="21" max="21" width="2.7109375" style="2" customWidth="1"/>
    <col min="22" max="22" width="13.7109375" style="2" customWidth="1"/>
    <col min="23" max="23" width="2.7109375" style="2" customWidth="1"/>
    <col min="24" max="38" width="13.7109375" style="2" customWidth="1"/>
    <col min="39" max="16384" width="9.140625" style="2"/>
  </cols>
  <sheetData>
    <row r="2" spans="2:22" s="22" customFormat="1" ht="18" x14ac:dyDescent="0.2">
      <c r="B2" s="22" t="s">
        <v>186</v>
      </c>
    </row>
    <row r="4" spans="2:22" x14ac:dyDescent="0.2">
      <c r="B4" s="31" t="s">
        <v>25</v>
      </c>
      <c r="C4" s="1"/>
      <c r="D4" s="1"/>
      <c r="L4"/>
    </row>
    <row r="5" spans="2:22" ht="54.75" customHeight="1" x14ac:dyDescent="0.2">
      <c r="B5" s="59" t="s">
        <v>241</v>
      </c>
      <c r="C5" s="3"/>
      <c r="D5" s="3"/>
      <c r="H5" s="23"/>
    </row>
    <row r="6" spans="2:22" x14ac:dyDescent="0.2">
      <c r="B6" s="27"/>
      <c r="C6" s="3"/>
      <c r="D6" s="3"/>
      <c r="H6" s="23"/>
    </row>
    <row r="7" spans="2:22" x14ac:dyDescent="0.2">
      <c r="B7" s="32" t="s">
        <v>26</v>
      </c>
      <c r="C7" s="3"/>
      <c r="D7" s="3"/>
      <c r="H7" s="23"/>
    </row>
    <row r="8" spans="2:22" x14ac:dyDescent="0.2">
      <c r="B8" s="61"/>
      <c r="C8" s="3"/>
      <c r="D8" s="3"/>
    </row>
    <row r="10" spans="2:22" s="9" customFormat="1" x14ac:dyDescent="0.2">
      <c r="B10" s="9" t="s">
        <v>42</v>
      </c>
      <c r="F10" s="9" t="s">
        <v>23</v>
      </c>
      <c r="H10" s="9" t="s">
        <v>24</v>
      </c>
      <c r="J10" s="9" t="s">
        <v>45</v>
      </c>
      <c r="L10" s="9" t="s">
        <v>74</v>
      </c>
      <c r="M10" s="9" t="s">
        <v>75</v>
      </c>
      <c r="N10" s="9" t="s">
        <v>76</v>
      </c>
      <c r="O10" s="9" t="s">
        <v>77</v>
      </c>
      <c r="P10" s="9" t="s">
        <v>78</v>
      </c>
      <c r="Q10" s="9" t="s">
        <v>79</v>
      </c>
      <c r="R10" s="9" t="s">
        <v>80</v>
      </c>
      <c r="T10" s="9" t="s">
        <v>43</v>
      </c>
      <c r="V10" s="9" t="s">
        <v>44</v>
      </c>
    </row>
    <row r="13" spans="2:22" s="9" customFormat="1" x14ac:dyDescent="0.2">
      <c r="B13" s="9" t="s">
        <v>72</v>
      </c>
    </row>
    <row r="15" spans="2:22" x14ac:dyDescent="0.2">
      <c r="B15" s="31" t="s">
        <v>73</v>
      </c>
    </row>
    <row r="16" spans="2:22" x14ac:dyDescent="0.2">
      <c r="B16" s="2" t="s">
        <v>82</v>
      </c>
      <c r="F16" s="2" t="s">
        <v>81</v>
      </c>
      <c r="J16" s="44">
        <f>SUM(L16:R16)</f>
        <v>2214420.3539343202</v>
      </c>
      <c r="L16" s="38">
        <v>32635.762014</v>
      </c>
      <c r="M16" s="38">
        <v>1826002.5219203201</v>
      </c>
      <c r="N16" s="38">
        <v>0</v>
      </c>
      <c r="O16" s="38">
        <v>0</v>
      </c>
      <c r="P16" s="38">
        <v>355782.07000000007</v>
      </c>
      <c r="Q16" s="38">
        <v>0</v>
      </c>
      <c r="R16" s="38">
        <v>0</v>
      </c>
      <c r="T16" s="7" t="s">
        <v>242</v>
      </c>
    </row>
    <row r="17" spans="2:20" x14ac:dyDescent="0.2">
      <c r="B17" s="2" t="s">
        <v>87</v>
      </c>
      <c r="F17" s="2" t="s">
        <v>81</v>
      </c>
      <c r="J17" s="44">
        <f t="shared" ref="J17:J22" si="0">SUM(L17:R17)</f>
        <v>808692.83148105314</v>
      </c>
      <c r="L17" s="38">
        <v>65700.710776000007</v>
      </c>
      <c r="M17" s="38">
        <v>0</v>
      </c>
      <c r="N17" s="38">
        <v>410876.71603000001</v>
      </c>
      <c r="O17" s="38">
        <v>0</v>
      </c>
      <c r="P17" s="96">
        <v>12458.679999999993</v>
      </c>
      <c r="Q17" s="38">
        <v>319656.72467505315</v>
      </c>
      <c r="R17" s="38">
        <v>0</v>
      </c>
    </row>
    <row r="18" spans="2:20" x14ac:dyDescent="0.2">
      <c r="B18" s="2" t="s">
        <v>86</v>
      </c>
      <c r="F18" s="2" t="s">
        <v>81</v>
      </c>
      <c r="J18" s="44">
        <f t="shared" si="0"/>
        <v>275141.40706027293</v>
      </c>
      <c r="L18" s="38">
        <v>0</v>
      </c>
      <c r="M18" s="38">
        <v>0</v>
      </c>
      <c r="N18" s="38">
        <v>0</v>
      </c>
      <c r="O18" s="38">
        <v>0</v>
      </c>
      <c r="P18" s="38">
        <v>0</v>
      </c>
      <c r="Q18" s="36">
        <v>275141.40706027293</v>
      </c>
      <c r="R18" s="38">
        <v>0</v>
      </c>
    </row>
    <row r="19" spans="2:20" x14ac:dyDescent="0.2">
      <c r="B19" s="2" t="s">
        <v>85</v>
      </c>
      <c r="F19" s="2" t="s">
        <v>81</v>
      </c>
      <c r="J19" s="44">
        <f t="shared" si="0"/>
        <v>23468552.931860853</v>
      </c>
      <c r="L19" s="38">
        <v>147909.20222000001</v>
      </c>
      <c r="M19" s="38">
        <v>950561.0347671411</v>
      </c>
      <c r="N19" s="38">
        <v>8699145.7691409998</v>
      </c>
      <c r="O19" s="38">
        <v>9766109.6664199997</v>
      </c>
      <c r="P19" s="38">
        <v>256562.86</v>
      </c>
      <c r="Q19" s="38">
        <v>3597455.8343817126</v>
      </c>
      <c r="R19" s="38">
        <v>50808.564931000001</v>
      </c>
    </row>
    <row r="20" spans="2:20" x14ac:dyDescent="0.2">
      <c r="B20" s="2" t="s">
        <v>84</v>
      </c>
      <c r="F20" s="2" t="s">
        <v>81</v>
      </c>
      <c r="J20" s="44">
        <f t="shared" si="0"/>
        <v>228553558.87746412</v>
      </c>
      <c r="L20" s="38">
        <v>1202786.3403</v>
      </c>
      <c r="M20" s="38">
        <v>4413011.7283426225</v>
      </c>
      <c r="N20" s="38">
        <v>104318746.61</v>
      </c>
      <c r="O20" s="38">
        <v>62762491.767999999</v>
      </c>
      <c r="P20" s="38">
        <v>1053536.25</v>
      </c>
      <c r="Q20" s="38">
        <v>53149761.315121517</v>
      </c>
      <c r="R20" s="38">
        <v>1653224.8657</v>
      </c>
    </row>
    <row r="21" spans="2:20" x14ac:dyDescent="0.2">
      <c r="B21" s="2" t="s">
        <v>83</v>
      </c>
      <c r="F21" s="2" t="s">
        <v>81</v>
      </c>
      <c r="J21" s="44">
        <f t="shared" si="0"/>
        <v>48452754.976434857</v>
      </c>
      <c r="L21" s="38">
        <v>114778.93592</v>
      </c>
      <c r="M21" s="38">
        <v>1706228.6945367833</v>
      </c>
      <c r="N21" s="38">
        <v>20665411.622000001</v>
      </c>
      <c r="O21" s="38">
        <v>12179256.763</v>
      </c>
      <c r="P21" s="38">
        <v>320120.48</v>
      </c>
      <c r="Q21" s="38">
        <v>11850243.423578076</v>
      </c>
      <c r="R21" s="38">
        <v>1616715.0574</v>
      </c>
    </row>
    <row r="22" spans="2:20" x14ac:dyDescent="0.2">
      <c r="B22" s="2" t="s">
        <v>88</v>
      </c>
      <c r="F22" s="2" t="s">
        <v>81</v>
      </c>
      <c r="H22" s="57"/>
      <c r="J22" s="44">
        <f t="shared" si="0"/>
        <v>310459.08264935995</v>
      </c>
      <c r="L22" s="38">
        <v>0</v>
      </c>
      <c r="M22" s="38"/>
      <c r="N22" s="38">
        <v>182925.04751999999</v>
      </c>
      <c r="O22" s="38">
        <v>24916.5</v>
      </c>
      <c r="P22" s="38">
        <v>4679.9399999999996</v>
      </c>
      <c r="Q22" s="38">
        <v>97937.595129359936</v>
      </c>
      <c r="R22" s="38">
        <v>0</v>
      </c>
    </row>
    <row r="24" spans="2:20" x14ac:dyDescent="0.2">
      <c r="B24" s="2" t="s">
        <v>89</v>
      </c>
      <c r="F24" s="2" t="s">
        <v>81</v>
      </c>
      <c r="J24" s="44">
        <f>SUM(L24:R24)</f>
        <v>110427182.13999499</v>
      </c>
      <c r="L24" s="38">
        <v>2375013.4844329865</v>
      </c>
      <c r="M24" s="38">
        <v>2071675.5930736207</v>
      </c>
      <c r="N24" s="38">
        <v>31342835.941</v>
      </c>
      <c r="O24" s="38">
        <v>42286557.236337997</v>
      </c>
      <c r="P24" s="38">
        <v>660260.88</v>
      </c>
      <c r="Q24" s="38">
        <v>31110371.913418539</v>
      </c>
      <c r="R24" s="38">
        <v>580467.0917318631</v>
      </c>
    </row>
    <row r="26" spans="2:20" x14ac:dyDescent="0.2">
      <c r="B26" s="31" t="s">
        <v>90</v>
      </c>
    </row>
    <row r="27" spans="2:20" x14ac:dyDescent="0.2">
      <c r="B27" s="2" t="s">
        <v>82</v>
      </c>
      <c r="F27" s="2" t="s">
        <v>92</v>
      </c>
      <c r="J27" s="44">
        <f t="shared" ref="J27:J33" si="1">SUM(L27:R27)</f>
        <v>707500.50839257089</v>
      </c>
      <c r="L27" s="38">
        <v>34447</v>
      </c>
      <c r="M27" s="38">
        <v>386673.02021075279</v>
      </c>
      <c r="N27" s="38">
        <v>0</v>
      </c>
      <c r="O27" s="38">
        <v>0</v>
      </c>
      <c r="P27" s="96">
        <v>183403.27000000002</v>
      </c>
      <c r="Q27" s="38">
        <v>0</v>
      </c>
      <c r="R27" s="38">
        <v>102977.21818181819</v>
      </c>
      <c r="T27" s="7" t="s">
        <v>242</v>
      </c>
    </row>
    <row r="28" spans="2:20" x14ac:dyDescent="0.2">
      <c r="B28" s="2" t="s">
        <v>87</v>
      </c>
      <c r="F28" s="2" t="s">
        <v>92</v>
      </c>
      <c r="J28" s="44">
        <f t="shared" si="1"/>
        <v>789263.94977622689</v>
      </c>
      <c r="L28" s="38">
        <v>0</v>
      </c>
      <c r="M28" s="38">
        <v>0</v>
      </c>
      <c r="N28" s="38">
        <v>561687.79122523498</v>
      </c>
      <c r="O28" s="38">
        <v>0</v>
      </c>
      <c r="P28" s="38">
        <v>0</v>
      </c>
      <c r="Q28" s="38">
        <v>227576.15855099188</v>
      </c>
      <c r="R28" s="38">
        <v>0</v>
      </c>
    </row>
    <row r="29" spans="2:20" x14ac:dyDescent="0.2">
      <c r="B29" s="2" t="s">
        <v>86</v>
      </c>
      <c r="F29" s="2" t="s">
        <v>92</v>
      </c>
      <c r="J29" s="44">
        <f t="shared" si="1"/>
        <v>101482.79</v>
      </c>
      <c r="L29" s="38">
        <v>0</v>
      </c>
      <c r="M29" s="38">
        <v>0</v>
      </c>
      <c r="N29" s="38">
        <v>0</v>
      </c>
      <c r="O29" s="38">
        <v>0</v>
      </c>
      <c r="P29" s="38">
        <v>2685.61</v>
      </c>
      <c r="Q29" s="36">
        <v>98797.18</v>
      </c>
      <c r="R29" s="38">
        <v>0</v>
      </c>
    </row>
    <row r="30" spans="2:20" x14ac:dyDescent="0.2">
      <c r="B30" s="2" t="s">
        <v>85</v>
      </c>
      <c r="F30" s="2" t="s">
        <v>92</v>
      </c>
      <c r="J30" s="44">
        <f t="shared" si="1"/>
        <v>20051871.263083689</v>
      </c>
      <c r="L30" s="38">
        <v>54621</v>
      </c>
      <c r="M30" s="38">
        <v>498835.54951146204</v>
      </c>
      <c r="N30" s="38">
        <v>5789571.1080665532</v>
      </c>
      <c r="O30" s="38">
        <v>5145184.5888502775</v>
      </c>
      <c r="P30" s="38">
        <v>229286.88</v>
      </c>
      <c r="Q30" s="38">
        <v>8232896.7356372178</v>
      </c>
      <c r="R30" s="38">
        <v>101475.40101818182</v>
      </c>
    </row>
    <row r="31" spans="2:20" x14ac:dyDescent="0.2">
      <c r="B31" s="2" t="s">
        <v>84</v>
      </c>
      <c r="F31" s="2" t="s">
        <v>92</v>
      </c>
      <c r="J31" s="44">
        <f t="shared" si="1"/>
        <v>235288165.53855288</v>
      </c>
      <c r="L31" s="38">
        <v>999431</v>
      </c>
      <c r="M31" s="38">
        <v>6603103.4087384613</v>
      </c>
      <c r="N31" s="38">
        <v>110282706.44514999</v>
      </c>
      <c r="O31" s="38">
        <v>50705288.703965679</v>
      </c>
      <c r="P31" s="38">
        <v>1058546.9099999999</v>
      </c>
      <c r="Q31" s="38">
        <v>63838286.334030576</v>
      </c>
      <c r="R31" s="38">
        <v>1800802.7366681853</v>
      </c>
    </row>
    <row r="32" spans="2:20" x14ac:dyDescent="0.2">
      <c r="B32" s="2" t="s">
        <v>83</v>
      </c>
      <c r="F32" s="2" t="s">
        <v>92</v>
      </c>
      <c r="J32" s="44">
        <f t="shared" si="1"/>
        <v>46289896.93999771</v>
      </c>
      <c r="L32" s="38">
        <v>213476</v>
      </c>
      <c r="M32" s="38">
        <v>860584.7662848758</v>
      </c>
      <c r="N32" s="38">
        <v>17769090.767199997</v>
      </c>
      <c r="O32" s="38">
        <v>9727581.7710164431</v>
      </c>
      <c r="P32" s="38">
        <v>344747.43</v>
      </c>
      <c r="Q32" s="96">
        <v>14561249.408710033</v>
      </c>
      <c r="R32" s="38">
        <v>2813166.7967863632</v>
      </c>
    </row>
    <row r="33" spans="2:20" x14ac:dyDescent="0.2">
      <c r="B33" s="2" t="s">
        <v>88</v>
      </c>
      <c r="F33" s="2" t="s">
        <v>92</v>
      </c>
      <c r="H33" s="57"/>
      <c r="J33" s="44">
        <f t="shared" si="1"/>
        <v>150996.85380046722</v>
      </c>
      <c r="L33" s="38">
        <v>0</v>
      </c>
      <c r="M33" s="38">
        <v>21776.431026915212</v>
      </c>
      <c r="N33" s="38">
        <v>93683.977425000005</v>
      </c>
      <c r="O33" s="38">
        <v>19985.939999999999</v>
      </c>
      <c r="P33" s="38">
        <v>6058.2</v>
      </c>
      <c r="Q33" s="38">
        <v>9492.3053485519868</v>
      </c>
      <c r="R33" s="38">
        <v>0</v>
      </c>
    </row>
    <row r="34" spans="2:20" x14ac:dyDescent="0.2">
      <c r="H34" s="57"/>
    </row>
    <row r="35" spans="2:20" x14ac:dyDescent="0.2">
      <c r="B35" s="2" t="s">
        <v>89</v>
      </c>
      <c r="F35" s="2" t="s">
        <v>92</v>
      </c>
      <c r="J35" s="44">
        <f>SUM(L35:R35)</f>
        <v>124711653.6029589</v>
      </c>
      <c r="L35" s="38">
        <v>2273514.3485794542</v>
      </c>
      <c r="M35" s="38">
        <v>3388003.7279034662</v>
      </c>
      <c r="N35" s="38">
        <v>44318098.862300001</v>
      </c>
      <c r="O35" s="38">
        <v>31678624.650864694</v>
      </c>
      <c r="P35" s="38">
        <v>736152.08</v>
      </c>
      <c r="Q35" s="38">
        <v>41325949.270997673</v>
      </c>
      <c r="R35" s="38">
        <v>991310.66231361101</v>
      </c>
    </row>
    <row r="37" spans="2:20" x14ac:dyDescent="0.2">
      <c r="B37" s="31" t="s">
        <v>91</v>
      </c>
    </row>
    <row r="38" spans="2:20" x14ac:dyDescent="0.2">
      <c r="B38" s="2" t="s">
        <v>82</v>
      </c>
      <c r="F38" s="2" t="s">
        <v>93</v>
      </c>
      <c r="J38" s="44">
        <f t="shared" ref="J38:J44" si="2">SUM(L38:R38)</f>
        <v>1226167.3368408841</v>
      </c>
      <c r="L38" s="95">
        <v>41150</v>
      </c>
      <c r="M38" s="95">
        <v>27609.006547709825</v>
      </c>
      <c r="N38" s="95">
        <v>0</v>
      </c>
      <c r="O38" s="95">
        <v>0</v>
      </c>
      <c r="P38" s="95">
        <v>854764.87</v>
      </c>
      <c r="Q38" s="95">
        <v>34303.796656810569</v>
      </c>
      <c r="R38" s="95">
        <v>268339.66363636364</v>
      </c>
      <c r="T38" s="7" t="s">
        <v>242</v>
      </c>
    </row>
    <row r="39" spans="2:20" x14ac:dyDescent="0.2">
      <c r="B39" s="2" t="s">
        <v>87</v>
      </c>
      <c r="F39" s="2" t="s">
        <v>93</v>
      </c>
      <c r="J39" s="44">
        <f t="shared" si="2"/>
        <v>603909.97960563283</v>
      </c>
      <c r="L39" s="95">
        <v>0</v>
      </c>
      <c r="M39" s="95">
        <v>0</v>
      </c>
      <c r="N39" s="95">
        <v>160832.69339486968</v>
      </c>
      <c r="O39" s="95">
        <v>0</v>
      </c>
      <c r="P39" s="95">
        <v>0</v>
      </c>
      <c r="Q39" s="95">
        <v>443077.28621076321</v>
      </c>
      <c r="R39" s="95">
        <v>0</v>
      </c>
    </row>
    <row r="40" spans="2:20" x14ac:dyDescent="0.2">
      <c r="B40" s="2" t="s">
        <v>86</v>
      </c>
      <c r="F40" s="2" t="s">
        <v>93</v>
      </c>
      <c r="J40" s="44">
        <f t="shared" si="2"/>
        <v>-97204</v>
      </c>
      <c r="L40" s="95">
        <v>0</v>
      </c>
      <c r="M40" s="95">
        <v>0</v>
      </c>
      <c r="N40" s="95">
        <v>0</v>
      </c>
      <c r="O40" s="95">
        <v>0</v>
      </c>
      <c r="P40" s="95">
        <v>2710</v>
      </c>
      <c r="Q40" s="36">
        <v>-99914</v>
      </c>
      <c r="R40" s="95">
        <v>0</v>
      </c>
    </row>
    <row r="41" spans="2:20" x14ac:dyDescent="0.2">
      <c r="B41" s="2" t="s">
        <v>85</v>
      </c>
      <c r="F41" s="2" t="s">
        <v>93</v>
      </c>
      <c r="J41" s="44">
        <f t="shared" si="2"/>
        <v>25398675.479138289</v>
      </c>
      <c r="L41" s="95">
        <v>46889</v>
      </c>
      <c r="M41" s="95">
        <v>1080748.9031918827</v>
      </c>
      <c r="N41" s="95">
        <v>7297582.6096000001</v>
      </c>
      <c r="O41" s="95">
        <v>9222963.9047687221</v>
      </c>
      <c r="P41" s="95">
        <v>114799.63</v>
      </c>
      <c r="Q41" s="95">
        <v>7574856.6330322269</v>
      </c>
      <c r="R41" s="95">
        <v>60834.798545454549</v>
      </c>
    </row>
    <row r="42" spans="2:20" x14ac:dyDescent="0.2">
      <c r="B42" s="2" t="s">
        <v>84</v>
      </c>
      <c r="F42" s="2" t="s">
        <v>93</v>
      </c>
      <c r="J42" s="44">
        <f t="shared" si="2"/>
        <v>211273351.35428897</v>
      </c>
      <c r="L42" s="95">
        <v>797242</v>
      </c>
      <c r="M42" s="95">
        <v>2571762.7555583841</v>
      </c>
      <c r="N42" s="95">
        <v>104056696.87899999</v>
      </c>
      <c r="O42" s="95">
        <v>53351367.672379076</v>
      </c>
      <c r="P42" s="95">
        <v>1082209.23</v>
      </c>
      <c r="Q42" s="95">
        <v>47688598.492296949</v>
      </c>
      <c r="R42" s="95">
        <v>1725474.3250545457</v>
      </c>
    </row>
    <row r="43" spans="2:20" x14ac:dyDescent="0.2">
      <c r="B43" s="2" t="s">
        <v>83</v>
      </c>
      <c r="F43" s="2" t="s">
        <v>93</v>
      </c>
      <c r="J43" s="44">
        <f t="shared" si="2"/>
        <v>36877300.937266812</v>
      </c>
      <c r="L43" s="95">
        <v>217064</v>
      </c>
      <c r="M43" s="95">
        <v>613609.51788973738</v>
      </c>
      <c r="N43" s="95">
        <v>18397152.704399999</v>
      </c>
      <c r="O43" s="95">
        <v>8906767.0683467742</v>
      </c>
      <c r="P43" s="95">
        <v>696270.81</v>
      </c>
      <c r="Q43" s="95">
        <v>7874709.7820666675</v>
      </c>
      <c r="R43" s="95">
        <v>171727.05456363637</v>
      </c>
    </row>
    <row r="44" spans="2:20" x14ac:dyDescent="0.2">
      <c r="B44" s="2" t="s">
        <v>88</v>
      </c>
      <c r="F44" s="2" t="s">
        <v>93</v>
      </c>
      <c r="J44" s="44">
        <f t="shared" si="2"/>
        <v>519760.92940000008</v>
      </c>
      <c r="L44" s="95">
        <v>0</v>
      </c>
      <c r="M44" s="95">
        <v>0</v>
      </c>
      <c r="N44" s="95">
        <v>522887.81940000004</v>
      </c>
      <c r="O44" s="95">
        <v>-6721.66</v>
      </c>
      <c r="P44" s="95">
        <v>1780.77</v>
      </c>
      <c r="Q44" s="95">
        <v>1814</v>
      </c>
      <c r="R44" s="95">
        <v>0</v>
      </c>
    </row>
    <row r="46" spans="2:20" x14ac:dyDescent="0.2">
      <c r="B46" s="2" t="s">
        <v>89</v>
      </c>
      <c r="F46" s="2" t="s">
        <v>93</v>
      </c>
      <c r="J46" s="44">
        <f>SUM(L46:R46)</f>
        <v>113186963.6971495</v>
      </c>
      <c r="L46" s="95">
        <v>1638928</v>
      </c>
      <c r="M46" s="95">
        <v>1886709.3200013835</v>
      </c>
      <c r="N46" s="95">
        <v>45438688.5167</v>
      </c>
      <c r="O46" s="95">
        <v>22763121.554213561</v>
      </c>
      <c r="P46" s="95">
        <v>979567.39</v>
      </c>
      <c r="Q46" s="95">
        <v>39534444.437693469</v>
      </c>
      <c r="R46" s="95">
        <v>945504.4785410855</v>
      </c>
    </row>
  </sheetData>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E1FFE1"/>
  </sheetPr>
  <dimension ref="B2:T25"/>
  <sheetViews>
    <sheetView showGridLines="0" zoomScale="85" zoomScaleNormal="85" workbookViewId="0">
      <pane xSplit="6" ySplit="11" topLeftCell="G12" activePane="bottomRight" state="frozen"/>
      <selection pane="topRight" activeCell="G1" sqref="G1"/>
      <selection pane="bottomLeft" activeCell="A12" sqref="A12"/>
      <selection pane="bottomRight" activeCell="G12" sqref="G12"/>
    </sheetView>
  </sheetViews>
  <sheetFormatPr defaultRowHeight="12.75" x14ac:dyDescent="0.2"/>
  <cols>
    <col min="1" max="1" width="4.7109375" style="2" customWidth="1"/>
    <col min="2" max="2" width="55.85546875" style="2" customWidth="1"/>
    <col min="3" max="3" width="4.7109375" style="2" customWidth="1"/>
    <col min="4" max="5" width="4.5703125" style="2" customWidth="1"/>
    <col min="6" max="6" width="13.7109375" style="2" customWidth="1"/>
    <col min="7" max="7" width="2.7109375" style="2" customWidth="1"/>
    <col min="8" max="8" width="13.7109375" style="2" customWidth="1"/>
    <col min="9" max="9" width="2.7109375" style="2" customWidth="1"/>
    <col min="10" max="10" width="16" style="2" customWidth="1"/>
    <col min="11" max="11" width="2.7109375" style="2" customWidth="1"/>
    <col min="12" max="16" width="16" style="2" customWidth="1"/>
    <col min="17" max="17" width="2.7109375" style="2" customWidth="1"/>
    <col min="18" max="18" width="17.140625" style="2" customWidth="1"/>
    <col min="19" max="19" width="2.7109375" style="2" customWidth="1"/>
    <col min="20" max="20" width="13.7109375" style="2" customWidth="1"/>
    <col min="21" max="21" width="2.7109375" style="2" customWidth="1"/>
    <col min="22" max="36" width="13.7109375" style="2" customWidth="1"/>
    <col min="37" max="16384" width="9.140625" style="2"/>
  </cols>
  <sheetData>
    <row r="2" spans="2:20" s="22" customFormat="1" ht="18" x14ac:dyDescent="0.2">
      <c r="B2" s="22" t="s">
        <v>195</v>
      </c>
    </row>
    <row r="4" spans="2:20" x14ac:dyDescent="0.2">
      <c r="B4" s="31" t="s">
        <v>25</v>
      </c>
      <c r="C4" s="1"/>
      <c r="D4" s="1"/>
      <c r="L4"/>
    </row>
    <row r="5" spans="2:20" ht="114.75" x14ac:dyDescent="0.2">
      <c r="B5" s="59" t="s">
        <v>243</v>
      </c>
      <c r="C5" s="3"/>
      <c r="D5" s="3"/>
      <c r="H5" s="23"/>
    </row>
    <row r="6" spans="2:20" x14ac:dyDescent="0.2">
      <c r="B6" s="27"/>
      <c r="C6" s="3"/>
      <c r="D6" s="3"/>
      <c r="H6" s="23"/>
    </row>
    <row r="7" spans="2:20" x14ac:dyDescent="0.2">
      <c r="B7" s="32" t="s">
        <v>26</v>
      </c>
      <c r="C7" s="3"/>
      <c r="D7" s="3"/>
      <c r="H7" s="23"/>
    </row>
    <row r="8" spans="2:20" x14ac:dyDescent="0.2">
      <c r="B8" s="68"/>
      <c r="C8" s="3"/>
      <c r="D8" s="3"/>
    </row>
    <row r="10" spans="2:20" s="9" customFormat="1" x14ac:dyDescent="0.2">
      <c r="B10" s="9" t="s">
        <v>42</v>
      </c>
      <c r="F10" s="9" t="s">
        <v>23</v>
      </c>
      <c r="H10" s="9" t="s">
        <v>24</v>
      </c>
      <c r="J10" s="9" t="s">
        <v>45</v>
      </c>
      <c r="L10" s="9" t="s">
        <v>100</v>
      </c>
      <c r="M10" s="9" t="s">
        <v>101</v>
      </c>
      <c r="N10" s="9" t="s">
        <v>102</v>
      </c>
      <c r="O10" s="9" t="s">
        <v>103</v>
      </c>
      <c r="P10" s="9" t="s">
        <v>104</v>
      </c>
      <c r="R10" s="9" t="s">
        <v>43</v>
      </c>
      <c r="T10" s="9" t="s">
        <v>44</v>
      </c>
    </row>
    <row r="13" spans="2:20" s="9" customFormat="1" x14ac:dyDescent="0.2">
      <c r="B13" s="9" t="s">
        <v>114</v>
      </c>
    </row>
    <row r="15" spans="2:20" x14ac:dyDescent="0.2">
      <c r="B15" s="31" t="s">
        <v>115</v>
      </c>
    </row>
    <row r="16" spans="2:20" x14ac:dyDescent="0.2">
      <c r="B16" s="2" t="s">
        <v>106</v>
      </c>
      <c r="F16" s="2" t="s">
        <v>189</v>
      </c>
      <c r="J16" s="71">
        <f>SUM(L16:P16)</f>
        <v>6118511387.644207</v>
      </c>
      <c r="L16" s="38">
        <v>605346351.33822107</v>
      </c>
      <c r="M16" s="38">
        <v>912056585.89644408</v>
      </c>
      <c r="N16" s="38">
        <v>1221288038.0246913</v>
      </c>
      <c r="O16" s="38">
        <v>1532903823.1188316</v>
      </c>
      <c r="P16" s="38">
        <v>1846916589.2660189</v>
      </c>
      <c r="R16" s="2" t="s">
        <v>235</v>
      </c>
    </row>
    <row r="17" spans="2:18" x14ac:dyDescent="0.2">
      <c r="B17" s="2" t="s">
        <v>107</v>
      </c>
      <c r="F17" s="2" t="s">
        <v>189</v>
      </c>
      <c r="J17" s="71">
        <f t="shared" ref="J17:J19" si="0">SUM(L17:P17)</f>
        <v>132960234.03036812</v>
      </c>
      <c r="L17" s="38">
        <v>10930340.827219788</v>
      </c>
      <c r="M17" s="38">
        <v>18523129.784135364</v>
      </c>
      <c r="N17" s="38">
        <v>26366560.283936981</v>
      </c>
      <c r="O17" s="38">
        <v>34466900.146910504</v>
      </c>
      <c r="P17" s="38">
        <v>42673302.988165475</v>
      </c>
      <c r="R17" s="2" t="s">
        <v>159</v>
      </c>
    </row>
    <row r="18" spans="2:18" x14ac:dyDescent="0.2">
      <c r="B18" s="2" t="s">
        <v>108</v>
      </c>
      <c r="F18" s="2" t="s">
        <v>189</v>
      </c>
      <c r="J18" s="71">
        <f t="shared" si="0"/>
        <v>2738061987.2986922</v>
      </c>
      <c r="L18" s="38">
        <v>260006873.80179822</v>
      </c>
      <c r="M18" s="38">
        <v>398081806.1267975</v>
      </c>
      <c r="N18" s="38">
        <v>541786416.09502149</v>
      </c>
      <c r="O18" s="38">
        <v>691315601.26078761</v>
      </c>
      <c r="P18" s="38">
        <v>846871290.01428735</v>
      </c>
    </row>
    <row r="19" spans="2:18" x14ac:dyDescent="0.2">
      <c r="B19" s="2" t="s">
        <v>109</v>
      </c>
      <c r="F19" s="2" t="s">
        <v>189</v>
      </c>
      <c r="J19" s="71">
        <f t="shared" si="0"/>
        <v>64862491.234050944</v>
      </c>
      <c r="L19" s="38">
        <v>5104428.9964269539</v>
      </c>
      <c r="M19" s="38">
        <v>8786883.0863018073</v>
      </c>
      <c r="N19" s="38">
        <v>12714204.729555987</v>
      </c>
      <c r="O19" s="38">
        <v>16899683.693098594</v>
      </c>
      <c r="P19" s="38">
        <v>21357290.728667602</v>
      </c>
    </row>
    <row r="21" spans="2:18" x14ac:dyDescent="0.2">
      <c r="B21" s="31" t="s">
        <v>116</v>
      </c>
    </row>
    <row r="22" spans="2:18" x14ac:dyDescent="0.2">
      <c r="B22" s="2" t="s">
        <v>106</v>
      </c>
      <c r="F22" s="2" t="s">
        <v>189</v>
      </c>
      <c r="J22" s="71">
        <f>SUM(L22:P22)</f>
        <v>5886601478.0413017</v>
      </c>
      <c r="L22" s="38">
        <v>597891866.69886863</v>
      </c>
      <c r="M22" s="38">
        <v>890946580.16385722</v>
      </c>
      <c r="N22" s="38">
        <v>1180571084.0129714</v>
      </c>
      <c r="O22" s="38">
        <v>1466917477.2333126</v>
      </c>
      <c r="P22" s="38">
        <v>1750274469.9322915</v>
      </c>
      <c r="R22" s="2" t="s">
        <v>235</v>
      </c>
    </row>
    <row r="23" spans="2:18" x14ac:dyDescent="0.2">
      <c r="B23" s="2" t="s">
        <v>107</v>
      </c>
      <c r="F23" s="2" t="s">
        <v>189</v>
      </c>
      <c r="J23" s="71">
        <f t="shared" ref="J23:J25" si="1">SUM(L23:P23)</f>
        <v>147290485.41503456</v>
      </c>
      <c r="L23" s="38">
        <v>12961663.888318904</v>
      </c>
      <c r="M23" s="38">
        <v>21282416.553281885</v>
      </c>
      <c r="N23" s="38">
        <v>29556490.016933437</v>
      </c>
      <c r="O23" s="38">
        <v>37753107.336265437</v>
      </c>
      <c r="P23" s="38">
        <v>45736807.620234914</v>
      </c>
      <c r="R23" s="2" t="s">
        <v>160</v>
      </c>
    </row>
    <row r="24" spans="2:18" x14ac:dyDescent="0.2">
      <c r="B24" s="2" t="s">
        <v>108</v>
      </c>
      <c r="F24" s="2" t="s">
        <v>189</v>
      </c>
      <c r="J24" s="71">
        <f t="shared" si="1"/>
        <v>2634577884.3143573</v>
      </c>
      <c r="L24" s="38">
        <v>256764726.79784358</v>
      </c>
      <c r="M24" s="38">
        <v>388809242.65914035</v>
      </c>
      <c r="N24" s="38">
        <v>523755243.22047085</v>
      </c>
      <c r="O24" s="38">
        <v>661859713.71275568</v>
      </c>
      <c r="P24" s="38">
        <v>803388957.92414677</v>
      </c>
    </row>
    <row r="25" spans="2:18" x14ac:dyDescent="0.2">
      <c r="B25" s="2" t="s">
        <v>109</v>
      </c>
      <c r="F25" s="2" t="s">
        <v>189</v>
      </c>
      <c r="J25" s="71">
        <f t="shared" si="1"/>
        <v>72010668.081925601</v>
      </c>
      <c r="L25" s="38">
        <v>6053853.3092350494</v>
      </c>
      <c r="M25" s="38">
        <v>10137175.821571948</v>
      </c>
      <c r="N25" s="38">
        <v>14307341.626167241</v>
      </c>
      <c r="O25" s="38">
        <v>18572242.876869384</v>
      </c>
      <c r="P25" s="38">
        <v>22940054.448081978</v>
      </c>
    </row>
  </sheetData>
  <pageMargins left="0.7" right="0.7" top="0.75" bottom="0.75" header="0.3" footer="0.3"/>
  <pageSetup paperSize="9" orientation="portrait" r:id="rId1"/>
  <ignoredErrors>
    <ignoredError sqref="L10:P1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5e7bef76-b888-41a2-a261-5f525b37d47e">ECT67VDXDTCW-640230012-8</_dlc_DocId>
    <_dlc_DocIdUrl xmlns="5e7bef76-b888-41a2-a261-5f525b37d47e">
      <Url>https://intranet.acm.local/project/excellent-in-excel/_layouts/15/DocIdRedir.aspx?ID=ECT67VDXDTCW-640230012-8</Url>
      <Description>ECT67VDXDTCW-640230012-8</Description>
    </_dlc_DocIdUrl>
    <Status xmlns="94b38974-1436-4631-a0be-797faa579778">Actueel</Statu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459BCFB3BA7984093AF6B5FDACCE3FF" ma:contentTypeVersion="3" ma:contentTypeDescription="Een nieuw document maken." ma:contentTypeScope="" ma:versionID="5ca2a2452ccfef2a6add69ec11766239">
  <xsd:schema xmlns:xsd="http://www.w3.org/2001/XMLSchema" xmlns:xs="http://www.w3.org/2001/XMLSchema" xmlns:p="http://schemas.microsoft.com/office/2006/metadata/properties" xmlns:ns2="5e7bef76-b888-41a2-a261-5f525b37d47e" xmlns:ns3="94b38974-1436-4631-a0be-797faa579778" targetNamespace="http://schemas.microsoft.com/office/2006/metadata/properties" ma:root="true" ma:fieldsID="5142b64c9d09e650d70bec54211324f3" ns2:_="" ns3:_="">
    <xsd:import namespace="5e7bef76-b888-41a2-a261-5f525b37d47e"/>
    <xsd:import namespace="94b38974-1436-4631-a0be-797faa579778"/>
    <xsd:element name="properties">
      <xsd:complexType>
        <xsd:sequence>
          <xsd:element name="documentManagement">
            <xsd:complexType>
              <xsd:all>
                <xsd:element ref="ns2:_dlc_DocId" minOccurs="0"/>
                <xsd:element ref="ns2:_dlc_DocIdUrl" minOccurs="0"/>
                <xsd:element ref="ns2:_dlc_DocIdPersistId" minOccurs="0"/>
                <xsd:element ref="ns3: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4b38974-1436-4631-a0be-797faa579778" elementFormDefault="qualified">
    <xsd:import namespace="http://schemas.microsoft.com/office/2006/documentManagement/types"/>
    <xsd:import namespace="http://schemas.microsoft.com/office/infopath/2007/PartnerControls"/>
    <xsd:element name="Status" ma:index="11" nillable="true" ma:displayName="Status" ma:default="Actueel" ma:format="RadioButtons" ma:internalName="Status">
      <xsd:simpleType>
        <xsd:restriction base="dms:Choice">
          <xsd:enumeration value="Actueel"/>
          <xsd:enumeration value="Archief"/>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FD3EC8E-ED7C-4A3A-8DFF-8B74C3A819EF}">
  <ds:schemaRefs>
    <ds:schemaRef ds:uri="http://schemas.microsoft.com/sharepoint/v3/contenttype/forms"/>
  </ds:schemaRefs>
</ds:datastoreItem>
</file>

<file path=customXml/itemProps2.xml><?xml version="1.0" encoding="utf-8"?>
<ds:datastoreItem xmlns:ds="http://schemas.openxmlformats.org/officeDocument/2006/customXml" ds:itemID="{0DDA3511-5D46-4E42-B7D4-FD7BA5B4176C}">
  <ds:schemaRefs>
    <ds:schemaRef ds:uri="http://schemas.microsoft.com/sharepoint/events"/>
  </ds:schemaRefs>
</ds:datastoreItem>
</file>

<file path=customXml/itemProps3.xml><?xml version="1.0" encoding="utf-8"?>
<ds:datastoreItem xmlns:ds="http://schemas.openxmlformats.org/officeDocument/2006/customXml" ds:itemID="{9CDAB9D1-B815-4B0E-93E7-4496A7FE99F6}">
  <ds:schemaRefs>
    <ds:schemaRef ds:uri="http://schemas.openxmlformats.org/package/2006/metadata/core-properties"/>
    <ds:schemaRef ds:uri="http://www.w3.org/XML/1998/namespace"/>
    <ds:schemaRef ds:uri="http://purl.org/dc/elements/1.1/"/>
    <ds:schemaRef ds:uri="http://schemas.microsoft.com/office/2006/documentManagement/types"/>
    <ds:schemaRef ds:uri="http://purl.org/dc/terms/"/>
    <ds:schemaRef ds:uri="http://purl.org/dc/dcmitype/"/>
    <ds:schemaRef ds:uri="http://schemas.microsoft.com/office/2006/metadata/properties"/>
    <ds:schemaRef ds:uri="http://schemas.microsoft.com/office/infopath/2007/PartnerControls"/>
    <ds:schemaRef ds:uri="94b38974-1436-4631-a0be-797faa579778"/>
    <ds:schemaRef ds:uri="5e7bef76-b888-41a2-a261-5f525b37d47e"/>
  </ds:schemaRefs>
</ds:datastoreItem>
</file>

<file path=customXml/itemProps4.xml><?xml version="1.0" encoding="utf-8"?>
<ds:datastoreItem xmlns:ds="http://schemas.openxmlformats.org/officeDocument/2006/customXml" ds:itemID="{FF18CC61-5CB0-425B-8AC4-4AF894C874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7bef76-b888-41a2-a261-5f525b37d47e"/>
    <ds:schemaRef ds:uri="94b38974-1436-4631-a0be-797faa5797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Titelblad</vt:lpstr>
      <vt:lpstr>Toelichting</vt:lpstr>
      <vt:lpstr>Bronnen en toepassingen</vt:lpstr>
      <vt:lpstr>Resultaat</vt:lpstr>
      <vt:lpstr>Input --&gt;</vt:lpstr>
      <vt:lpstr>Reguleringsparameters</vt:lpstr>
      <vt:lpstr>BW &amp; afsch</vt:lpstr>
      <vt:lpstr>Investeringen 2018-2020</vt:lpstr>
      <vt:lpstr>BW &amp; afsch investeringen 21-26</vt:lpstr>
      <vt:lpstr>Berekeningen --&gt;</vt:lpstr>
      <vt:lpstr>Investeringen 2021-2026</vt:lpstr>
      <vt:lpstr>Berekening kapitaalkosten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2018-05-15T11:27:11Z</dcterms:created>
  <dcterms:modified xsi:type="dcterms:W3CDTF">2024-04-09T09:20:16Z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0x010100F459BCFB3BA7984093AF6B5FDACCE3FF</vt:lpwstr>
  </property>
  <property fmtid="{D5CDD505-2E9C-101B-9397-08002B2CF9AE}" pid="3" name="_dlc_DocIdItemGuid">
    <vt:lpwstr>690e2732-6085-4e8b-9de9-0e25f1b50209</vt:lpwstr>
  </property>
</Properties>
</file>