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C1770CF7-A94C-4F41-8CFC-C294B36650AD}" xr6:coauthVersionLast="47" xr6:coauthVersionMax="47" xr10:uidLastSave="{00000000-0000-0000-0000-000000000000}"/>
  <bookViews>
    <workbookView xWindow="-120" yWindow="-16320" windowWidth="29040" windowHeight="15840" tabRatio="847" xr2:uid="{00000000-000D-0000-FFFF-FFFF00000000}"/>
  </bookViews>
  <sheets>
    <sheet name="Titelblad" sheetId="9" r:id="rId1"/>
    <sheet name="Toelichting" sheetId="10" r:id="rId2"/>
    <sheet name="Bronnen en toepassingen" sheetId="11" r:id="rId3"/>
    <sheet name="Input --&gt;" sheetId="13" r:id="rId4"/>
    <sheet name="Realisatie 2022" sheetId="40" r:id="rId5"/>
    <sheet name="SO REG2022" sheetId="18" r:id="rId6"/>
    <sheet name="Rekenvolumes TD" sheetId="38" r:id="rId7"/>
    <sheet name="Invoeding" sheetId="24" r:id="rId8"/>
    <sheet name="Berekeningen --&gt;" sheetId="15" r:id="rId9"/>
    <sheet name="Wegingsfactoren" sheetId="39" r:id="rId10"/>
    <sheet name="Ontwikkeling inkomsten TD" sheetId="36" r:id="rId11"/>
    <sheet name="Vergoeding inv. ontw. TD" sheetId="41" r:id="rId12"/>
  </sheets>
  <definedNames>
    <definedName name="AS2DocOpenMode" hidden="1">"AS2DocumentEdit"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7" i="39" l="1"/>
  <c r="H394" i="39"/>
  <c r="H404" i="39"/>
  <c r="J178" i="39"/>
  <c r="H39" i="41" l="1"/>
  <c r="K178" i="39" l="1"/>
  <c r="K197" i="39" s="1"/>
  <c r="L178" i="39"/>
  <c r="L197" i="39" s="1"/>
  <c r="M178" i="39"/>
  <c r="M197" i="39" s="1"/>
  <c r="N178" i="39"/>
  <c r="N197" i="39" s="1"/>
  <c r="O178" i="39"/>
  <c r="O197" i="39" s="1"/>
  <c r="J197" i="39"/>
  <c r="Q32" i="41" l="1"/>
  <c r="P32" i="41"/>
  <c r="O32" i="41"/>
  <c r="N32" i="41"/>
  <c r="M32" i="41"/>
  <c r="L32" i="41"/>
  <c r="Q31" i="41"/>
  <c r="P31" i="41"/>
  <c r="O31" i="41"/>
  <c r="N31" i="41"/>
  <c r="M31" i="41"/>
  <c r="L31" i="41"/>
  <c r="Q30" i="41"/>
  <c r="P30" i="41"/>
  <c r="O30" i="41"/>
  <c r="N30" i="41"/>
  <c r="M30" i="41"/>
  <c r="L30" i="41"/>
  <c r="Q27" i="41"/>
  <c r="P27" i="41"/>
  <c r="O27" i="41"/>
  <c r="N27" i="41"/>
  <c r="M27" i="41"/>
  <c r="L27" i="41"/>
  <c r="Q26" i="41"/>
  <c r="P26" i="41"/>
  <c r="N26" i="41"/>
  <c r="L26" i="41"/>
  <c r="O25" i="41"/>
  <c r="M25" i="41"/>
  <c r="O24" i="41"/>
  <c r="M24" i="41"/>
  <c r="Q21" i="41"/>
  <c r="P21" i="41"/>
  <c r="O21" i="41"/>
  <c r="N21" i="41"/>
  <c r="M21" i="41"/>
  <c r="L21" i="41"/>
  <c r="Q20" i="41"/>
  <c r="P20" i="41"/>
  <c r="O20" i="41"/>
  <c r="N20" i="41"/>
  <c r="M20" i="41"/>
  <c r="L20" i="41"/>
  <c r="Q19" i="41"/>
  <c r="P19" i="41"/>
  <c r="O19" i="41"/>
  <c r="N19" i="41"/>
  <c r="M19" i="41"/>
  <c r="L19" i="41"/>
  <c r="Q18" i="41"/>
  <c r="P18" i="41"/>
  <c r="O18" i="41"/>
  <c r="N18" i="41"/>
  <c r="M18" i="41"/>
  <c r="L18" i="41"/>
  <c r="Q17" i="41"/>
  <c r="P17" i="41"/>
  <c r="O17" i="41"/>
  <c r="N17" i="41"/>
  <c r="M17" i="41"/>
  <c r="L17" i="41"/>
  <c r="Q16" i="41"/>
  <c r="P16" i="41"/>
  <c r="O16" i="41"/>
  <c r="N16" i="41"/>
  <c r="M16" i="41"/>
  <c r="L16" i="41"/>
  <c r="L97" i="36"/>
  <c r="Q98" i="36"/>
  <c r="P98" i="36"/>
  <c r="O98" i="36"/>
  <c r="N98" i="36"/>
  <c r="M98" i="36"/>
  <c r="L98" i="36"/>
  <c r="Q97" i="36"/>
  <c r="P97" i="36"/>
  <c r="O97" i="36"/>
  <c r="N97" i="36"/>
  <c r="M97" i="36"/>
  <c r="J97" i="38"/>
  <c r="J96" i="38"/>
  <c r="J92" i="38"/>
  <c r="J91" i="38"/>
  <c r="J90" i="38"/>
  <c r="J89" i="38"/>
  <c r="J88" i="38"/>
  <c r="J87" i="38"/>
  <c r="J86" i="38"/>
  <c r="J83" i="38"/>
  <c r="J82" i="38"/>
  <c r="J79" i="38"/>
  <c r="J78" i="38"/>
  <c r="J77" i="38"/>
  <c r="J76" i="38"/>
  <c r="J70" i="38"/>
  <c r="J69" i="38"/>
  <c r="J68" i="38"/>
  <c r="J67" i="38"/>
  <c r="J64" i="38"/>
  <c r="J63" i="38"/>
  <c r="J62" i="38"/>
  <c r="J61" i="38"/>
  <c r="J58" i="38"/>
  <c r="J57" i="38"/>
  <c r="J56" i="38"/>
  <c r="J55" i="38"/>
  <c r="J52" i="38"/>
  <c r="J98" i="36" l="1"/>
  <c r="J97" i="36"/>
  <c r="J51" i="38" l="1"/>
  <c r="J50" i="38"/>
  <c r="J49" i="38"/>
  <c r="J43" i="38"/>
  <c r="J42" i="38"/>
  <c r="J41" i="38"/>
  <c r="J38" i="38"/>
  <c r="J37" i="38"/>
  <c r="J36" i="38"/>
  <c r="J33" i="38"/>
  <c r="J32" i="38"/>
  <c r="J31" i="38"/>
  <c r="J28" i="38"/>
  <c r="J27" i="38"/>
  <c r="J26" i="38"/>
  <c r="J23" i="38"/>
  <c r="J22" i="38"/>
  <c r="J21" i="38"/>
  <c r="J17" i="38"/>
  <c r="J18" i="38"/>
  <c r="J16" i="38"/>
  <c r="Q93" i="36"/>
  <c r="P93" i="36"/>
  <c r="O93" i="36"/>
  <c r="N93" i="36"/>
  <c r="M93" i="36"/>
  <c r="L93" i="36"/>
  <c r="Q92" i="36"/>
  <c r="P92" i="36"/>
  <c r="O92" i="36"/>
  <c r="N92" i="36"/>
  <c r="M92" i="36"/>
  <c r="L92" i="36"/>
  <c r="Q91" i="36"/>
  <c r="P91" i="36"/>
  <c r="O91" i="36"/>
  <c r="N91" i="36"/>
  <c r="M91" i="36"/>
  <c r="L91" i="36"/>
  <c r="Q90" i="36"/>
  <c r="P90" i="36"/>
  <c r="O90" i="36"/>
  <c r="N90" i="36"/>
  <c r="M90" i="36"/>
  <c r="L90" i="36"/>
  <c r="Q89" i="36"/>
  <c r="P89" i="36"/>
  <c r="O89" i="36"/>
  <c r="N89" i="36"/>
  <c r="M89" i="36"/>
  <c r="L89" i="36"/>
  <c r="Q88" i="36"/>
  <c r="P88" i="36"/>
  <c r="O88" i="36"/>
  <c r="N88" i="36"/>
  <c r="M88" i="36"/>
  <c r="L88" i="36"/>
  <c r="Q87" i="36"/>
  <c r="P87" i="36"/>
  <c r="O87" i="36"/>
  <c r="N87" i="36"/>
  <c r="M87" i="36"/>
  <c r="L87" i="36"/>
  <c r="Q80" i="36"/>
  <c r="P80" i="36"/>
  <c r="O80" i="36"/>
  <c r="N80" i="36"/>
  <c r="M80" i="36"/>
  <c r="L80" i="36"/>
  <c r="Q79" i="36"/>
  <c r="P79" i="36"/>
  <c r="O79" i="36"/>
  <c r="N79" i="36"/>
  <c r="M79" i="36"/>
  <c r="L79" i="36"/>
  <c r="Q78" i="36"/>
  <c r="P78" i="36"/>
  <c r="O78" i="36"/>
  <c r="N78" i="36"/>
  <c r="M78" i="36"/>
  <c r="L78" i="36"/>
  <c r="M69" i="36"/>
  <c r="N69" i="36"/>
  <c r="O69" i="36"/>
  <c r="P69" i="36"/>
  <c r="Q69" i="36"/>
  <c r="M70" i="36"/>
  <c r="N70" i="36"/>
  <c r="O70" i="36"/>
  <c r="P70" i="36"/>
  <c r="Q70" i="36"/>
  <c r="M71" i="36"/>
  <c r="N71" i="36"/>
  <c r="O71" i="36"/>
  <c r="P71" i="36"/>
  <c r="Q71" i="36"/>
  <c r="L71" i="36"/>
  <c r="L70" i="36"/>
  <c r="L69" i="36"/>
  <c r="Q65" i="36"/>
  <c r="Q64" i="36"/>
  <c r="Q63" i="36"/>
  <c r="P65" i="36"/>
  <c r="P64" i="36"/>
  <c r="P63" i="36"/>
  <c r="N65" i="36"/>
  <c r="N64" i="36"/>
  <c r="N63" i="36"/>
  <c r="L65" i="36"/>
  <c r="L64" i="36"/>
  <c r="L63" i="36"/>
  <c r="O59" i="36"/>
  <c r="O58" i="36"/>
  <c r="O57" i="36"/>
  <c r="M59" i="36"/>
  <c r="M58" i="36"/>
  <c r="M57" i="36"/>
  <c r="O52" i="36"/>
  <c r="O53" i="36"/>
  <c r="O51" i="36"/>
  <c r="M52" i="36"/>
  <c r="M53" i="36"/>
  <c r="M51" i="36"/>
  <c r="Q44" i="36"/>
  <c r="P44" i="36"/>
  <c r="O44" i="36"/>
  <c r="N44" i="36"/>
  <c r="M44" i="36"/>
  <c r="L44" i="36"/>
  <c r="Q43" i="36"/>
  <c r="P43" i="36"/>
  <c r="O43" i="36"/>
  <c r="N43" i="36"/>
  <c r="M43" i="36"/>
  <c r="L43" i="36"/>
  <c r="Q39" i="36"/>
  <c r="P39" i="36"/>
  <c r="O39" i="36"/>
  <c r="N39" i="36"/>
  <c r="M39" i="36"/>
  <c r="L39" i="36"/>
  <c r="Q38" i="36"/>
  <c r="P38" i="36"/>
  <c r="O38" i="36"/>
  <c r="N38" i="36"/>
  <c r="M38" i="36"/>
  <c r="L38" i="36"/>
  <c r="Q34" i="36"/>
  <c r="P34" i="36"/>
  <c r="O34" i="36"/>
  <c r="N34" i="36"/>
  <c r="M34" i="36"/>
  <c r="L34" i="36"/>
  <c r="Q33" i="36"/>
  <c r="P33" i="36"/>
  <c r="O33" i="36"/>
  <c r="N33" i="36"/>
  <c r="M33" i="36"/>
  <c r="L33" i="36"/>
  <c r="Q29" i="36"/>
  <c r="P29" i="36"/>
  <c r="O29" i="36"/>
  <c r="N29" i="36"/>
  <c r="M29" i="36"/>
  <c r="L29" i="36"/>
  <c r="Q28" i="36"/>
  <c r="P28" i="36"/>
  <c r="O28" i="36"/>
  <c r="N28" i="36"/>
  <c r="M28" i="36"/>
  <c r="L28" i="36"/>
  <c r="Q24" i="36"/>
  <c r="P24" i="36"/>
  <c r="O24" i="36"/>
  <c r="N24" i="36"/>
  <c r="M24" i="36"/>
  <c r="L24" i="36"/>
  <c r="Q23" i="36"/>
  <c r="P23" i="36"/>
  <c r="O23" i="36"/>
  <c r="N23" i="36"/>
  <c r="M23" i="36"/>
  <c r="L23" i="36"/>
  <c r="M18" i="36"/>
  <c r="N18" i="36"/>
  <c r="O18" i="36"/>
  <c r="P18" i="36"/>
  <c r="Q18" i="36"/>
  <c r="M19" i="36"/>
  <c r="N19" i="36"/>
  <c r="O19" i="36"/>
  <c r="P19" i="36"/>
  <c r="Q19" i="36"/>
  <c r="L19" i="36"/>
  <c r="L18" i="36"/>
  <c r="J84" i="36"/>
  <c r="J83" i="36"/>
  <c r="J77" i="36"/>
  <c r="J68" i="36"/>
  <c r="J62" i="36"/>
  <c r="J56" i="36"/>
  <c r="J50" i="36"/>
  <c r="J42" i="36"/>
  <c r="J37" i="36"/>
  <c r="J32" i="36"/>
  <c r="J27" i="36"/>
  <c r="J22" i="36"/>
  <c r="J17" i="36"/>
  <c r="J59" i="36" l="1"/>
  <c r="J53" i="36"/>
  <c r="J52" i="36"/>
  <c r="J44" i="36"/>
  <c r="J58" i="36"/>
  <c r="J70" i="36"/>
  <c r="J80" i="36"/>
  <c r="J18" i="36"/>
  <c r="J38" i="36"/>
  <c r="J51" i="36"/>
  <c r="J65" i="36"/>
  <c r="J19" i="36"/>
  <c r="J23" i="36"/>
  <c r="J28" i="36"/>
  <c r="J33" i="36"/>
  <c r="J34" i="36"/>
  <c r="J39" i="36"/>
  <c r="J43" i="36"/>
  <c r="J78" i="36"/>
  <c r="J79" i="36"/>
  <c r="J89" i="36"/>
  <c r="J90" i="36"/>
  <c r="J24" i="36"/>
  <c r="J57" i="36"/>
  <c r="J29" i="36"/>
  <c r="J64" i="36"/>
  <c r="J71" i="36"/>
  <c r="J69" i="36"/>
  <c r="J87" i="36"/>
  <c r="J88" i="36"/>
  <c r="J91" i="36"/>
  <c r="J92" i="36"/>
  <c r="J93" i="36"/>
  <c r="J63" i="36"/>
  <c r="J245" i="36" l="1"/>
  <c r="J239" i="36"/>
  <c r="J233" i="36"/>
  <c r="J227" i="36"/>
  <c r="J221" i="36"/>
  <c r="J220" i="36"/>
  <c r="J219" i="36"/>
  <c r="J214" i="36"/>
  <c r="J211" i="36"/>
  <c r="J210" i="36"/>
  <c r="J209" i="36"/>
  <c r="J204" i="36"/>
  <c r="J201" i="36"/>
  <c r="J200" i="36"/>
  <c r="J199" i="36"/>
  <c r="J194" i="36"/>
  <c r="J172" i="36"/>
  <c r="J171" i="36"/>
  <c r="J165" i="36"/>
  <c r="J156" i="36"/>
  <c r="J150" i="36"/>
  <c r="J144" i="36"/>
  <c r="J138" i="36"/>
  <c r="J130" i="36"/>
  <c r="J125" i="36"/>
  <c r="J120" i="36"/>
  <c r="J115" i="36"/>
  <c r="J110" i="36"/>
  <c r="J105" i="36"/>
  <c r="H20" i="18" l="1"/>
  <c r="H17" i="18"/>
  <c r="H16" i="18"/>
  <c r="H15" i="18"/>
  <c r="H14" i="18"/>
  <c r="J250" i="40" l="1"/>
  <c r="J16" i="40"/>
  <c r="J17" i="40"/>
  <c r="J15" i="40"/>
  <c r="J106" i="40" l="1"/>
  <c r="J105" i="40"/>
  <c r="J104" i="40"/>
  <c r="J111" i="40"/>
  <c r="J110" i="40"/>
  <c r="J109" i="40"/>
  <c r="J116" i="40"/>
  <c r="J115" i="40"/>
  <c r="J114" i="40"/>
  <c r="J121" i="40"/>
  <c r="J120" i="40"/>
  <c r="J119" i="40"/>
  <c r="J126" i="40"/>
  <c r="J125" i="40"/>
  <c r="J124" i="40"/>
  <c r="J131" i="40"/>
  <c r="J130" i="40"/>
  <c r="J129" i="40"/>
  <c r="J140" i="40"/>
  <c r="J139" i="40"/>
  <c r="J138" i="40"/>
  <c r="J137" i="40"/>
  <c r="J146" i="40"/>
  <c r="J145" i="40"/>
  <c r="J144" i="40"/>
  <c r="J143" i="40"/>
  <c r="J152" i="40"/>
  <c r="J151" i="40"/>
  <c r="J150" i="40"/>
  <c r="J149" i="40"/>
  <c r="J158" i="40"/>
  <c r="J157" i="40"/>
  <c r="J156" i="40"/>
  <c r="J155" i="40"/>
  <c r="J251" i="40"/>
  <c r="J252" i="40"/>
  <c r="J253" i="40"/>
  <c r="M246" i="36" l="1"/>
  <c r="N246" i="36"/>
  <c r="O246" i="36"/>
  <c r="P246" i="36"/>
  <c r="Q246" i="36"/>
  <c r="M247" i="36"/>
  <c r="N247" i="36"/>
  <c r="O247" i="36"/>
  <c r="P247" i="36"/>
  <c r="Q247" i="36"/>
  <c r="M248" i="36"/>
  <c r="N248" i="36"/>
  <c r="O248" i="36"/>
  <c r="P248" i="36"/>
  <c r="Q248" i="36"/>
  <c r="L247" i="36"/>
  <c r="L248" i="36"/>
  <c r="L246" i="36"/>
  <c r="Q242" i="36"/>
  <c r="P242" i="36"/>
  <c r="N242" i="36"/>
  <c r="L242" i="36"/>
  <c r="Q241" i="36"/>
  <c r="P241" i="36"/>
  <c r="N241" i="36"/>
  <c r="L241" i="36"/>
  <c r="Q240" i="36"/>
  <c r="P240" i="36"/>
  <c r="N240" i="36"/>
  <c r="L240" i="36"/>
  <c r="O236" i="36"/>
  <c r="M236" i="36"/>
  <c r="O235" i="36"/>
  <c r="M235" i="36"/>
  <c r="O234" i="36"/>
  <c r="M234" i="36"/>
  <c r="O230" i="36"/>
  <c r="M230" i="36"/>
  <c r="O229" i="36"/>
  <c r="M229" i="36"/>
  <c r="O228" i="36"/>
  <c r="M228" i="36"/>
  <c r="Q216" i="36"/>
  <c r="P216" i="36"/>
  <c r="O216" i="36"/>
  <c r="N216" i="36"/>
  <c r="M216" i="36"/>
  <c r="L216" i="36"/>
  <c r="Q215" i="36"/>
  <c r="P215" i="36"/>
  <c r="O215" i="36"/>
  <c r="N215" i="36"/>
  <c r="M215" i="36"/>
  <c r="L215" i="36"/>
  <c r="Q206" i="36"/>
  <c r="P206" i="36"/>
  <c r="O206" i="36"/>
  <c r="N206" i="36"/>
  <c r="M206" i="36"/>
  <c r="L206" i="36"/>
  <c r="Q205" i="36"/>
  <c r="P205" i="36"/>
  <c r="O205" i="36"/>
  <c r="N205" i="36"/>
  <c r="M205" i="36"/>
  <c r="L205" i="36"/>
  <c r="Q196" i="36"/>
  <c r="P196" i="36"/>
  <c r="O196" i="36"/>
  <c r="N196" i="36"/>
  <c r="M196" i="36"/>
  <c r="L196" i="36"/>
  <c r="Q195" i="36"/>
  <c r="P195" i="36"/>
  <c r="O195" i="36"/>
  <c r="N195" i="36"/>
  <c r="M195" i="36"/>
  <c r="L195" i="36"/>
  <c r="J229" i="36" l="1"/>
  <c r="J234" i="36"/>
  <c r="J236" i="36"/>
  <c r="J206" i="36"/>
  <c r="J247" i="36"/>
  <c r="J216" i="36"/>
  <c r="J196" i="36"/>
  <c r="J228" i="36"/>
  <c r="J230" i="36"/>
  <c r="J235" i="36"/>
  <c r="J195" i="36"/>
  <c r="J205" i="36"/>
  <c r="J215" i="36"/>
  <c r="J240" i="36"/>
  <c r="J241" i="36"/>
  <c r="J242" i="36"/>
  <c r="J246" i="36"/>
  <c r="J248" i="36"/>
  <c r="H36" i="41"/>
  <c r="H37" i="41"/>
  <c r="H38" i="41"/>
  <c r="H35" i="41"/>
  <c r="Q52" i="41"/>
  <c r="P52" i="41"/>
  <c r="O52" i="41"/>
  <c r="N52" i="41"/>
  <c r="M52" i="41"/>
  <c r="L52" i="41"/>
  <c r="Q47" i="41"/>
  <c r="P47" i="41"/>
  <c r="O47" i="41"/>
  <c r="N47" i="41"/>
  <c r="M47" i="41"/>
  <c r="L47" i="41"/>
  <c r="Q46" i="41"/>
  <c r="P46" i="41"/>
  <c r="O46" i="41"/>
  <c r="N46" i="41"/>
  <c r="M46" i="41"/>
  <c r="L46" i="41"/>
  <c r="Q45" i="41"/>
  <c r="P45" i="41"/>
  <c r="O45" i="41"/>
  <c r="N45" i="41"/>
  <c r="M45" i="41"/>
  <c r="L45" i="41"/>
  <c r="Q44" i="41"/>
  <c r="P44" i="41"/>
  <c r="O44" i="41"/>
  <c r="N44" i="41"/>
  <c r="M44" i="41"/>
  <c r="L44" i="41"/>
  <c r="Q187" i="36"/>
  <c r="Q415" i="36" s="1"/>
  <c r="P187" i="36"/>
  <c r="P415" i="36" s="1"/>
  <c r="O187" i="36"/>
  <c r="O415" i="36" s="1"/>
  <c r="N187" i="36"/>
  <c r="N415" i="36" s="1"/>
  <c r="M187" i="36"/>
  <c r="M415" i="36" s="1"/>
  <c r="L187" i="36"/>
  <c r="L415" i="36" s="1"/>
  <c r="Q186" i="36"/>
  <c r="Q414" i="36" s="1"/>
  <c r="P186" i="36"/>
  <c r="P414" i="36" s="1"/>
  <c r="O186" i="36"/>
  <c r="O414" i="36" s="1"/>
  <c r="N186" i="36"/>
  <c r="N414" i="36" s="1"/>
  <c r="M186" i="36"/>
  <c r="M414" i="36" s="1"/>
  <c r="L186" i="36"/>
  <c r="L414" i="36" s="1"/>
  <c r="L178" i="36"/>
  <c r="L406" i="36" s="1"/>
  <c r="M178" i="36"/>
  <c r="M406" i="36" s="1"/>
  <c r="N178" i="36"/>
  <c r="N406" i="36" s="1"/>
  <c r="O178" i="36"/>
  <c r="O406" i="36" s="1"/>
  <c r="P178" i="36"/>
  <c r="P406" i="36" s="1"/>
  <c r="Q178" i="36"/>
  <c r="Q406" i="36" s="1"/>
  <c r="L179" i="36"/>
  <c r="L407" i="36" s="1"/>
  <c r="M179" i="36"/>
  <c r="M407" i="36" s="1"/>
  <c r="N179" i="36"/>
  <c r="N407" i="36" s="1"/>
  <c r="O179" i="36"/>
  <c r="O407" i="36" s="1"/>
  <c r="P179" i="36"/>
  <c r="P407" i="36" s="1"/>
  <c r="Q179" i="36"/>
  <c r="Q407" i="36" s="1"/>
  <c r="L180" i="36"/>
  <c r="L408" i="36" s="1"/>
  <c r="M180" i="36"/>
  <c r="M408" i="36" s="1"/>
  <c r="N180" i="36"/>
  <c r="N408" i="36" s="1"/>
  <c r="O180" i="36"/>
  <c r="O408" i="36" s="1"/>
  <c r="P180" i="36"/>
  <c r="P408" i="36" s="1"/>
  <c r="Q180" i="36"/>
  <c r="Q408" i="36" s="1"/>
  <c r="L181" i="36"/>
  <c r="L409" i="36" s="1"/>
  <c r="M181" i="36"/>
  <c r="M409" i="36" s="1"/>
  <c r="N181" i="36"/>
  <c r="N409" i="36" s="1"/>
  <c r="O181" i="36"/>
  <c r="O409" i="36" s="1"/>
  <c r="P181" i="36"/>
  <c r="P409" i="36" s="1"/>
  <c r="Q181" i="36"/>
  <c r="Q409" i="36" s="1"/>
  <c r="Q177" i="36"/>
  <c r="Q405" i="36" s="1"/>
  <c r="P177" i="36"/>
  <c r="P405" i="36" s="1"/>
  <c r="O177" i="36"/>
  <c r="O405" i="36" s="1"/>
  <c r="N177" i="36"/>
  <c r="N405" i="36" s="1"/>
  <c r="M177" i="36"/>
  <c r="M405" i="36" s="1"/>
  <c r="L177" i="36"/>
  <c r="L405" i="36" s="1"/>
  <c r="Q176" i="36"/>
  <c r="Q404" i="36" s="1"/>
  <c r="P176" i="36"/>
  <c r="P404" i="36" s="1"/>
  <c r="O176" i="36"/>
  <c r="O404" i="36" s="1"/>
  <c r="N176" i="36"/>
  <c r="N404" i="36" s="1"/>
  <c r="M176" i="36"/>
  <c r="M404" i="36" s="1"/>
  <c r="L176" i="36"/>
  <c r="L404" i="36" s="1"/>
  <c r="Q175" i="36"/>
  <c r="Q403" i="36" s="1"/>
  <c r="P175" i="36"/>
  <c r="P403" i="36" s="1"/>
  <c r="O175" i="36"/>
  <c r="O403" i="36" s="1"/>
  <c r="N175" i="36"/>
  <c r="N403" i="36" s="1"/>
  <c r="M175" i="36"/>
  <c r="M403" i="36" s="1"/>
  <c r="L175" i="36"/>
  <c r="L403" i="36" s="1"/>
  <c r="Q168" i="36"/>
  <c r="P168" i="36"/>
  <c r="O168" i="36"/>
  <c r="N168" i="36"/>
  <c r="M168" i="36"/>
  <c r="L168" i="36"/>
  <c r="Q167" i="36"/>
  <c r="Q395" i="36" s="1"/>
  <c r="P167" i="36"/>
  <c r="P395" i="36" s="1"/>
  <c r="O167" i="36"/>
  <c r="O395" i="36" s="1"/>
  <c r="N167" i="36"/>
  <c r="N395" i="36" s="1"/>
  <c r="M167" i="36"/>
  <c r="M395" i="36" s="1"/>
  <c r="L167" i="36"/>
  <c r="L395" i="36" s="1"/>
  <c r="Q166" i="36"/>
  <c r="Q394" i="36" s="1"/>
  <c r="P166" i="36"/>
  <c r="P394" i="36" s="1"/>
  <c r="O166" i="36"/>
  <c r="O394" i="36" s="1"/>
  <c r="N166" i="36"/>
  <c r="N394" i="36" s="1"/>
  <c r="M166" i="36"/>
  <c r="M394" i="36" s="1"/>
  <c r="L166" i="36"/>
  <c r="L394" i="36" s="1"/>
  <c r="M157" i="36"/>
  <c r="M385" i="36" s="1"/>
  <c r="N157" i="36"/>
  <c r="N385" i="36" s="1"/>
  <c r="O157" i="36"/>
  <c r="O385" i="36" s="1"/>
  <c r="P157" i="36"/>
  <c r="P385" i="36" s="1"/>
  <c r="Q157" i="36"/>
  <c r="Q385" i="36" s="1"/>
  <c r="M158" i="36"/>
  <c r="M386" i="36" s="1"/>
  <c r="N158" i="36"/>
  <c r="N386" i="36" s="1"/>
  <c r="O158" i="36"/>
  <c r="O386" i="36" s="1"/>
  <c r="P158" i="36"/>
  <c r="P386" i="36" s="1"/>
  <c r="Q158" i="36"/>
  <c r="Q386" i="36" s="1"/>
  <c r="M159" i="36"/>
  <c r="M387" i="36" s="1"/>
  <c r="N159" i="36"/>
  <c r="N387" i="36" s="1"/>
  <c r="O159" i="36"/>
  <c r="O387" i="36" s="1"/>
  <c r="P159" i="36"/>
  <c r="P387" i="36" s="1"/>
  <c r="Q159" i="36"/>
  <c r="Q387" i="36" s="1"/>
  <c r="L159" i="36"/>
  <c r="L387" i="36" s="1"/>
  <c r="L158" i="36"/>
  <c r="L386" i="36" s="1"/>
  <c r="L157" i="36"/>
  <c r="L385" i="36" s="1"/>
  <c r="Q153" i="36"/>
  <c r="Q381" i="36" s="1"/>
  <c r="Q152" i="36"/>
  <c r="Q380" i="36" s="1"/>
  <c r="Q151" i="36"/>
  <c r="Q379" i="36" s="1"/>
  <c r="P153" i="36"/>
  <c r="P381" i="36" s="1"/>
  <c r="P152" i="36"/>
  <c r="P380" i="36" s="1"/>
  <c r="P151" i="36"/>
  <c r="P379" i="36" s="1"/>
  <c r="N153" i="36"/>
  <c r="N381" i="36" s="1"/>
  <c r="N152" i="36"/>
  <c r="N380" i="36" s="1"/>
  <c r="N151" i="36"/>
  <c r="N379" i="36" s="1"/>
  <c r="L153" i="36"/>
  <c r="L381" i="36" s="1"/>
  <c r="L152" i="36"/>
  <c r="L380" i="36" s="1"/>
  <c r="L151" i="36"/>
  <c r="L379" i="36" s="1"/>
  <c r="O147" i="36"/>
  <c r="O381" i="36" s="1"/>
  <c r="O146" i="36"/>
  <c r="O380" i="36" s="1"/>
  <c r="O145" i="36"/>
  <c r="O379" i="36" s="1"/>
  <c r="M147" i="36"/>
  <c r="M381" i="36" s="1"/>
  <c r="M146" i="36"/>
  <c r="M380" i="36" s="1"/>
  <c r="M145" i="36"/>
  <c r="M379" i="36" s="1"/>
  <c r="O141" i="36"/>
  <c r="O375" i="36" s="1"/>
  <c r="O140" i="36"/>
  <c r="O374" i="36" s="1"/>
  <c r="O139" i="36"/>
  <c r="O373" i="36" s="1"/>
  <c r="M141" i="36"/>
  <c r="M375" i="36" s="1"/>
  <c r="M140" i="36"/>
  <c r="M374" i="36" s="1"/>
  <c r="M139" i="36"/>
  <c r="M373" i="36" s="1"/>
  <c r="Q132" i="36"/>
  <c r="Q366" i="36" s="1"/>
  <c r="P132" i="36"/>
  <c r="P366" i="36" s="1"/>
  <c r="O132" i="36"/>
  <c r="O366" i="36" s="1"/>
  <c r="N132" i="36"/>
  <c r="N366" i="36" s="1"/>
  <c r="M132" i="36"/>
  <c r="M366" i="36" s="1"/>
  <c r="L132" i="36"/>
  <c r="L366" i="36" s="1"/>
  <c r="Q131" i="36"/>
  <c r="Q365" i="36" s="1"/>
  <c r="P131" i="36"/>
  <c r="P365" i="36" s="1"/>
  <c r="O131" i="36"/>
  <c r="O365" i="36" s="1"/>
  <c r="N131" i="36"/>
  <c r="N365" i="36" s="1"/>
  <c r="M131" i="36"/>
  <c r="M365" i="36" s="1"/>
  <c r="L131" i="36"/>
  <c r="L365" i="36" s="1"/>
  <c r="Q127" i="36"/>
  <c r="Q361" i="36" s="1"/>
  <c r="P127" i="36"/>
  <c r="P361" i="36" s="1"/>
  <c r="O127" i="36"/>
  <c r="O361" i="36" s="1"/>
  <c r="N127" i="36"/>
  <c r="N361" i="36" s="1"/>
  <c r="M127" i="36"/>
  <c r="M361" i="36" s="1"/>
  <c r="L127" i="36"/>
  <c r="L361" i="36" s="1"/>
  <c r="Q126" i="36"/>
  <c r="Q360" i="36" s="1"/>
  <c r="P126" i="36"/>
  <c r="P360" i="36" s="1"/>
  <c r="O126" i="36"/>
  <c r="O360" i="36" s="1"/>
  <c r="N126" i="36"/>
  <c r="N360" i="36" s="1"/>
  <c r="M126" i="36"/>
  <c r="M360" i="36" s="1"/>
  <c r="L126" i="36"/>
  <c r="L360" i="36" s="1"/>
  <c r="Q122" i="36"/>
  <c r="Q356" i="36" s="1"/>
  <c r="P122" i="36"/>
  <c r="P356" i="36" s="1"/>
  <c r="O122" i="36"/>
  <c r="O356" i="36" s="1"/>
  <c r="N122" i="36"/>
  <c r="N356" i="36" s="1"/>
  <c r="M122" i="36"/>
  <c r="M356" i="36" s="1"/>
  <c r="L122" i="36"/>
  <c r="L356" i="36" s="1"/>
  <c r="Q121" i="36"/>
  <c r="Q355" i="36" s="1"/>
  <c r="P121" i="36"/>
  <c r="P355" i="36" s="1"/>
  <c r="O121" i="36"/>
  <c r="O355" i="36" s="1"/>
  <c r="N121" i="36"/>
  <c r="N355" i="36" s="1"/>
  <c r="M121" i="36"/>
  <c r="M355" i="36" s="1"/>
  <c r="L121" i="36"/>
  <c r="L355" i="36" s="1"/>
  <c r="Q117" i="36"/>
  <c r="Q351" i="36" s="1"/>
  <c r="P117" i="36"/>
  <c r="P351" i="36" s="1"/>
  <c r="O117" i="36"/>
  <c r="O351" i="36" s="1"/>
  <c r="N117" i="36"/>
  <c r="N351" i="36" s="1"/>
  <c r="M117" i="36"/>
  <c r="M351" i="36" s="1"/>
  <c r="L117" i="36"/>
  <c r="L351" i="36" s="1"/>
  <c r="Q116" i="36"/>
  <c r="Q350" i="36" s="1"/>
  <c r="P116" i="36"/>
  <c r="P350" i="36" s="1"/>
  <c r="O116" i="36"/>
  <c r="O350" i="36" s="1"/>
  <c r="N116" i="36"/>
  <c r="N350" i="36" s="1"/>
  <c r="M116" i="36"/>
  <c r="M350" i="36" s="1"/>
  <c r="L116" i="36"/>
  <c r="L350" i="36" s="1"/>
  <c r="Q112" i="36"/>
  <c r="Q346" i="36" s="1"/>
  <c r="P112" i="36"/>
  <c r="P346" i="36" s="1"/>
  <c r="O112" i="36"/>
  <c r="O346" i="36" s="1"/>
  <c r="N112" i="36"/>
  <c r="N346" i="36" s="1"/>
  <c r="M112" i="36"/>
  <c r="M346" i="36" s="1"/>
  <c r="L112" i="36"/>
  <c r="L346" i="36" s="1"/>
  <c r="Q111" i="36"/>
  <c r="Q345" i="36" s="1"/>
  <c r="P111" i="36"/>
  <c r="P345" i="36" s="1"/>
  <c r="O111" i="36"/>
  <c r="O345" i="36" s="1"/>
  <c r="N111" i="36"/>
  <c r="N345" i="36" s="1"/>
  <c r="M111" i="36"/>
  <c r="M345" i="36" s="1"/>
  <c r="L111" i="36"/>
  <c r="L345" i="36" s="1"/>
  <c r="M106" i="36"/>
  <c r="M340" i="36" s="1"/>
  <c r="N106" i="36"/>
  <c r="N340" i="36" s="1"/>
  <c r="O106" i="36"/>
  <c r="O340" i="36" s="1"/>
  <c r="P106" i="36"/>
  <c r="P340" i="36" s="1"/>
  <c r="Q106" i="36"/>
  <c r="Q340" i="36" s="1"/>
  <c r="M107" i="36"/>
  <c r="M341" i="36" s="1"/>
  <c r="N107" i="36"/>
  <c r="N341" i="36" s="1"/>
  <c r="O107" i="36"/>
  <c r="O341" i="36" s="1"/>
  <c r="P107" i="36"/>
  <c r="P341" i="36" s="1"/>
  <c r="Q107" i="36"/>
  <c r="Q341" i="36" s="1"/>
  <c r="L107" i="36"/>
  <c r="L341" i="36" s="1"/>
  <c r="L106" i="36"/>
  <c r="L340" i="36" s="1"/>
  <c r="O186" i="39"/>
  <c r="N186" i="39"/>
  <c r="M186" i="39"/>
  <c r="L186" i="39"/>
  <c r="K186" i="39"/>
  <c r="J186" i="39"/>
  <c r="O185" i="39"/>
  <c r="N185" i="39"/>
  <c r="M185" i="39"/>
  <c r="L185" i="39"/>
  <c r="K185" i="39"/>
  <c r="J185" i="39"/>
  <c r="O184" i="39"/>
  <c r="N184" i="39"/>
  <c r="M184" i="39"/>
  <c r="L184" i="39"/>
  <c r="K184" i="39"/>
  <c r="J184" i="39"/>
  <c r="O183" i="39"/>
  <c r="N183" i="39"/>
  <c r="M183" i="39"/>
  <c r="L183" i="39"/>
  <c r="K183" i="39"/>
  <c r="J183" i="39"/>
  <c r="O174" i="39"/>
  <c r="N174" i="39"/>
  <c r="M174" i="39"/>
  <c r="L174" i="39"/>
  <c r="K174" i="39"/>
  <c r="J174" i="39"/>
  <c r="O173" i="39"/>
  <c r="N173" i="39"/>
  <c r="M173" i="39"/>
  <c r="L173" i="39"/>
  <c r="K173" i="39"/>
  <c r="J173" i="39"/>
  <c r="O168" i="39"/>
  <c r="N168" i="39"/>
  <c r="M168" i="39"/>
  <c r="L168" i="39"/>
  <c r="K168" i="39"/>
  <c r="J168" i="39"/>
  <c r="O167" i="39"/>
  <c r="N167" i="39"/>
  <c r="M167" i="39"/>
  <c r="L167" i="39"/>
  <c r="K167" i="39"/>
  <c r="J167" i="39"/>
  <c r="O166" i="39"/>
  <c r="N166" i="39"/>
  <c r="M166" i="39"/>
  <c r="L166" i="39"/>
  <c r="K166" i="39"/>
  <c r="J166" i="39"/>
  <c r="O165" i="39"/>
  <c r="N165" i="39"/>
  <c r="M165" i="39"/>
  <c r="L165" i="39"/>
  <c r="K165" i="39"/>
  <c r="J165" i="39"/>
  <c r="O164" i="39"/>
  <c r="N164" i="39"/>
  <c r="M164" i="39"/>
  <c r="L164" i="39"/>
  <c r="K164" i="39"/>
  <c r="J164" i="39"/>
  <c r="O163" i="39"/>
  <c r="N163" i="39"/>
  <c r="M163" i="39"/>
  <c r="L163" i="39"/>
  <c r="K163" i="39"/>
  <c r="J163" i="39"/>
  <c r="O162" i="39"/>
  <c r="N162" i="39"/>
  <c r="M162" i="39"/>
  <c r="L162" i="39"/>
  <c r="K162" i="39"/>
  <c r="J162" i="39"/>
  <c r="O159" i="39"/>
  <c r="N159" i="39"/>
  <c r="M159" i="39"/>
  <c r="L159" i="39"/>
  <c r="K159" i="39"/>
  <c r="J159" i="39"/>
  <c r="O158" i="39"/>
  <c r="N158" i="39"/>
  <c r="M158" i="39"/>
  <c r="L158" i="39"/>
  <c r="K158" i="39"/>
  <c r="J158" i="39"/>
  <c r="O155" i="39"/>
  <c r="N155" i="39"/>
  <c r="M155" i="39"/>
  <c r="L155" i="39"/>
  <c r="K155" i="39"/>
  <c r="J155" i="39"/>
  <c r="O154" i="39"/>
  <c r="N154" i="39"/>
  <c r="M154" i="39"/>
  <c r="L154" i="39"/>
  <c r="K154" i="39"/>
  <c r="J154" i="39"/>
  <c r="O153" i="39"/>
  <c r="N153" i="39"/>
  <c r="M153" i="39"/>
  <c r="L153" i="39"/>
  <c r="K153" i="39"/>
  <c r="J153" i="39"/>
  <c r="O152" i="39"/>
  <c r="N152" i="39"/>
  <c r="M152" i="39"/>
  <c r="L152" i="39"/>
  <c r="K152" i="39"/>
  <c r="J152" i="39"/>
  <c r="O146" i="39"/>
  <c r="N146" i="39"/>
  <c r="M146" i="39"/>
  <c r="L146" i="39"/>
  <c r="K146" i="39"/>
  <c r="J146" i="39"/>
  <c r="O145" i="39"/>
  <c r="N145" i="39"/>
  <c r="M145" i="39"/>
  <c r="L145" i="39"/>
  <c r="K145" i="39"/>
  <c r="J145" i="39"/>
  <c r="O144" i="39"/>
  <c r="N144" i="39"/>
  <c r="M144" i="39"/>
  <c r="L144" i="39"/>
  <c r="K144" i="39"/>
  <c r="J144" i="39"/>
  <c r="O143" i="39"/>
  <c r="N143" i="39"/>
  <c r="M143" i="39"/>
  <c r="L143" i="39"/>
  <c r="K143" i="39"/>
  <c r="J143" i="39"/>
  <c r="O140" i="39"/>
  <c r="N140" i="39"/>
  <c r="M140" i="39"/>
  <c r="L140" i="39"/>
  <c r="K140" i="39"/>
  <c r="J140" i="39"/>
  <c r="O139" i="39"/>
  <c r="N139" i="39"/>
  <c r="M139" i="39"/>
  <c r="L139" i="39"/>
  <c r="K139" i="39"/>
  <c r="J139" i="39"/>
  <c r="O138" i="39"/>
  <c r="N138" i="39"/>
  <c r="M138" i="39"/>
  <c r="L138" i="39"/>
  <c r="K138" i="39"/>
  <c r="J138" i="39"/>
  <c r="O137" i="39"/>
  <c r="N137" i="39"/>
  <c r="M137" i="39"/>
  <c r="L137" i="39"/>
  <c r="K137" i="39"/>
  <c r="J137" i="39"/>
  <c r="O134" i="39"/>
  <c r="N134" i="39"/>
  <c r="M134" i="39"/>
  <c r="L134" i="39"/>
  <c r="K134" i="39"/>
  <c r="J134" i="39"/>
  <c r="O133" i="39"/>
  <c r="N133" i="39"/>
  <c r="M133" i="39"/>
  <c r="L133" i="39"/>
  <c r="K133" i="39"/>
  <c r="J133" i="39"/>
  <c r="O132" i="39"/>
  <c r="N132" i="39"/>
  <c r="M132" i="39"/>
  <c r="L132" i="39"/>
  <c r="K132" i="39"/>
  <c r="J132" i="39"/>
  <c r="O131" i="39"/>
  <c r="N131" i="39"/>
  <c r="M131" i="39"/>
  <c r="L131" i="39"/>
  <c r="K131" i="39"/>
  <c r="J131" i="39"/>
  <c r="O125" i="39"/>
  <c r="N125" i="39"/>
  <c r="M125" i="39"/>
  <c r="L125" i="39"/>
  <c r="K125" i="39"/>
  <c r="J125" i="39"/>
  <c r="O124" i="39"/>
  <c r="N124" i="39"/>
  <c r="M124" i="39"/>
  <c r="L124" i="39"/>
  <c r="K124" i="39"/>
  <c r="J124" i="39"/>
  <c r="O123" i="39"/>
  <c r="N123" i="39"/>
  <c r="M123" i="39"/>
  <c r="L123" i="39"/>
  <c r="K123" i="39"/>
  <c r="J123" i="39"/>
  <c r="O120" i="39"/>
  <c r="N120" i="39"/>
  <c r="M120" i="39"/>
  <c r="L120" i="39"/>
  <c r="K120" i="39"/>
  <c r="J120" i="39"/>
  <c r="O119" i="39"/>
  <c r="N119" i="39"/>
  <c r="M119" i="39"/>
  <c r="L119" i="39"/>
  <c r="K119" i="39"/>
  <c r="J119" i="39"/>
  <c r="O118" i="39"/>
  <c r="N118" i="39"/>
  <c r="M118" i="39"/>
  <c r="L118" i="39"/>
  <c r="K118" i="39"/>
  <c r="J118" i="39"/>
  <c r="O115" i="39"/>
  <c r="N115" i="39"/>
  <c r="M115" i="39"/>
  <c r="L115" i="39"/>
  <c r="K115" i="39"/>
  <c r="J115" i="39"/>
  <c r="O114" i="39"/>
  <c r="N114" i="39"/>
  <c r="M114" i="39"/>
  <c r="L114" i="39"/>
  <c r="K114" i="39"/>
  <c r="J114" i="39"/>
  <c r="O113" i="39"/>
  <c r="N113" i="39"/>
  <c r="M113" i="39"/>
  <c r="L113" i="39"/>
  <c r="K113" i="39"/>
  <c r="J113" i="39"/>
  <c r="O110" i="39"/>
  <c r="N110" i="39"/>
  <c r="M110" i="39"/>
  <c r="L110" i="39"/>
  <c r="K110" i="39"/>
  <c r="J110" i="39"/>
  <c r="O109" i="39"/>
  <c r="N109" i="39"/>
  <c r="M109" i="39"/>
  <c r="L109" i="39"/>
  <c r="K109" i="39"/>
  <c r="J109" i="39"/>
  <c r="O108" i="39"/>
  <c r="N108" i="39"/>
  <c r="M108" i="39"/>
  <c r="L108" i="39"/>
  <c r="K108" i="39"/>
  <c r="J108" i="39"/>
  <c r="O105" i="39"/>
  <c r="N105" i="39"/>
  <c r="M105" i="39"/>
  <c r="L105" i="39"/>
  <c r="K105" i="39"/>
  <c r="J105" i="39"/>
  <c r="O104" i="39"/>
  <c r="N104" i="39"/>
  <c r="M104" i="39"/>
  <c r="L104" i="39"/>
  <c r="K104" i="39"/>
  <c r="J104" i="39"/>
  <c r="O103" i="39"/>
  <c r="N103" i="39"/>
  <c r="M103" i="39"/>
  <c r="L103" i="39"/>
  <c r="K103" i="39"/>
  <c r="J103" i="39"/>
  <c r="O100" i="39"/>
  <c r="N100" i="39"/>
  <c r="M100" i="39"/>
  <c r="L100" i="39"/>
  <c r="K100" i="39"/>
  <c r="J100" i="39"/>
  <c r="O99" i="39"/>
  <c r="N99" i="39"/>
  <c r="M99" i="39"/>
  <c r="L99" i="39"/>
  <c r="K99" i="39"/>
  <c r="J99" i="39"/>
  <c r="O98" i="39"/>
  <c r="N98" i="39"/>
  <c r="M98" i="39"/>
  <c r="L98" i="39"/>
  <c r="K98" i="39"/>
  <c r="J98" i="39"/>
  <c r="O91" i="39"/>
  <c r="N91" i="39"/>
  <c r="M91" i="39"/>
  <c r="L91" i="39"/>
  <c r="K91" i="39"/>
  <c r="J91" i="39"/>
  <c r="O90" i="39"/>
  <c r="N90" i="39"/>
  <c r="M90" i="39"/>
  <c r="L90" i="39"/>
  <c r="K90" i="39"/>
  <c r="J90" i="39"/>
  <c r="O85" i="39"/>
  <c r="N85" i="39"/>
  <c r="M85" i="39"/>
  <c r="L85" i="39"/>
  <c r="K85" i="39"/>
  <c r="J85" i="39"/>
  <c r="O84" i="39"/>
  <c r="N84" i="39"/>
  <c r="M84" i="39"/>
  <c r="L84" i="39"/>
  <c r="K84" i="39"/>
  <c r="J84" i="39"/>
  <c r="O83" i="39"/>
  <c r="N83" i="39"/>
  <c r="M83" i="39"/>
  <c r="L83" i="39"/>
  <c r="K83" i="39"/>
  <c r="J83" i="39"/>
  <c r="O82" i="39"/>
  <c r="N82" i="39"/>
  <c r="M82" i="39"/>
  <c r="L82" i="39"/>
  <c r="K82" i="39"/>
  <c r="J82" i="39"/>
  <c r="O81" i="39"/>
  <c r="N81" i="39"/>
  <c r="M81" i="39"/>
  <c r="L81" i="39"/>
  <c r="K81" i="39"/>
  <c r="J81" i="39"/>
  <c r="O80" i="39"/>
  <c r="N80" i="39"/>
  <c r="M80" i="39"/>
  <c r="L80" i="39"/>
  <c r="K80" i="39"/>
  <c r="J80" i="39"/>
  <c r="O79" i="39"/>
  <c r="N79" i="39"/>
  <c r="M79" i="39"/>
  <c r="L79" i="39"/>
  <c r="K79" i="39"/>
  <c r="J79" i="39"/>
  <c r="O76" i="39"/>
  <c r="N76" i="39"/>
  <c r="M76" i="39"/>
  <c r="L76" i="39"/>
  <c r="K76" i="39"/>
  <c r="J76" i="39"/>
  <c r="O75" i="39"/>
  <c r="N75" i="39"/>
  <c r="M75" i="39"/>
  <c r="L75" i="39"/>
  <c r="K75" i="39"/>
  <c r="J75" i="39"/>
  <c r="O72" i="39"/>
  <c r="N72" i="39"/>
  <c r="M72" i="39"/>
  <c r="L72" i="39"/>
  <c r="K72" i="39"/>
  <c r="J72" i="39"/>
  <c r="O71" i="39"/>
  <c r="N71" i="39"/>
  <c r="M71" i="39"/>
  <c r="L71" i="39"/>
  <c r="K71" i="39"/>
  <c r="J71" i="39"/>
  <c r="O70" i="39"/>
  <c r="N70" i="39"/>
  <c r="M70" i="39"/>
  <c r="L70" i="39"/>
  <c r="K70" i="39"/>
  <c r="J70" i="39"/>
  <c r="O69" i="39"/>
  <c r="N69" i="39"/>
  <c r="M69" i="39"/>
  <c r="L69" i="39"/>
  <c r="K69" i="39"/>
  <c r="J69" i="39"/>
  <c r="O63" i="39"/>
  <c r="N63" i="39"/>
  <c r="M63" i="39"/>
  <c r="L63" i="39"/>
  <c r="K63" i="39"/>
  <c r="J63" i="39"/>
  <c r="O62" i="39"/>
  <c r="N62" i="39"/>
  <c r="M62" i="39"/>
  <c r="L62" i="39"/>
  <c r="K62" i="39"/>
  <c r="J62" i="39"/>
  <c r="O61" i="39"/>
  <c r="N61" i="39"/>
  <c r="M61" i="39"/>
  <c r="L61" i="39"/>
  <c r="K61" i="39"/>
  <c r="J61" i="39"/>
  <c r="O60" i="39"/>
  <c r="N60" i="39"/>
  <c r="M60" i="39"/>
  <c r="L60" i="39"/>
  <c r="K60" i="39"/>
  <c r="J60" i="39"/>
  <c r="O57" i="39"/>
  <c r="N57" i="39"/>
  <c r="M57" i="39"/>
  <c r="L57" i="39"/>
  <c r="K57" i="39"/>
  <c r="J57" i="39"/>
  <c r="O56" i="39"/>
  <c r="N56" i="39"/>
  <c r="M56" i="39"/>
  <c r="L56" i="39"/>
  <c r="K56" i="39"/>
  <c r="J56" i="39"/>
  <c r="O55" i="39"/>
  <c r="N55" i="39"/>
  <c r="M55" i="39"/>
  <c r="L55" i="39"/>
  <c r="K55" i="39"/>
  <c r="J55" i="39"/>
  <c r="O54" i="39"/>
  <c r="N54" i="39"/>
  <c r="M54" i="39"/>
  <c r="L54" i="39"/>
  <c r="K54" i="39"/>
  <c r="J54" i="39"/>
  <c r="O51" i="39"/>
  <c r="N51" i="39"/>
  <c r="M51" i="39"/>
  <c r="L51" i="39"/>
  <c r="K51" i="39"/>
  <c r="J51" i="39"/>
  <c r="O50" i="39"/>
  <c r="N50" i="39"/>
  <c r="M50" i="39"/>
  <c r="L50" i="39"/>
  <c r="K50" i="39"/>
  <c r="J50" i="39"/>
  <c r="O49" i="39"/>
  <c r="N49" i="39"/>
  <c r="M49" i="39"/>
  <c r="L49" i="39"/>
  <c r="K49" i="39"/>
  <c r="J49" i="39"/>
  <c r="O48" i="39"/>
  <c r="N48" i="39"/>
  <c r="M48" i="39"/>
  <c r="L48" i="39"/>
  <c r="K48" i="39"/>
  <c r="J48" i="39"/>
  <c r="O42" i="39"/>
  <c r="N42" i="39"/>
  <c r="M42" i="39"/>
  <c r="L42" i="39"/>
  <c r="K42" i="39"/>
  <c r="J42" i="39"/>
  <c r="O41" i="39"/>
  <c r="N41" i="39"/>
  <c r="M41" i="39"/>
  <c r="L41" i="39"/>
  <c r="K41" i="39"/>
  <c r="J41" i="39"/>
  <c r="O40" i="39"/>
  <c r="N40" i="39"/>
  <c r="M40" i="39"/>
  <c r="L40" i="39"/>
  <c r="K40" i="39"/>
  <c r="J40" i="39"/>
  <c r="O37" i="39"/>
  <c r="N37" i="39"/>
  <c r="M37" i="39"/>
  <c r="L37" i="39"/>
  <c r="K37" i="39"/>
  <c r="J37" i="39"/>
  <c r="O36" i="39"/>
  <c r="N36" i="39"/>
  <c r="M36" i="39"/>
  <c r="L36" i="39"/>
  <c r="K36" i="39"/>
  <c r="J36" i="39"/>
  <c r="O35" i="39"/>
  <c r="N35" i="39"/>
  <c r="M35" i="39"/>
  <c r="L35" i="39"/>
  <c r="K35" i="39"/>
  <c r="J35" i="39"/>
  <c r="O32" i="39"/>
  <c r="N32" i="39"/>
  <c r="M32" i="39"/>
  <c r="L32" i="39"/>
  <c r="K32" i="39"/>
  <c r="J32" i="39"/>
  <c r="O31" i="39"/>
  <c r="N31" i="39"/>
  <c r="M31" i="39"/>
  <c r="L31" i="39"/>
  <c r="K31" i="39"/>
  <c r="J31" i="39"/>
  <c r="O30" i="39"/>
  <c r="N30" i="39"/>
  <c r="M30" i="39"/>
  <c r="L30" i="39"/>
  <c r="K30" i="39"/>
  <c r="J30" i="39"/>
  <c r="O27" i="39"/>
  <c r="N27" i="39"/>
  <c r="M27" i="39"/>
  <c r="L27" i="39"/>
  <c r="K27" i="39"/>
  <c r="J27" i="39"/>
  <c r="O26" i="39"/>
  <c r="N26" i="39"/>
  <c r="M26" i="39"/>
  <c r="L26" i="39"/>
  <c r="K26" i="39"/>
  <c r="J26" i="39"/>
  <c r="O25" i="39"/>
  <c r="N25" i="39"/>
  <c r="M25" i="39"/>
  <c r="L25" i="39"/>
  <c r="K25" i="39"/>
  <c r="J25" i="39"/>
  <c r="O22" i="39"/>
  <c r="N22" i="39"/>
  <c r="M22" i="39"/>
  <c r="L22" i="39"/>
  <c r="K22" i="39"/>
  <c r="J22" i="39"/>
  <c r="O21" i="39"/>
  <c r="N21" i="39"/>
  <c r="M21" i="39"/>
  <c r="L21" i="39"/>
  <c r="K21" i="39"/>
  <c r="J21" i="39"/>
  <c r="O20" i="39"/>
  <c r="N20" i="39"/>
  <c r="M20" i="39"/>
  <c r="L20" i="39"/>
  <c r="K20" i="39"/>
  <c r="J20" i="39"/>
  <c r="O17" i="39"/>
  <c r="N17" i="39"/>
  <c r="M17" i="39"/>
  <c r="L17" i="39"/>
  <c r="K17" i="39"/>
  <c r="J17" i="39"/>
  <c r="O16" i="39"/>
  <c r="N16" i="39"/>
  <c r="M16" i="39"/>
  <c r="L16" i="39"/>
  <c r="K16" i="39"/>
  <c r="J16" i="39"/>
  <c r="O15" i="39"/>
  <c r="N15" i="39"/>
  <c r="M15" i="39"/>
  <c r="L15" i="39"/>
  <c r="K15" i="39"/>
  <c r="J15" i="39"/>
  <c r="J97" i="40"/>
  <c r="J96" i="40"/>
  <c r="J91" i="40"/>
  <c r="J90" i="40"/>
  <c r="J89" i="40"/>
  <c r="J88" i="40"/>
  <c r="J87" i="40"/>
  <c r="J86" i="40"/>
  <c r="J85" i="40"/>
  <c r="J82" i="40"/>
  <c r="J81" i="40"/>
  <c r="J78" i="40"/>
  <c r="J77" i="40"/>
  <c r="J76" i="40"/>
  <c r="J75" i="40"/>
  <c r="J69" i="40"/>
  <c r="J68" i="40"/>
  <c r="J67" i="40"/>
  <c r="J66" i="40"/>
  <c r="J63" i="40"/>
  <c r="J62" i="40"/>
  <c r="J61" i="40"/>
  <c r="J60" i="40"/>
  <c r="J57" i="40"/>
  <c r="J56" i="40"/>
  <c r="J55" i="40"/>
  <c r="J54" i="40"/>
  <c r="J51" i="40"/>
  <c r="J50" i="40"/>
  <c r="J49" i="40"/>
  <c r="J48" i="40"/>
  <c r="J42" i="40"/>
  <c r="J41" i="40"/>
  <c r="J40" i="40"/>
  <c r="J37" i="40"/>
  <c r="J36" i="40"/>
  <c r="J35" i="40"/>
  <c r="J32" i="40"/>
  <c r="J31" i="40"/>
  <c r="J30" i="40"/>
  <c r="J27" i="40"/>
  <c r="J26" i="40"/>
  <c r="J25" i="40"/>
  <c r="J22" i="40"/>
  <c r="J21" i="40"/>
  <c r="J20" i="40"/>
  <c r="P49" i="41" l="1"/>
  <c r="L49" i="41"/>
  <c r="L64" i="41" s="1"/>
  <c r="N49" i="41"/>
  <c r="N64" i="41" s="1"/>
  <c r="M49" i="41"/>
  <c r="M64" i="41" s="1"/>
  <c r="O49" i="41"/>
  <c r="Q49" i="41"/>
  <c r="L193" i="39"/>
  <c r="J190" i="39"/>
  <c r="K193" i="39"/>
  <c r="O193" i="39"/>
  <c r="O64" i="41"/>
  <c r="P64" i="41"/>
  <c r="J25" i="41"/>
  <c r="J139" i="36"/>
  <c r="J147" i="36"/>
  <c r="J27" i="41"/>
  <c r="J122" i="36"/>
  <c r="J127" i="36"/>
  <c r="J132" i="36"/>
  <c r="J141" i="36"/>
  <c r="J145" i="36"/>
  <c r="J153" i="36"/>
  <c r="J159" i="36"/>
  <c r="J166" i="36"/>
  <c r="J117" i="36"/>
  <c r="J193" i="39"/>
  <c r="N193" i="39"/>
  <c r="J187" i="39"/>
  <c r="J106" i="36"/>
  <c r="J151" i="36"/>
  <c r="J157" i="36"/>
  <c r="J30" i="41"/>
  <c r="J152" i="36"/>
  <c r="M193" i="39"/>
  <c r="J111" i="36"/>
  <c r="J158" i="36"/>
  <c r="J107" i="36"/>
  <c r="J140" i="36"/>
  <c r="J168" i="36"/>
  <c r="J116" i="36"/>
  <c r="J112" i="36"/>
  <c r="J176" i="36"/>
  <c r="J186" i="36"/>
  <c r="J146" i="36"/>
  <c r="J181" i="36"/>
  <c r="J179" i="36"/>
  <c r="J121" i="36"/>
  <c r="J126" i="36"/>
  <c r="J131" i="36"/>
  <c r="J167" i="36"/>
  <c r="J175" i="36"/>
  <c r="J177" i="36"/>
  <c r="J187" i="36"/>
  <c r="J180" i="36"/>
  <c r="J178" i="36"/>
  <c r="J191" i="39"/>
  <c r="J192" i="39"/>
  <c r="O190" i="39"/>
  <c r="H15" i="39"/>
  <c r="H17" i="39"/>
  <c r="J17" i="41"/>
  <c r="J21" i="41"/>
  <c r="Q64" i="41"/>
  <c r="J24" i="41"/>
  <c r="J16" i="41"/>
  <c r="J26" i="41"/>
  <c r="J19" i="41"/>
  <c r="J18" i="41"/>
  <c r="J32" i="41"/>
  <c r="J31" i="41"/>
  <c r="J20" i="41"/>
  <c r="O270" i="39"/>
  <c r="N270" i="39"/>
  <c r="M270" i="39"/>
  <c r="L270" i="39"/>
  <c r="K270" i="39"/>
  <c r="J270" i="39"/>
  <c r="O269" i="39"/>
  <c r="N269" i="39"/>
  <c r="M269" i="39"/>
  <c r="L269" i="39"/>
  <c r="K269" i="39"/>
  <c r="J269" i="39"/>
  <c r="O263" i="39"/>
  <c r="N263" i="39"/>
  <c r="M263" i="39"/>
  <c r="L263" i="39"/>
  <c r="K263" i="39"/>
  <c r="J263" i="39"/>
  <c r="O254" i="39"/>
  <c r="N254" i="39"/>
  <c r="M254" i="39"/>
  <c r="L254" i="39"/>
  <c r="K254" i="39"/>
  <c r="J254" i="39"/>
  <c r="O248" i="39"/>
  <c r="N248" i="39"/>
  <c r="M248" i="39"/>
  <c r="L248" i="39"/>
  <c r="K248" i="39"/>
  <c r="J248" i="39"/>
  <c r="O242" i="39"/>
  <c r="N242" i="39"/>
  <c r="M242" i="39"/>
  <c r="L242" i="39"/>
  <c r="K242" i="39"/>
  <c r="J242" i="39"/>
  <c r="O234" i="39"/>
  <c r="N234" i="39"/>
  <c r="M234" i="39"/>
  <c r="L234" i="39"/>
  <c r="K234" i="39"/>
  <c r="J234" i="39"/>
  <c r="O229" i="39"/>
  <c r="N229" i="39"/>
  <c r="M229" i="39"/>
  <c r="L229" i="39"/>
  <c r="K229" i="39"/>
  <c r="J229" i="39"/>
  <c r="O224" i="39"/>
  <c r="N224" i="39"/>
  <c r="M224" i="39"/>
  <c r="L224" i="39"/>
  <c r="K224" i="39"/>
  <c r="J224" i="39"/>
  <c r="O219" i="39"/>
  <c r="N219" i="39"/>
  <c r="M219" i="39"/>
  <c r="L219" i="39"/>
  <c r="K219" i="39"/>
  <c r="J219" i="39"/>
  <c r="O214" i="39"/>
  <c r="N214" i="39"/>
  <c r="M214" i="39"/>
  <c r="L214" i="39"/>
  <c r="K214" i="39"/>
  <c r="J214" i="39"/>
  <c r="O209" i="39"/>
  <c r="N209" i="39"/>
  <c r="M209" i="39"/>
  <c r="L209" i="39"/>
  <c r="K209" i="39"/>
  <c r="J209" i="39"/>
  <c r="H91" i="39"/>
  <c r="J198" i="39" l="1"/>
  <c r="J194" i="39"/>
  <c r="H294" i="39"/>
  <c r="H75" i="39"/>
  <c r="H354" i="39" s="1"/>
  <c r="H16" i="39"/>
  <c r="H85" i="39"/>
  <c r="H42" i="39"/>
  <c r="H51" i="39"/>
  <c r="H36" i="39"/>
  <c r="H80" i="39"/>
  <c r="H37" i="39"/>
  <c r="H69" i="39"/>
  <c r="H348" i="39" s="1"/>
  <c r="H72" i="39"/>
  <c r="L187" i="39"/>
  <c r="H22" i="39"/>
  <c r="H30" i="39"/>
  <c r="H309" i="39" s="1"/>
  <c r="H56" i="39"/>
  <c r="H62" i="39"/>
  <c r="M187" i="39"/>
  <c r="H41" i="39"/>
  <c r="H54" i="39"/>
  <c r="H333" i="39" s="1"/>
  <c r="H81" i="39"/>
  <c r="H84" i="39"/>
  <c r="K187" i="39"/>
  <c r="O187" i="39"/>
  <c r="H25" i="39"/>
  <c r="H304" i="39" s="1"/>
  <c r="H31" i="39"/>
  <c r="H50" i="39"/>
  <c r="H79" i="39"/>
  <c r="H83" i="39"/>
  <c r="H21" i="39"/>
  <c r="H27" i="39"/>
  <c r="H35" i="39"/>
  <c r="H314" i="39" s="1"/>
  <c r="H48" i="39"/>
  <c r="H327" i="39" s="1"/>
  <c r="H57" i="39"/>
  <c r="H71" i="39"/>
  <c r="N187" i="39"/>
  <c r="L190" i="39"/>
  <c r="L191" i="39"/>
  <c r="K190" i="39"/>
  <c r="K191" i="39"/>
  <c r="O191" i="39"/>
  <c r="M192" i="39"/>
  <c r="H76" i="39"/>
  <c r="H90" i="39"/>
  <c r="N192" i="39"/>
  <c r="H70" i="39"/>
  <c r="O192" i="39"/>
  <c r="H61" i="39"/>
  <c r="H390" i="39" s="1"/>
  <c r="M191" i="39"/>
  <c r="M190" i="39"/>
  <c r="K192" i="39"/>
  <c r="N191" i="39"/>
  <c r="N190" i="39"/>
  <c r="H20" i="39"/>
  <c r="H26" i="39"/>
  <c r="H32" i="39"/>
  <c r="H40" i="39"/>
  <c r="L192" i="39"/>
  <c r="H49" i="39"/>
  <c r="H388" i="39" s="1"/>
  <c r="H55" i="39"/>
  <c r="H60" i="39"/>
  <c r="H63" i="39"/>
  <c r="H82" i="39"/>
  <c r="J201" i="39" l="1"/>
  <c r="H386" i="39"/>
  <c r="H385" i="39"/>
  <c r="K198" i="39"/>
  <c r="H387" i="39"/>
  <c r="O198" i="39"/>
  <c r="L198" i="39"/>
  <c r="H319" i="39"/>
  <c r="H355" i="39"/>
  <c r="H339" i="39"/>
  <c r="H299" i="39"/>
  <c r="M194" i="39"/>
  <c r="M198" i="39"/>
  <c r="N194" i="39"/>
  <c r="N198" i="39"/>
  <c r="H389" i="39"/>
  <c r="K194" i="39"/>
  <c r="L194" i="39"/>
  <c r="O194" i="39"/>
  <c r="K201" i="39" l="1"/>
  <c r="K215" i="39" s="1"/>
  <c r="O201" i="39"/>
  <c r="O243" i="39" s="1"/>
  <c r="L201" i="39"/>
  <c r="L273" i="39" s="1"/>
  <c r="J211" i="39"/>
  <c r="N201" i="39"/>
  <c r="N216" i="39" s="1"/>
  <c r="M201" i="39"/>
  <c r="M265" i="39" s="1"/>
  <c r="K216" i="39"/>
  <c r="K255" i="39"/>
  <c r="K275" i="39"/>
  <c r="K211" i="39"/>
  <c r="K286" i="39"/>
  <c r="K226" i="39"/>
  <c r="K221" i="39"/>
  <c r="K244" i="39"/>
  <c r="K279" i="39"/>
  <c r="O235" i="39"/>
  <c r="O286" i="39"/>
  <c r="O210" i="39" l="1"/>
  <c r="K265" i="39"/>
  <c r="K251" i="39"/>
  <c r="K273" i="39"/>
  <c r="K231" i="39"/>
  <c r="K257" i="39"/>
  <c r="K250" i="39"/>
  <c r="K243" i="39"/>
  <c r="K278" i="39"/>
  <c r="K285" i="39"/>
  <c r="K235" i="39"/>
  <c r="K230" i="39"/>
  <c r="O255" i="39"/>
  <c r="K245" i="39"/>
  <c r="K266" i="39"/>
  <c r="K210" i="39"/>
  <c r="K274" i="39"/>
  <c r="O245" i="39"/>
  <c r="O274" i="39"/>
  <c r="O231" i="39"/>
  <c r="O265" i="39"/>
  <c r="K256" i="39"/>
  <c r="K276" i="39"/>
  <c r="K220" i="39"/>
  <c r="K264" i="39"/>
  <c r="K225" i="39"/>
  <c r="K236" i="39"/>
  <c r="K277" i="39"/>
  <c r="K249" i="39"/>
  <c r="O226" i="39"/>
  <c r="O273" i="39"/>
  <c r="O285" i="39"/>
  <c r="O277" i="39"/>
  <c r="O250" i="39"/>
  <c r="O220" i="39"/>
  <c r="O211" i="39"/>
  <c r="O236" i="39"/>
  <c r="O279" i="39"/>
  <c r="O215" i="39"/>
  <c r="O276" i="39"/>
  <c r="O264" i="39"/>
  <c r="O225" i="39"/>
  <c r="O230" i="39"/>
  <c r="O249" i="39"/>
  <c r="O244" i="39"/>
  <c r="O251" i="39"/>
  <c r="O278" i="39"/>
  <c r="O275" i="39"/>
  <c r="O266" i="39"/>
  <c r="O216" i="39"/>
  <c r="O257" i="39"/>
  <c r="O256" i="39"/>
  <c r="O221" i="39"/>
  <c r="N226" i="39"/>
  <c r="L266" i="39"/>
  <c r="L225" i="39"/>
  <c r="L245" i="39"/>
  <c r="L276" i="39"/>
  <c r="L250" i="39"/>
  <c r="L255" i="39"/>
  <c r="L286" i="39"/>
  <c r="L251" i="39"/>
  <c r="L221" i="39"/>
  <c r="L274" i="39"/>
  <c r="L279" i="39"/>
  <c r="L216" i="39"/>
  <c r="L285" i="39"/>
  <c r="L236" i="39"/>
  <c r="L277" i="39"/>
  <c r="L278" i="39"/>
  <c r="L244" i="39"/>
  <c r="L226" i="39"/>
  <c r="L264" i="39"/>
  <c r="L256" i="39"/>
  <c r="L257" i="39"/>
  <c r="L275" i="39"/>
  <c r="L230" i="39"/>
  <c r="L215" i="39"/>
  <c r="L265" i="39"/>
  <c r="L243" i="39"/>
  <c r="L220" i="39"/>
  <c r="L231" i="39"/>
  <c r="L235" i="39"/>
  <c r="L249" i="39"/>
  <c r="L211" i="39"/>
  <c r="L210" i="39"/>
  <c r="N235" i="39"/>
  <c r="N255" i="39"/>
  <c r="J245" i="39"/>
  <c r="J230" i="39"/>
  <c r="J221" i="39"/>
  <c r="J243" i="39"/>
  <c r="J225" i="39"/>
  <c r="J216" i="39"/>
  <c r="J266" i="39"/>
  <c r="J215" i="39"/>
  <c r="J250" i="39"/>
  <c r="J274" i="39"/>
  <c r="J273" i="39"/>
  <c r="J226" i="39"/>
  <c r="J285" i="39"/>
  <c r="J286" i="39"/>
  <c r="J278" i="39"/>
  <c r="J210" i="39"/>
  <c r="J255" i="39"/>
  <c r="J279" i="39"/>
  <c r="J244" i="39"/>
  <c r="J257" i="39"/>
  <c r="J276" i="39"/>
  <c r="J220" i="39"/>
  <c r="J231" i="39"/>
  <c r="J256" i="39"/>
  <c r="J275" i="39"/>
  <c r="J264" i="39"/>
  <c r="J277" i="39"/>
  <c r="J236" i="39"/>
  <c r="J265" i="39"/>
  <c r="J235" i="39"/>
  <c r="J249" i="39"/>
  <c r="J251" i="39"/>
  <c r="N266" i="39"/>
  <c r="N250" i="39"/>
  <c r="N273" i="39"/>
  <c r="N210" i="39"/>
  <c r="N230" i="39"/>
  <c r="N211" i="39"/>
  <c r="N249" i="39"/>
  <c r="N277" i="39"/>
  <c r="N265" i="39"/>
  <c r="N286" i="39"/>
  <c r="N231" i="39"/>
  <c r="N285" i="39"/>
  <c r="N215" i="39"/>
  <c r="N221" i="39"/>
  <c r="N243" i="39"/>
  <c r="N278" i="39"/>
  <c r="N264" i="39"/>
  <c r="N236" i="39"/>
  <c r="N256" i="39"/>
  <c r="N274" i="39"/>
  <c r="N251" i="39"/>
  <c r="N275" i="39"/>
  <c r="N245" i="39"/>
  <c r="N279" i="39"/>
  <c r="N244" i="39"/>
  <c r="N257" i="39"/>
  <c r="N276" i="39"/>
  <c r="N220" i="39"/>
  <c r="N225" i="39"/>
  <c r="M215" i="39"/>
  <c r="M216" i="39"/>
  <c r="M277" i="39"/>
  <c r="M279" i="39"/>
  <c r="M257" i="39"/>
  <c r="M250" i="39"/>
  <c r="M255" i="39"/>
  <c r="M221" i="39"/>
  <c r="M276" i="39"/>
  <c r="M236" i="39"/>
  <c r="M274" i="39"/>
  <c r="M220" i="39"/>
  <c r="M273" i="39"/>
  <c r="M231" i="39"/>
  <c r="M244" i="39"/>
  <c r="M251" i="39"/>
  <c r="M264" i="39"/>
  <c r="M266" i="39"/>
  <c r="M211" i="39"/>
  <c r="M278" i="39"/>
  <c r="M285" i="39"/>
  <c r="M249" i="39"/>
  <c r="M235" i="39"/>
  <c r="M245" i="39"/>
  <c r="M225" i="39"/>
  <c r="M256" i="39"/>
  <c r="M230" i="39"/>
  <c r="M226" i="39"/>
  <c r="M243" i="39"/>
  <c r="M210" i="39"/>
  <c r="M286" i="39"/>
  <c r="M275" i="39"/>
  <c r="H359" i="39" l="1"/>
  <c r="H369" i="39"/>
  <c r="J330" i="36" s="1"/>
  <c r="H296" i="39"/>
  <c r="J257" i="36" s="1"/>
  <c r="H321" i="39"/>
  <c r="J282" i="36" s="1"/>
  <c r="H295" i="39"/>
  <c r="J256" i="36" s="1"/>
  <c r="H362" i="39"/>
  <c r="J323" i="36" s="1"/>
  <c r="H316" i="39"/>
  <c r="J277" i="36" s="1"/>
  <c r="H358" i="39"/>
  <c r="J319" i="36" s="1"/>
  <c r="H340" i="39"/>
  <c r="J301" i="36" s="1"/>
  <c r="H364" i="39"/>
  <c r="J325" i="36" s="1"/>
  <c r="H305" i="39"/>
  <c r="H370" i="39"/>
  <c r="J331" i="36" s="1"/>
  <c r="H315" i="39"/>
  <c r="H329" i="39"/>
  <c r="J290" i="36" s="1"/>
  <c r="H349" i="39"/>
  <c r="J310" i="36" s="1"/>
  <c r="H350" i="39"/>
  <c r="J311" i="36" s="1"/>
  <c r="H361" i="39"/>
  <c r="J322" i="36" s="1"/>
  <c r="H351" i="39"/>
  <c r="J312" i="36" s="1"/>
  <c r="H301" i="39"/>
  <c r="J262" i="36" s="1"/>
  <c r="H360" i="39"/>
  <c r="J321" i="36" s="1"/>
  <c r="H310" i="39"/>
  <c r="J271" i="36" s="1"/>
  <c r="H335" i="39"/>
  <c r="J296" i="36" s="1"/>
  <c r="H311" i="39"/>
  <c r="J272" i="36" s="1"/>
  <c r="H342" i="39"/>
  <c r="J303" i="36" s="1"/>
  <c r="H306" i="39"/>
  <c r="J267" i="36" s="1"/>
  <c r="H363" i="39"/>
  <c r="J324" i="36" s="1"/>
  <c r="H320" i="39"/>
  <c r="J281" i="36" s="1"/>
  <c r="H300" i="39"/>
  <c r="J261" i="36" s="1"/>
  <c r="H328" i="39"/>
  <c r="H341" i="39"/>
  <c r="J302" i="36" s="1"/>
  <c r="H334" i="39"/>
  <c r="H330" i="39"/>
  <c r="J291" i="36" s="1"/>
  <c r="J320" i="36"/>
  <c r="H336" i="39"/>
  <c r="J297" i="36" s="1"/>
  <c r="J289" i="36" l="1"/>
  <c r="H380" i="39"/>
  <c r="H396" i="39" s="1"/>
  <c r="J276" i="36"/>
  <c r="H379" i="39"/>
  <c r="H395" i="39" s="1"/>
  <c r="H382" i="39"/>
  <c r="H398" i="39" s="1"/>
  <c r="H377" i="39"/>
  <c r="H393" i="39" s="1"/>
  <c r="J295" i="36"/>
  <c r="H381" i="39"/>
  <c r="H397" i="39" s="1"/>
  <c r="J266" i="36"/>
  <c r="H378" i="39"/>
  <c r="H405" i="39" l="1"/>
  <c r="H408" i="39"/>
  <c r="H406" i="39"/>
  <c r="J356" i="36" l="1"/>
  <c r="J366" i="36"/>
  <c r="J355" i="36"/>
  <c r="J365" i="36"/>
  <c r="M421" i="36"/>
  <c r="M59" i="41" s="1"/>
  <c r="Q421" i="36"/>
  <c r="Q59" i="41" s="1"/>
  <c r="O422" i="36"/>
  <c r="O60" i="41" s="1"/>
  <c r="Q422" i="36"/>
  <c r="Q60" i="41" s="1"/>
  <c r="M422" i="36"/>
  <c r="M60" i="41" s="1"/>
  <c r="O421" i="36"/>
  <c r="O59" i="41" s="1"/>
  <c r="J381" i="36"/>
  <c r="J407" i="36"/>
  <c r="J375" i="36"/>
  <c r="J395" i="36"/>
  <c r="J405" i="36"/>
  <c r="N422" i="36"/>
  <c r="N60" i="41" s="1"/>
  <c r="J346" i="36"/>
  <c r="J409" i="36"/>
  <c r="J380" i="36" l="1"/>
  <c r="J404" i="36"/>
  <c r="J386" i="36"/>
  <c r="L422" i="36"/>
  <c r="L60" i="41" s="1"/>
  <c r="L421" i="36"/>
  <c r="L59" i="41" s="1"/>
  <c r="L419" i="36"/>
  <c r="L57" i="41" s="1"/>
  <c r="J408" i="36"/>
  <c r="J403" i="36"/>
  <c r="J385" i="36"/>
  <c r="L420" i="36"/>
  <c r="L58" i="41" s="1"/>
  <c r="J415" i="36"/>
  <c r="J361" i="36"/>
  <c r="J373" i="36"/>
  <c r="J374" i="36"/>
  <c r="J341" i="36"/>
  <c r="J345" i="36"/>
  <c r="J414" i="36"/>
  <c r="J394" i="36"/>
  <c r="J351" i="36"/>
  <c r="J406" i="36"/>
  <c r="J350" i="36"/>
  <c r="J379" i="36"/>
  <c r="J360" i="36"/>
  <c r="J387" i="36"/>
  <c r="J340" i="36"/>
  <c r="P420" i="36"/>
  <c r="P58" i="41" s="1"/>
  <c r="Q420" i="36"/>
  <c r="Q58" i="41" s="1"/>
  <c r="O420" i="36"/>
  <c r="O58" i="41" s="1"/>
  <c r="M420" i="36"/>
  <c r="M58" i="41" s="1"/>
  <c r="P421" i="36"/>
  <c r="P59" i="41" s="1"/>
  <c r="Q419" i="36"/>
  <c r="Q57" i="41" s="1"/>
  <c r="M419" i="36"/>
  <c r="M57" i="41" s="1"/>
  <c r="O419" i="36"/>
  <c r="O57" i="41" s="1"/>
  <c r="P419" i="36"/>
  <c r="P57" i="41" s="1"/>
  <c r="N420" i="36"/>
  <c r="N58" i="41" s="1"/>
  <c r="P422" i="36"/>
  <c r="P60" i="41" s="1"/>
  <c r="N419" i="36"/>
  <c r="N57" i="41" s="1"/>
  <c r="N421" i="36"/>
  <c r="N59" i="41" s="1"/>
  <c r="L66" i="41" l="1"/>
  <c r="Q66" i="41"/>
  <c r="M66" i="41" l="1"/>
  <c r="P66" i="41"/>
  <c r="O66" i="41"/>
  <c r="N66" i="41"/>
  <c r="B25" i="10" l="1"/>
  <c r="B13" i="10" l="1"/>
  <c r="B20" i="10" s="1"/>
  <c r="B14" i="10" l="1"/>
  <c r="B15" i="10" l="1"/>
  <c r="B1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9"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8" authorId="0" shapeId="0" xr:uid="{00000000-0006-0000-0600-000001000000}">
      <text>
        <r>
          <rPr>
            <b/>
            <sz val="8"/>
            <color indexed="81"/>
            <rFont val="Tahoma"/>
            <family val="2"/>
          </rPr>
          <t>Author:</t>
        </r>
        <r>
          <rPr>
            <sz val="8"/>
            <color indexed="81"/>
            <rFont val="Tahoma"/>
            <family val="2"/>
          </rPr>
          <t xml:space="preserve">
Inclusief Enduris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8" authorId="0" shapeId="0" xr:uid="{00000000-0006-0000-0700-000001000000}">
      <text>
        <r>
          <rPr>
            <b/>
            <sz val="8"/>
            <color indexed="81"/>
            <rFont val="Tahoma"/>
            <family val="2"/>
          </rPr>
          <t>Author:</t>
        </r>
        <r>
          <rPr>
            <sz val="8"/>
            <color indexed="81"/>
            <rFont val="Tahoma"/>
            <family val="2"/>
          </rPr>
          <t xml:space="preserve">
Inclusief Enduris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8" authorId="0" shapeId="0" xr:uid="{00000000-0006-0000-0800-000001000000}">
      <text>
        <r>
          <rPr>
            <b/>
            <sz val="8"/>
            <color indexed="81"/>
            <rFont val="Tahoma"/>
            <family val="2"/>
          </rPr>
          <t>Author:</t>
        </r>
        <r>
          <rPr>
            <sz val="8"/>
            <color indexed="81"/>
            <rFont val="Tahoma"/>
            <family val="2"/>
          </rPr>
          <t xml:space="preserve">
Inclusief Enduris</t>
        </r>
      </text>
    </comment>
  </commentList>
</comments>
</file>

<file path=xl/sharedStrings.xml><?xml version="1.0" encoding="utf-8"?>
<sst xmlns="http://schemas.openxmlformats.org/spreadsheetml/2006/main" count="1974" uniqueCount="342">
  <si>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</si>
  <si>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</si>
  <si>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</si>
  <si>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</si>
  <si>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</si>
  <si>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</si>
  <si>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</si>
  <si>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</si>
  <si>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</si>
  <si>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</si>
  <si>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</si>
  <si>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</si>
  <si>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</si>
  <si>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</si>
  <si>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</si>
  <si>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</si>
  <si>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</si>
  <si>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</si>
  <si>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</si>
  <si>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</si>
  <si>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</si>
  <si>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</si>
  <si>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</si>
  <si>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</si>
  <si>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</si>
  <si>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</si>
  <si>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</si>
  <si>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</si>
  <si>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</si>
  <si>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</si>
  <si>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</si>
  <si>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</si>
  <si>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</si>
  <si>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</si>
  <si>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</si>
  <si>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</si>
  <si>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</si>
  <si>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</si>
  <si>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</si>
  <si>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</si>
  <si>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</si>
  <si>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</si>
  <si>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</si>
  <si>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</si>
  <si>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</si>
  <si>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</si>
  <si>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</si>
  <si>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</si>
  <si>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</si>
  <si>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</si>
  <si>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</si>
  <si>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</si>
  <si>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</si>
  <si>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</si>
  <si>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</si>
  <si>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Grijze cijfers geven de uitkomt van een check berekening; dit is geen resultaat waarmee verder wordt gerekend</t>
  </si>
  <si>
    <t>Aanvullende gegevens bestand extern</t>
  </si>
  <si>
    <t>Datum ontvangst, versie nr., opmerkingen</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</si>
  <si>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</si>
  <si>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</si>
  <si>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</si>
  <si>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</si>
  <si>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</si>
  <si>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</si>
  <si>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</si>
  <si>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</si>
  <si>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</si>
  <si>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</si>
  <si>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</si>
  <si>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in #</t>
  </si>
  <si>
    <t>Enexis</t>
  </si>
  <si>
    <t>Liander</t>
  </si>
  <si>
    <t>RENDO</t>
  </si>
  <si>
    <t>Stedin</t>
  </si>
  <si>
    <t>Westland</t>
  </si>
  <si>
    <t>Op dit tabblad worden de rekenvolumes voor afname en invoeding opgehaald uit het SO-bestand.</t>
  </si>
  <si>
    <t>Volumes invoeding kWmax-invoedingssaldo, max</t>
  </si>
  <si>
    <t>Invoeding TS (25-50 kV)</t>
  </si>
  <si>
    <t>Invoeding Trafo HS + TS/MS</t>
  </si>
  <si>
    <t>Invoeding MS (1-20 kV) - Transport</t>
  </si>
  <si>
    <t>Afnemers MS (1-20 kV) - MS en MS-Distributie</t>
  </si>
  <si>
    <t>Invoeding Trafo MS/LS</t>
  </si>
  <si>
    <t>Inschatting van kosten voor invoeding per netvlak o.b.v. cascadering ("wegingsfactor invoeding")</t>
  </si>
  <si>
    <t>%</t>
  </si>
  <si>
    <t>Netvlakken HS en TS</t>
  </si>
  <si>
    <t>Netvlakken MS</t>
  </si>
  <si>
    <t>Netvlakken LS (incl. kleinverbruikers)</t>
  </si>
  <si>
    <t>Blindvermogen</t>
  </si>
  <si>
    <t>SO transportdienst</t>
  </si>
  <si>
    <t>Totaal invoeding over netvlakken</t>
  </si>
  <si>
    <t>SO Invoeding</t>
  </si>
  <si>
    <t>Aandeel invoeding in SO</t>
  </si>
  <si>
    <t>Vergoeding invoeding door ontwikkeling volumes TD</t>
  </si>
  <si>
    <t>Coteq</t>
  </si>
  <si>
    <t>Wegingsfactoren</t>
  </si>
  <si>
    <t>Totaal/algemeen</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</si>
  <si>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</si>
  <si>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</si>
  <si>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</si>
  <si>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</si>
  <si>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</si>
  <si>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</si>
  <si>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</si>
  <si>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</si>
  <si>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</si>
  <si>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</si>
  <si>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</si>
  <si>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</si>
  <si>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</si>
  <si>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</si>
  <si>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</si>
  <si>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</si>
  <si>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</si>
  <si>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</si>
  <si>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</si>
  <si>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</si>
  <si>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</si>
  <si>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</si>
  <si>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</si>
  <si>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</si>
  <si>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</si>
  <si>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</si>
  <si>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</si>
  <si>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t/m 1*6A op het geschakeld net</t>
  </si>
  <si>
    <t>(1) Met uitzondering van de 1*6A aansluitingen op het geschakeld net.</t>
  </si>
  <si>
    <t>D. BLINDVERMOGEN</t>
  </si>
  <si>
    <t>kVArh blindvermogen MS en hoger</t>
  </si>
  <si>
    <t>kVArh blindvermogen lager dan MS</t>
  </si>
  <si>
    <t>Correctie van tarieven voor nacalculaties</t>
  </si>
  <si>
    <t>Totaal</t>
  </si>
  <si>
    <t>Correcties te verrekenen met tarieven transportdienst en PAV</t>
  </si>
  <si>
    <t>Berekening inkomsten transportdienst (vóór correcties)</t>
  </si>
  <si>
    <t>Waarvan: vastrecht op netvlak HS en TS</t>
  </si>
  <si>
    <t>Waarvan: vastrecht op netvlak MS</t>
  </si>
  <si>
    <t>Waarvan: vastrecht op netvlak LS en kleinverbruik</t>
  </si>
  <si>
    <t>Inkomsten transportdienst exclusief vastrecht</t>
  </si>
  <si>
    <t>Berekening inkomsten PAV (vóór correcties)</t>
  </si>
  <si>
    <t>PAV (incl. meerlengte)</t>
  </si>
  <si>
    <t>Procentuele aanpassing van tarieven transportdienst (m.u.v. vastrecht)</t>
  </si>
  <si>
    <t>WEGINSGFACTOR INVOEDING TS - TRAFO MS/LS</t>
  </si>
  <si>
    <t>Inschatting totale kosten per netvlak (excl. Vastrecht en blindvermogen)</t>
  </si>
  <si>
    <t>Afnemers HS (110-150 kV), incl. max 600 uur</t>
  </si>
  <si>
    <t>Afnemers TS (25-50 kV), incl. max 600 uur</t>
  </si>
  <si>
    <t>Afnemers Trafo HS+TS/MS, incl. max 600 uur</t>
  </si>
  <si>
    <t>Afnemers MS (1-20 kV) - Distributie</t>
  </si>
  <si>
    <t>Samengestelde wegingsfactor incl. bovenliggende netvlakken</t>
  </si>
  <si>
    <t>OVERZICHT WEGINGSFACTOREN INVOEDING</t>
  </si>
  <si>
    <t>1-fase &gt;1*10A en 3-fase t/m 3*25A</t>
  </si>
  <si>
    <t>1-fase aansluitingen t/m 1*10A (1)</t>
  </si>
  <si>
    <t>Aandeel SO invoeding in SO transportdienst</t>
  </si>
  <si>
    <t>Gecorrigeerde tarieven TD voor berekening wegingsfactoren</t>
  </si>
  <si>
    <t>Rekenvolumes REG2022</t>
  </si>
  <si>
    <t>Samengestelde output 2022</t>
  </si>
  <si>
    <t>SO transportdienst - voor herschaling</t>
  </si>
  <si>
    <t>SO Invoeding - voor herschaling</t>
  </si>
  <si>
    <t>Gerealiseerde volumes invoeding 2022</t>
  </si>
  <si>
    <t>Ophalen tarieven TD 2022</t>
  </si>
  <si>
    <t>Lokale heffingen 2020</t>
  </si>
  <si>
    <t>Inkoopkosten transport 2020</t>
  </si>
  <si>
    <t>Nacalculatie verrekening RENDO 2020</t>
  </si>
  <si>
    <t>Aangepaste wegingsfactoren transportdienst 2022</t>
  </si>
  <si>
    <t>in EUR, pp 2022</t>
  </si>
  <si>
    <t>Berekening wegingsfactoren voor invoeding</t>
  </si>
  <si>
    <t>Afnemers MS (1-20 kV)</t>
  </si>
  <si>
    <t>#</t>
  </si>
  <si>
    <t>Afnemers LS</t>
  </si>
  <si>
    <t>Vastrecht transportdienst t/m 3*80A LS</t>
  </si>
  <si>
    <t>Afnemers Trafo HS+TS/MS</t>
  </si>
  <si>
    <t xml:space="preserve">Afnemers Trafo HS+TS/MS maximaal 600 uur per jaar </t>
  </si>
  <si>
    <t>Ontwikkeling volumes transportdienst t.o.v. rekenvolumes</t>
  </si>
  <si>
    <t>Volumekortingen 2022</t>
  </si>
  <si>
    <t>Ontwikkeling inkomsten TD t.o.v. rekenvolumes</t>
  </si>
  <si>
    <t>Formules verschillen van de bovenstaande regels omdat er vanaf LS geen sprake is van volumekorting</t>
  </si>
  <si>
    <t>Ontwikkeling vergoeding invoeding door ontwikkeling volumes TD</t>
  </si>
  <si>
    <t>Ophalen gerealiseerde volumes TD 2022 (voor volumekorting)</t>
  </si>
  <si>
    <t>Nacalculaties in tarieven 2022 (die niet zien op 2022)</t>
  </si>
  <si>
    <t>EUR, pp 2022</t>
  </si>
  <si>
    <t>Wegingsfactor vastrecht</t>
  </si>
  <si>
    <t>Invoedingsvolumes</t>
  </si>
  <si>
    <t>Aandeel vastrecht in SO transportdienst</t>
  </si>
  <si>
    <t>SO REG2022</t>
  </si>
  <si>
    <t>Ontwikkeling efficiënte kosten TD</t>
  </si>
  <si>
    <t xml:space="preserve">Vastrecht rekenvolumes 2022-2026 </t>
  </si>
  <si>
    <t xml:space="preserve">Op dit tabblad wordt berekend wat de ontwikkeling is van vergoeding voor invoeding door de ontwikkeling van gerealiseerde transportafhankelijke volumes ten opzichte van de rekenvolumes. Hiervoor worden de volgende stappen doorlopen: </t>
  </si>
  <si>
    <t>3. Om tot de ontwikkeling in vergoeding voor invoeding door volumeontwikkeling TD te komen wordt het aandeel dat resulteert uit stap 2 vermenigvuldigd met de ontwikkeling in inkomsten TD t.o.v. rekenvolumes.</t>
  </si>
  <si>
    <t>Daarnaast wordt de wegingsfactor opgehaald voor de vastrechttarieven om tot het aandeel invoeding van de transportafhankelijke SO te komen.</t>
  </si>
  <si>
    <t>Op dit tabblad wordt de samengestelde output (SO) voor de transportdienst en invoeding opgehaald uit het SO-bestand. Deze zijn nodig om per netbeheerder te bepalen wat het aandeel invoeding is van de SO.</t>
  </si>
  <si>
    <t>Schatting volumes 2022-2026</t>
  </si>
  <si>
    <t>Gerealiseerde volumes TD 2022 voor volumekorting</t>
  </si>
  <si>
    <t>Aandeel PAV t.o.v totaal van TD en PAV</t>
  </si>
  <si>
    <t>Totale volumes kW gecontracteerd per netvlak</t>
  </si>
  <si>
    <t xml:space="preserve">Ophalen samengestelde output TD REG2022 </t>
  </si>
  <si>
    <t>De ontwikkeling van de volumes transportdienst wordt bepaald ná volumekorting, omdat  dit de volumes zijn waarop de rekenvolumes zijn gebaseerd.</t>
  </si>
  <si>
    <t>De vastrechttarieven worden uitgesloten bij het bepalen van de ontwikkeling van de volumes.</t>
  </si>
  <si>
    <t>Verschil inkomsten TD exclusief vastrecht</t>
  </si>
  <si>
    <t>RNB-E - TI-berekening 2022; tabblad 'TI-berekening 2022', rij 26</t>
  </si>
  <si>
    <t>RNB-E - TI-berekening 2022; tabblad 'TI-berekening 2022', rij 27</t>
  </si>
  <si>
    <t>RNB-E - TI-berekening 2022; tabblad 'TI-berekening 2022', rij 28</t>
  </si>
  <si>
    <t>RNB-E - TI-berekening 2022; tabblad 'TI-berekening 2022', rij 29</t>
  </si>
  <si>
    <t>tarievenblad-[netbeheerder]-elektriciteit-2022; tabblad '2a Tarievenvoorstel', cel O65</t>
  </si>
  <si>
    <t>tarievenblad-[netbeheerder]-elektriciteit-2022; tabblad '2a Tarievenvoorstel', cel O66</t>
  </si>
  <si>
    <t>tarievenblad-[netbeheerder]-elektriciteit-2022; tabblad '2a Tarievenvoorstel', cel O67</t>
  </si>
  <si>
    <t>tarievenblad-[netbeheerder]-elektriciteit-2022; tabblad '2a Tarievenvoorstel', cel O68</t>
  </si>
  <si>
    <t>tarievenblad-[netbeheerder]-elektriciteit-2022; tabblad '2a Tarievenvoorstel', cel O74</t>
  </si>
  <si>
    <t>tarievenblad-[netbeheerder]-elektriciteit-2022; tabblad '2a Tarievenvoorstel', cel O75</t>
  </si>
  <si>
    <t>tarievenblad-[netbeheerder]-elektriciteit-2022; tabblad '2a Tarievenvoorstel', cel O76</t>
  </si>
  <si>
    <t>tarievenblad-[netbeheerder]-elektriciteit-2022; tabblad '2a Tarievenvoorstel', cel O77</t>
  </si>
  <si>
    <t>tarievenblad-[netbeheerder]-elektriciteit-2022; tabblad '2a Tarievenvoorstel', cel O80</t>
  </si>
  <si>
    <t>tarievenblad-[netbeheerder]-elektriciteit-2022; tabblad '2a Tarievenvoorstel', cel O81</t>
  </si>
  <si>
    <t>tarievenblad-[netbeheerder]-elektriciteit-2022; tabblad '2a Tarievenvoorstel', cel O84</t>
  </si>
  <si>
    <t>tarievenblad-[netbeheerder]-elektriciteit-2022; tabblad '2a Tarievenvoorstel', cel O85</t>
  </si>
  <si>
    <t>tarievenblad-[netbeheerder]-elektriciteit-2022; tabblad '2a Tarievenvoorstel', cel O86</t>
  </si>
  <si>
    <t>tarievenblad-[netbeheerder]-elektriciteit-2022; tabblad '2a Tarievenvoorstel', cel O87</t>
  </si>
  <si>
    <t>tarievenblad-[netbeheerder]-elektriciteit-2022; tabblad '2a Tarievenvoorstel', cel O88</t>
  </si>
  <si>
    <t>tarievenblad-[netbeheerder]-elektriciteit-2022; tabblad '2a Tarievenvoorstel', cel O89</t>
  </si>
  <si>
    <t>tarievenblad-[netbeheerder]-elektriciteit-2022; tabblad '2a Tarievenvoorstel', cel O90</t>
  </si>
  <si>
    <t>tarievenblad-[netbeheerder]-elektriciteit-2022; tabblad '2a Tarievenvoorstel', cel O14</t>
  </si>
  <si>
    <t>tarievenblad-[netbeheerder]-elektriciteit-2022; tabblad '2a Tarievenvoorstel', cel O15</t>
  </si>
  <si>
    <t>tarievenblad-[netbeheerder]-elektriciteit-2022; tabblad '2a Tarievenvoorstel', cel O16</t>
  </si>
  <si>
    <t>tarievenblad-[netbeheerder]-elektriciteit-2022; tabblad '2a Tarievenvoorstel', cel O19</t>
  </si>
  <si>
    <t>tarievenblad-[netbeheerder]-elektriciteit-2022; tabblad '2a Tarievenvoorstel', cel O20</t>
  </si>
  <si>
    <t>tarievenblad-[netbeheerder]-elektriciteit-2022; tabblad '2a Tarievenvoorstel', cel O21</t>
  </si>
  <si>
    <t>tarievenblad-[netbeheerder]-elektriciteit-2022; tabblad '2a Tarievenvoorstel', cel O24</t>
  </si>
  <si>
    <t>tarievenblad-[netbeheerder]-elektriciteit-2022; tabblad '2a Tarievenvoorstel', cel O25</t>
  </si>
  <si>
    <t>tarievenblad-[netbeheerder]-elektriciteit-2022; tabblad '2a Tarievenvoorstel', cel O26</t>
  </si>
  <si>
    <t>tarievenblad-[netbeheerder]-elektriciteit-2022; tabblad '2a Tarievenvoorstel', cel O29</t>
  </si>
  <si>
    <t>tarievenblad-[netbeheerder]-elektriciteit-2022; tabblad '2a Tarievenvoorstel', cel O30</t>
  </si>
  <si>
    <t>tarievenblad-[netbeheerder]-elektriciteit-2022; tabblad '2a Tarievenvoorstel', cel O31</t>
  </si>
  <si>
    <t>tarievenblad-[netbeheerder]-elektriciteit-2022; tabblad '2a Tarievenvoorstel', cel O34</t>
  </si>
  <si>
    <t>tarievenblad-[netbeheerder]-elektriciteit-2022; tabblad '2a Tarievenvoorstel', cel O35</t>
  </si>
  <si>
    <t>tarievenblad-[netbeheerder]-elektriciteit-2022; tabblad '2a Tarievenvoorstel', cel O36</t>
  </si>
  <si>
    <t>tarievenblad-[netbeheerder]-elektriciteit-2022; tabblad '2a Tarievenvoorstel', cel O39</t>
  </si>
  <si>
    <t>tarievenblad-[netbeheerder]-elektriciteit-2022; tabblad '2a Tarievenvoorstel', cel O40</t>
  </si>
  <si>
    <t>tarievenblad-[netbeheerder]-elektriciteit-2022; tabblad '2a Tarievenvoorstel', cel O41</t>
  </si>
  <si>
    <t>tarievenblad-[netbeheerder]-elektriciteit-2022; tabblad '2a Tarievenvoorstel', cel O53/O59</t>
  </si>
  <si>
    <t>tarievenblad-[netbeheerder]-elektriciteit-2022; tabblad '2a Tarievenvoorstel', cel O54/O60</t>
  </si>
  <si>
    <t>tarievenblad-[netbeheerder]-elektriciteit-2022; tabblad '2a Tarievenvoorstel', cel O55/O61</t>
  </si>
  <si>
    <t>tarievenblad-[netbeheerder]-elektriciteit-2022; tabblad '2a Tarievenvoorstel', cel O56/O62</t>
  </si>
  <si>
    <t>tarievenblad-[netbeheerder]-elektriciteit-2022; tabblad '2a Tarievenvoorstel', cel O97</t>
  </si>
  <si>
    <t>tarievenblad-[netbeheerder]-elektriciteit-2022; tabblad '2a Tarievenvoorstel', cel O98</t>
  </si>
  <si>
    <t>Rekenvolumes 2022 - 2026 TD (na volumekorting)</t>
  </si>
  <si>
    <t>EUR/jaar</t>
  </si>
  <si>
    <t>EUR/kW/jaar</t>
  </si>
  <si>
    <t>EUR/kW/maand</t>
  </si>
  <si>
    <t>EUR/kW/week</t>
  </si>
  <si>
    <t>EUR/kWh</t>
  </si>
  <si>
    <t>EUR/kVArh</t>
  </si>
  <si>
    <t>De rekenvolumes zijn nodig om te bepalen wat de groei van invoeding is in 2022 ten opzichte van de rekenvolumes gehanteerd in REG2022.</t>
  </si>
  <si>
    <t>De gerealiseerde volumes zijn nodig om te bepalen wat de groei in invoeding is in 2022 ten opzichte van de gehanteerde rekenvolumes.</t>
  </si>
  <si>
    <t>Correctie E-laad 2015-2020</t>
  </si>
  <si>
    <t>Opbrengsten PAV 2022</t>
  </si>
  <si>
    <t>Omzet PAV 2022</t>
  </si>
  <si>
    <t>Reguleringsdata 2022, tabel 4A</t>
  </si>
  <si>
    <t>Reguleringsdata 2022, tabel 5A</t>
  </si>
  <si>
    <t>Reguleringsdata 2022, tabel 4B</t>
  </si>
  <si>
    <t>Netvlakken LS t/m 3*80A</t>
  </si>
  <si>
    <t>Netvlakken LS t/m 1*6A</t>
  </si>
  <si>
    <t>Netvlakken LS grootverbruik</t>
  </si>
  <si>
    <r>
      <t xml:space="preserve">Aanpassingen i.v.m. correcties in tarieven 2022 </t>
    </r>
    <r>
      <rPr>
        <sz val="10"/>
        <color theme="1"/>
        <rFont val="Arial"/>
        <family val="2"/>
      </rPr>
      <t>(positief percentage is aanpassing naar beneden)</t>
    </r>
  </si>
  <si>
    <t>Op dit tabblad worden de geschatte invoedingsvolumes 2022-2026 opgehaald uit het x-factormodel en de gerealiseerde volumes voor invoeding opgehaald uit de Reguleringsdata.</t>
  </si>
  <si>
    <t>Reguleringsdata 2022</t>
  </si>
  <si>
    <t>Tarievenblad [netbeheerder] elektriciteit 2022</t>
  </si>
  <si>
    <t>RNB-E - TI-berekening 2022</t>
  </si>
  <si>
    <t>https://www.acm.nl/nl/publicaties/berekening-totale-inkomsten-2022-regionaal-netbeheer-elektriciteit</t>
  </si>
  <si>
    <t>In dit bestand berekent de ACM de nacalculatie invoeding elektriciteit 2022, die onderdeel uitmaakt van de berekening van de Totale Inkomsten (TI) voor het jaar 2024 voor de regionale netbeheerders elektriciteit.</t>
  </si>
  <si>
    <t>Realisatie 2022</t>
  </si>
  <si>
    <t>Op dit tabblad worden de gerealiseerde volumes en tarieven uit 2022 opgehaald.</t>
  </si>
  <si>
    <t>Op dit tabblad worden de 'rolling-forward' wegingsfactoren per categorie bepaald. Deze worden op dezelfde manier berekend als de wegingsfactoren in het x-factormodel, maar maken gebruik van de tarieven en volumes van 2022.</t>
  </si>
  <si>
    <t>Op dit tabblad wordt berekend wat de ontwikkeling van de transportafhankelijke volumes is ten opzichte van rekenvolumes. Het verschil tussen de volumes in 2022 en de rekenvolumes wordt vermenigvuldigd met de rolling-forward wegingsfactor. Dit resulteert in het verschil tussen de efficiënte kosten van het transportafhankelijke deel van de transportdienst op basis van rekenvolumes en de efficiënte kosten van het transportafhankelijke deel van de transportdienst op basis van gerealiseerde volumes.</t>
  </si>
  <si>
    <t xml:space="preserve">1. In regel 49 wordt berekend welk aandeel van de SO transportdienst ziet op vastrecht. </t>
  </si>
  <si>
    <t>2. Vervolgens wordt de SO transportdienst gecorrigeerd voor het deel dat ziet op vastrecht om tot het transportafhankelijke deel te komen. In regel 64 wordt het aandeel SO invoeding in SO transportdienst (transportafhankelijke deel) berekend.</t>
  </si>
  <si>
    <t>Gewijzigd SO-bestand RNB E 2022-2026; tabblad '26) SO voor maatstaf', rij 260</t>
  </si>
  <si>
    <t>Gewijzigd SO-bestand RNB E 2022-2026; tabblad '26) SO voor maatstaf', rij 261</t>
  </si>
  <si>
    <t>Gewijzigd SO-bestand RNB E 2022-2026; tabblad '26) SO voor maatstaf', rij 262</t>
  </si>
  <si>
    <t>Gewijzigd SO-bestand RNB E 2022-2026; tabblad '26) SO voor maatstaf', rij 263</t>
  </si>
  <si>
    <t>Gewijzigd SO-bestand RNB E 2022-2026; tabblad '26) SO voor maatstaf', rij 266</t>
  </si>
  <si>
    <t>Gewijzigd SO-bestand RNB E 2022-2026; tabblad '25) Wegingsfactoren', cel F399</t>
  </si>
  <si>
    <t>Gewijzigd SO-bestand RNB E 2022-2026; tabblad '25) Wegingsfactoren', cel F432</t>
  </si>
  <si>
    <t>Gewijzigd SO-bestand RNB E 2022-2026; tabblad '25) Wegingsfactoren', cel F453</t>
  </si>
  <si>
    <t>Gewijzigd SO-bestand RNB E 2022-2026; tabblad '25) Wegingsfactoren', cel F459</t>
  </si>
  <si>
    <t>Gewijzigd SO-bestand RNB E 2022-2026; tabblad '25) Wegingsfactoren', cel F460</t>
  </si>
  <si>
    <t>Gewijzigd SO-bestand RNB E 2022-2026; tabblad '22) Rekenvolumes TD', rij 169</t>
  </si>
  <si>
    <t>Gewijzigd SO-bestand RNB E 2022-2026; tabblad '22) Rekenvolumes TD', rij 170</t>
  </si>
  <si>
    <t>Gewijzigd SO-bestand RNB E 2022-2026; tabblad '22) Rekenvolumes TD', rij 171</t>
  </si>
  <si>
    <t>Gewijzigd SO-bestand RNB E 2022-2026; tabblad '22) Rekenvolumes TD', rij 174</t>
  </si>
  <si>
    <t>Gewijzigd SO-bestand RNB E 2022-2026; tabblad '22) Rekenvolumes TD', rij 175</t>
  </si>
  <si>
    <t>Gewijzigd SO-bestand RNB E 2022-2026; tabblad '22) Rekenvolumes TD', rij 176</t>
  </si>
  <si>
    <t>Gewijzigd SO-bestand RNB E 2022-2026; tabblad '22) Rekenvolumes TD', rij 179</t>
  </si>
  <si>
    <t>Gewijzigd SO-bestand RNB E 2022-2026; tabblad '22) Rekenvolumes TD', rij 180</t>
  </si>
  <si>
    <t>Gewijzigd SO-bestand RNB E 2022-2026; tabblad '22) Rekenvolumes TD', rij 181</t>
  </si>
  <si>
    <t>Gewijzigd SO-bestand RNB E 2022-2026; tabblad '22) Rekenvolumes TD', rij 184</t>
  </si>
  <si>
    <t>Gewijzigd SO-bestand RNB E 2022-2026; tabblad '22) Rekenvolumes TD', rij 185</t>
  </si>
  <si>
    <t>Gewijzigd SO-bestand RNB E 2022-2026; tabblad '22) Rekenvolumes TD', rij 186</t>
  </si>
  <si>
    <t>Gewijzigd SO-bestand RNB E 2022-2026; tabblad '22) Rekenvolumes TD', rij 189</t>
  </si>
  <si>
    <t>Gewijzigd SO-bestand RNB E 2022-2026; tabblad '22) Rekenvolumes TD', rij 190</t>
  </si>
  <si>
    <t>Gewijzigd SO-bestand RNB E 2022-2026; tabblad '22) Rekenvolumes TD', rij 191</t>
  </si>
  <si>
    <t>Gewijzigd SO-bestand RNB E 2022-2026; tabblad '22) Rekenvolumes TD', rij 194</t>
  </si>
  <si>
    <t>Gewijzigd SO-bestand RNB E 2022-2026; tabblad '22) Rekenvolumes TD', rij 195</t>
  </si>
  <si>
    <t>Gewijzigd SO-bestand RNB E 2022-2026; tabblad '22) Rekenvolumes TD', rij 196</t>
  </si>
  <si>
    <t>Gewijzigd SO-bestand RNB E 2022-2026; tabblad '22) Rekenvolumes TD', rij 202</t>
  </si>
  <si>
    <t>Gewijzigd SO-bestand RNB E 2022-2026; tabblad '22) Rekenvolumes TD', rij 203</t>
  </si>
  <si>
    <t>Gewijzigd SO-bestand RNB E 2022-2026; tabblad '22) Rekenvolumes TD', rij 204</t>
  </si>
  <si>
    <t>Gewijzigd SO-bestand RNB E 2022-2026; tabblad '22) Rekenvolumes TD', rij 205</t>
  </si>
  <si>
    <t>Gewijzigd SO-bestand RNB E 2022-2026; tabblad '22) Rekenvolumes TD', rij 208</t>
  </si>
  <si>
    <t>Gewijzigd SO-bestand RNB E 2022-2026; tabblad '22) Rekenvolumes TD', rij 209</t>
  </si>
  <si>
    <t>Gewijzigd SO-bestand RNB E 2022-2026; tabblad '22) Rekenvolumes TD', rij 210</t>
  </si>
  <si>
    <t>Gewijzigd SO-bestand RNB E 2022-2026; tabblad '22) Rekenvolumes TD', rij 211</t>
  </si>
  <si>
    <t>Gewijzigd SO-bestand RNB E 2022-2026; tabblad '22) Rekenvolumes TD', rij 214</t>
  </si>
  <si>
    <t>Gewijzigd SO-bestand RNB E 2022-2026; tabblad '22) Rekenvolumes TD', rij 215</t>
  </si>
  <si>
    <t>Gewijzigd SO-bestand RNB E 2022-2026; tabblad '22) Rekenvolumes TD', rij 216</t>
  </si>
  <si>
    <t>Gewijzigd SO-bestand RNB E 2022-2026; tabblad '22) Rekenvolumes TD', rij 217</t>
  </si>
  <si>
    <t>Gewijzigd SO-bestand RNB E 2022-2026; tabblad '22) Rekenvolumes TD', rij 220</t>
  </si>
  <si>
    <t>Gewijzigd SO-bestand RNB E 2022-2026; tabblad '22) Rekenvolumes TD', rij 221</t>
  </si>
  <si>
    <t>Gewijzigd SO-bestand RNB E 2022-2026; tabblad '22) Rekenvolumes TD', rij 222</t>
  </si>
  <si>
    <t>Gewijzigd SO-bestand RNB E 2022-2026; tabblad '22) Rekenvolumes TD', rij 223</t>
  </si>
  <si>
    <t>Gewijzigd SO-bestand RNB E 2022-2026; tabblad '22) Rekenvolumes TD', rij 229</t>
  </si>
  <si>
    <t>Gewijzigd SO-bestand RNB E 2022-2026; tabblad '22) Rekenvolumes TD', rij 230</t>
  </si>
  <si>
    <t>Gewijzigd SO-bestand RNB E 2022-2026; tabblad '22) Rekenvolumes TD', rij 231</t>
  </si>
  <si>
    <t>Gewijzigd SO-bestand RNB E 2022-2026; tabblad '22) Rekenvolumes TD', rij 232</t>
  </si>
  <si>
    <t>Gewijzigd SO-bestand RNB E 2022-2026; tabblad '22) Rekenvolumes TD', rij 235</t>
  </si>
  <si>
    <t>Gewijzigd SO-bestand RNB E 2022-2026; tabblad '22) Rekenvolumes TD', rij 236</t>
  </si>
  <si>
    <t>Gewijzigd SO-bestand RNB E 2022-2026; tabblad '22) Rekenvolumes TD', rij 239</t>
  </si>
  <si>
    <t>Gewijzigd SO-bestand RNB E 2022-2026; tabblad '22) Rekenvolumes TD', rij 240</t>
  </si>
  <si>
    <t>Gewijzigd SO-bestand RNB E 2022-2026; tabblad '22) Rekenvolumes TD', rij 241</t>
  </si>
  <si>
    <t>Gewijzigd SO-bestand RNB E 2022-2026; tabblad '22) Rekenvolumes TD', rij 242</t>
  </si>
  <si>
    <t>Gewijzigd SO-bestand RNB E 2022-2026; tabblad '22) Rekenvolumes TD', rij 243</t>
  </si>
  <si>
    <t>Gewijzigd SO-bestand RNB E 2022-2026; tabblad '22) Rekenvolumes TD', rij 244</t>
  </si>
  <si>
    <t>Gewijzigd SO-bestand RNB E 2022-2026; tabblad '22) Rekenvolumes TD', rij 245</t>
  </si>
  <si>
    <t>Gewijzigd SO-bestand RNB E 2022-2026; tabblad '22) Rekenvolumes TD', rij 250</t>
  </si>
  <si>
    <t>Gewijzigd SO-bestand RNB E 2022-2026; tabblad '22) Rekenvolumes TD', rij 251</t>
  </si>
  <si>
    <t>Gewijzigd SO-bestand RNB E 2022-2026; tabblad '23) Volumes Invoeding', rij 30</t>
  </si>
  <si>
    <t>Gewijzigd SO-bestand RNB E 2022-2026; tabblad '23) Volumes Invoeding', rij 31</t>
  </si>
  <si>
    <t>Gewijzigd SO-bestand RNB E 2022-2026; tabblad '23) Volumes Invoeding', rij 32</t>
  </si>
  <si>
    <t>Gewijzigd SO-bestand RNB E 2022-2026; tabblad '23) Volumes Invoeding', rij 33</t>
  </si>
  <si>
    <t>Gewijzigd SO-bestand RNB E 2022-2026; tabblad '23) Volumes Invoeding', rij 34</t>
  </si>
  <si>
    <t>Tarievenbesluit regionale netbeheerders elektriciteit 2025</t>
  </si>
  <si>
    <t xml:space="preserve">Zoeken in Publicaties: tarievenbesluit elektriciteit 2022 | ACM.nl </t>
  </si>
  <si>
    <t>Gewijzigd SO-bestand RNB E 2022-2026</t>
  </si>
  <si>
    <t>https://www.acm.nl/nl/publicaties/berekening-x-factor-bij-gewijzigde-x-factorbesluiten-elektriciteit-2022-2026</t>
  </si>
  <si>
    <t>Ja</t>
  </si>
  <si>
    <t>Gewijzigde berekening input nacalculatie invoeding 2022 regionale netbeheerders elektriciteit t.b.v. nacalculatie gewijzigd methodebesluit</t>
  </si>
  <si>
    <t>Berekening input nacalculatie gewijzigd methodebesluit 2022-2024 regionale netbeheerders elektriciteit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</si>
</sst>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_ ;_ * \-#,##0.00_ ;_ * &quot;-&quot;_ ;_ @_ "/>
    <numFmt numFmtId="165" formatCode="0.0%"/>
    <numFmt numFmtId="166" formatCode="_(* #,##0_);_(* \(#,##0\);_(* &quot;-&quot;_);_(@_)"/>
    <numFmt numFmtId="167" formatCode="&quot;£ &quot;#,##0;\-&quot;£ &quot;#,##0"/>
    <numFmt numFmtId="168" formatCode="_ * #,##0_ ;_ * \-#,##0_ ;_ * &quot;-&quot;??_ ;_ @_ "/>
    <numFmt numFmtId="169" formatCode="_-* #,##0_-;_-* #,##0\-;_-* &quot;-&quot;??_-;_-@_-"/>
    <numFmt numFmtId="170" formatCode="_-* #,##0.00_-;_-* #,##0.00\-;_-* &quot;-&quot;??_-;_-@_-"/>
    <numFmt numFmtId="171" formatCode="_-* #,##0_-;_-* #,##0\-;_-* &quot;-&quot;_-;_-@_-"/>
    <numFmt numFmtId="172" formatCode="_ * #,##0.000000000_ ;_ * \-#,##0.000000000_ ;_ * &quot;-&quot;??_ ;_ @_ "/>
    <numFmt numFmtId="173" formatCode="_([$€]* #,##0.00_);_([$€]* \(#,##0.00\);_([$€]* &quot;-&quot;??_);_(@_)"/>
    <numFmt numFmtId="174" formatCode="_-[$€]\ * #,##0.00_-;_-[$€]\ * #,##0.00\-;_-[$€]\ * &quot;-&quot;??_-;_-@_-"/>
    <numFmt numFmtId="175" formatCode="_ * #,##0.0000_ ;_ * \-#,##0.0000_ ;_ * &quot;-&quot;_ ;_ @_ "/>
    <numFmt numFmtId="176" formatCode="_ * #,##0.00000_ ;_ * \-#,##0.00000_ ;_ * &quot;-&quot;??_ ;_ @_ "/>
  </numFmts>
  <fonts count="83">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9"/>
      <name val="Arial"/>
      <family val="2"/>
    </font>
    <font>
      <i/>
      <sz val="10"/>
      <color theme="1"/>
      <name val="Arial"/>
      <family val="2"/>
    </font>
    <font>
      <sz val="10"/>
      <color indexed="8"/>
      <name val="MS Sans Serif"/>
      <family val="2"/>
    </font>
    <font>
      <sz val="10"/>
      <color indexed="8"/>
      <name val="Arial"/>
      <family val="2"/>
    </font>
    <font>
      <b/>
      <sz val="10"/>
      <color indexed="8"/>
      <name val="Arial"/>
      <family val="2"/>
    </font>
    <font>
      <sz val="12"/>
      <name val="Times New Roman"/>
      <family val="1"/>
    </font>
    <font>
      <sz val="10"/>
      <name val="DTLArgoT"/>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1"/>
      <color indexed="9"/>
      <name val="Calibri"/>
      <family val="2"/>
    </font>
    <font>
      <b/>
      <sz val="10"/>
      <color indexed="9"/>
      <name val="EYInterstate Light"/>
      <family val="2"/>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b/>
      <sz val="10"/>
      <color indexed="63"/>
      <name val="EYInterstate Light"/>
      <family val="2"/>
    </font>
    <font>
      <sz val="11"/>
      <name val="Essent Proforma"/>
    </font>
    <font>
      <b/>
      <sz val="18"/>
      <color indexed="56"/>
      <name val="Cambria"/>
      <family val="2"/>
    </font>
    <font>
      <b/>
      <sz val="11"/>
      <color indexed="8"/>
      <name val="Calibri"/>
      <family val="2"/>
    </font>
    <font>
      <sz val="11"/>
      <color indexed="10"/>
      <name val="Calibri"/>
      <family val="2"/>
    </font>
    <font>
      <b/>
      <sz val="10"/>
      <color indexed="52"/>
      <name val="EYInterstate Light"/>
      <family val="2"/>
    </font>
    <font>
      <b/>
      <sz val="11"/>
      <color indexed="63"/>
      <name val="Calibri"/>
      <family val="2"/>
    </font>
    <font>
      <b/>
      <sz val="10"/>
      <color indexed="8"/>
      <name val="EYInterstate Light"/>
      <family val="2"/>
    </font>
    <font>
      <sz val="10"/>
      <color indexed="10"/>
      <name val="EYInterstate Light"/>
      <family val="2"/>
    </font>
    <font>
      <sz val="8"/>
      <name val="Arial"/>
      <family val="2"/>
    </font>
    <font>
      <b/>
      <sz val="11"/>
      <color indexed="10"/>
      <name val="Calibri"/>
      <family val="2"/>
    </font>
    <font>
      <b/>
      <sz val="8"/>
      <color indexed="81"/>
      <name val="Tahoma"/>
      <family val="2"/>
    </font>
    <font>
      <u/>
      <sz val="10"/>
      <color indexed="12"/>
      <name val="Arial"/>
      <family val="2"/>
    </font>
    <font>
      <sz val="10"/>
      <name val="Calibri"/>
      <family val="2"/>
      <scheme val="minor"/>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9D9D9"/>
        <bgColor rgb="FF000000"/>
      </patternFill>
    </fill>
    <fill>
      <patternFill patternType="solid">
        <fgColor rgb="FFCCC8D9"/>
        <bgColor rgb="FF000000"/>
      </patternFill>
    </fill>
    <fill>
      <patternFill patternType="solid">
        <fgColor rgb="FFFFFFCC"/>
        <bgColor rgb="FF000000"/>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s>
  <cellStyleXfs count="328">
    <xf numFmtId="0" fontId="0" fillId="0" borderId="0">
      <alignment vertical="top"/>
    </xf>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0" borderId="0">
      <alignment vertical="top"/>
    </xf>
    <xf numFmtId="49" fontId="12" fillId="5" borderId="1">
      <alignment vertical="top"/>
    </xf>
    <xf numFmtId="49" fontId="10" fillId="19" borderId="1">
      <alignment vertical="top"/>
    </xf>
    <xf numFmtId="49" fontId="10" fillId="0" borderId="0">
      <alignment vertical="top"/>
    </xf>
    <xf numFmtId="41" fontId="9" fillId="12" borderId="0">
      <alignment vertical="top"/>
    </xf>
    <xf numFmtId="41" fontId="9" fillId="11" borderId="0">
      <alignment vertical="top"/>
    </xf>
    <xf numFmtId="41" fontId="9" fillId="9" borderId="0">
      <alignment vertical="top"/>
    </xf>
    <xf numFmtId="41" fontId="9" fillId="46" borderId="0">
      <alignment vertical="top"/>
    </xf>
    <xf numFmtId="41" fontId="9" fillId="7" borderId="0">
      <alignment vertical="top"/>
    </xf>
    <xf numFmtId="41" fontId="9" fillId="13" borderId="0">
      <alignment vertical="top"/>
    </xf>
    <xf numFmtId="49" fontId="14" fillId="0" borderId="0">
      <alignment vertical="top"/>
    </xf>
    <xf numFmtId="49" fontId="13" fillId="0" borderId="0">
      <alignment vertical="top"/>
    </xf>
    <xf numFmtId="0" fontId="20" fillId="15" borderId="3" applyNumberFormat="0" applyAlignment="0" applyProtection="0"/>
    <xf numFmtId="0" fontId="21" fillId="16" borderId="4" applyNumberFormat="0" applyAlignment="0" applyProtection="0"/>
    <xf numFmtId="0" fontId="22" fillId="16" borderId="3" applyNumberFormat="0" applyAlignment="0" applyProtection="0"/>
    <xf numFmtId="0" fontId="23" fillId="0" borderId="5" applyNumberFormat="0" applyFill="0" applyAlignment="0" applyProtection="0"/>
    <xf numFmtId="0" fontId="17" fillId="17" borderId="6" applyNumberFormat="0" applyAlignment="0" applyProtection="0"/>
    <xf numFmtId="0" fontId="19" fillId="18" borderId="7" applyNumberFormat="0" applyFont="0" applyAlignment="0" applyProtection="0"/>
    <xf numFmtId="0" fontId="24" fillId="0" borderId="0" applyNumberForma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9" fontId="19" fillId="0" borderId="0" applyFon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18" fillId="0" borderId="0" applyNumberFormat="0" applyFill="0" applyBorder="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32" fillId="43" borderId="0" applyNumberFormat="0" applyBorder="0" applyAlignment="0" applyProtection="0"/>
    <xf numFmtId="0" fontId="33" fillId="0" borderId="0" applyNumberFormat="0" applyFill="0" applyBorder="0" applyAlignment="0" applyProtection="0"/>
    <xf numFmtId="49" fontId="25" fillId="0" borderId="0" applyFill="0" applyBorder="0" applyAlignment="0" applyProtection="0"/>
    <xf numFmtId="43" fontId="9" fillId="44" borderId="0" applyNumberFormat="0">
      <alignment vertical="top"/>
    </xf>
    <xf numFmtId="43" fontId="9" fillId="11" borderId="0" applyFont="0" applyFill="0" applyBorder="0" applyAlignment="0" applyProtection="0">
      <alignment vertical="top"/>
    </xf>
    <xf numFmtId="10" fontId="9" fillId="0" borderId="0" applyFont="0" applyFill="0" applyBorder="0" applyAlignment="0" applyProtection="0">
      <alignment vertical="top"/>
    </xf>
    <xf numFmtId="41" fontId="9" fillId="45" borderId="0">
      <alignment vertical="top"/>
    </xf>
    <xf numFmtId="0" fontId="9" fillId="0" borderId="0" applyNumberFormat="0" applyFill="0" applyBorder="0" applyAlignment="0" applyProtection="0"/>
    <xf numFmtId="38" fontId="9" fillId="0" borderId="0" applyFont="0" applyFill="0" applyBorder="0" applyAlignment="0" applyProtection="0"/>
    <xf numFmtId="166" fontId="9"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43" fontId="9" fillId="46" borderId="0">
      <alignment vertical="top"/>
    </xf>
    <xf numFmtId="41" fontId="9" fillId="46" borderId="0">
      <alignment vertical="top"/>
    </xf>
    <xf numFmtId="43" fontId="9" fillId="45" borderId="0">
      <alignment vertical="top"/>
    </xf>
    <xf numFmtId="167" fontId="9" fillId="0" borderId="0"/>
    <xf numFmtId="168" fontId="9" fillId="6" borderId="0"/>
    <xf numFmtId="0" fontId="9" fillId="0" borderId="0"/>
    <xf numFmtId="0" fontId="36" fillId="0" borderId="0"/>
    <xf numFmtId="0" fontId="9" fillId="0" borderId="0"/>
    <xf numFmtId="9" fontId="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40" fillId="0" borderId="0"/>
    <xf numFmtId="0" fontId="36" fillId="0" borderId="0"/>
    <xf numFmtId="0" fontId="9" fillId="0" borderId="0"/>
    <xf numFmtId="0" fontId="41"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 fillId="21" borderId="0" applyNumberFormat="0" applyBorder="0" applyAlignment="0" applyProtection="0"/>
    <xf numFmtId="0" fontId="41"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 fillId="25" borderId="0" applyNumberFormat="0" applyBorder="0" applyAlignment="0" applyProtection="0"/>
    <xf numFmtId="0" fontId="41"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 fillId="29" borderId="0" applyNumberFormat="0" applyBorder="0" applyAlignment="0" applyProtection="0"/>
    <xf numFmtId="0" fontId="41"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 fillId="33" borderId="0" applyNumberFormat="0" applyBorder="0" applyAlignment="0" applyProtection="0"/>
    <xf numFmtId="0" fontId="41"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 fillId="37" borderId="0" applyNumberFormat="0" applyBorder="0" applyAlignment="0" applyProtection="0"/>
    <xf numFmtId="0" fontId="41"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 fillId="41" borderId="0" applyNumberFormat="0" applyBorder="0" applyAlignment="0" applyProtection="0"/>
    <xf numFmtId="0" fontId="41"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 fillId="22" borderId="0" applyNumberFormat="0" applyBorder="0" applyAlignment="0" applyProtection="0"/>
    <xf numFmtId="0" fontId="41"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 fillId="26" borderId="0" applyNumberFormat="0" applyBorder="0" applyAlignment="0" applyProtection="0"/>
    <xf numFmtId="0" fontId="41"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 fillId="30" borderId="0" applyNumberFormat="0" applyBorder="0" applyAlignment="0" applyProtection="0"/>
    <xf numFmtId="0" fontId="41"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 fillId="34" borderId="0" applyNumberFormat="0" applyBorder="0" applyAlignment="0" applyProtection="0"/>
    <xf numFmtId="0" fontId="41"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 fillId="38" borderId="0" applyNumberFormat="0" applyBorder="0" applyAlignment="0" applyProtection="0"/>
    <xf numFmtId="0" fontId="41"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 fillId="42" borderId="0" applyNumberFormat="0" applyBorder="0" applyAlignment="0" applyProtection="0"/>
    <xf numFmtId="0" fontId="43" fillId="58"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3" fillId="55"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43" fillId="56" borderId="0" applyNumberFormat="0" applyBorder="0" applyAlignment="0" applyProtection="0"/>
    <xf numFmtId="0" fontId="44" fillId="56" borderId="0" applyNumberFormat="0" applyBorder="0" applyAlignment="0" applyProtection="0"/>
    <xf numFmtId="0" fontId="44" fillId="56" borderId="0" applyNumberFormat="0" applyBorder="0" applyAlignment="0" applyProtection="0"/>
    <xf numFmtId="0" fontId="43" fillId="59"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3" fillId="60"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43" fillId="61" borderId="0" applyNumberFormat="0" applyBorder="0" applyAlignment="0" applyProtection="0"/>
    <xf numFmtId="0" fontId="44" fillId="61" borderId="0" applyNumberFormat="0" applyBorder="0" applyAlignment="0" applyProtection="0"/>
    <xf numFmtId="0" fontId="44" fillId="61" borderId="0" applyNumberFormat="0" applyBorder="0" applyAlignment="0" applyProtection="0"/>
    <xf numFmtId="0" fontId="43" fillId="62"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43" fillId="63" borderId="0" applyNumberFormat="0" applyBorder="0" applyAlignment="0" applyProtection="0"/>
    <xf numFmtId="0" fontId="44" fillId="63" borderId="0" applyNumberFormat="0" applyBorder="0" applyAlignment="0" applyProtection="0"/>
    <xf numFmtId="0" fontId="44" fillId="63" borderId="0" applyNumberFormat="0" applyBorder="0" applyAlignment="0" applyProtection="0"/>
    <xf numFmtId="0" fontId="43" fillId="64" borderId="0" applyNumberFormat="0" applyBorder="0" applyAlignment="0" applyProtection="0"/>
    <xf numFmtId="0" fontId="44" fillId="64" borderId="0" applyNumberFormat="0" applyBorder="0" applyAlignment="0" applyProtection="0"/>
    <xf numFmtId="0" fontId="44" fillId="64" borderId="0" applyNumberFormat="0" applyBorder="0" applyAlignment="0" applyProtection="0"/>
    <xf numFmtId="0" fontId="43" fillId="59"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3" fillId="60"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43" fillId="65" borderId="0" applyNumberFormat="0" applyBorder="0" applyAlignment="0" applyProtection="0"/>
    <xf numFmtId="0" fontId="44" fillId="65" borderId="0" applyNumberFormat="0" applyBorder="0" applyAlignment="0" applyProtection="0"/>
    <xf numFmtId="0" fontId="44" fillId="65" borderId="0" applyNumberFormat="0" applyBorder="0" applyAlignment="0" applyProtection="0"/>
    <xf numFmtId="0" fontId="46" fillId="49" borderId="0" applyNumberFormat="0" applyBorder="0" applyAlignment="0" applyProtection="0"/>
    <xf numFmtId="0" fontId="47" fillId="66" borderId="12" applyNumberFormat="0" applyAlignment="0" applyProtection="0"/>
    <xf numFmtId="0" fontId="47" fillId="66" borderId="12" applyNumberFormat="0" applyAlignment="0" applyProtection="0"/>
    <xf numFmtId="0" fontId="47" fillId="66" borderId="12" applyNumberFormat="0" applyAlignment="0" applyProtection="0"/>
    <xf numFmtId="0" fontId="49" fillId="67" borderId="13" applyNumberFormat="0" applyAlignment="0" applyProtection="0"/>
    <xf numFmtId="43" fontId="39" fillId="0" borderId="0" applyFont="0" applyFill="0" applyBorder="0" applyAlignment="0" applyProtection="0"/>
    <xf numFmtId="0" fontId="48" fillId="67" borderId="13" applyNumberFormat="0" applyAlignment="0" applyProtection="0"/>
    <xf numFmtId="173" fontId="9"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0" fontId="51" fillId="0" borderId="0" applyNumberFormat="0" applyFill="0" applyBorder="0" applyAlignment="0" applyProtection="0"/>
    <xf numFmtId="0" fontId="52" fillId="0" borderId="14" applyNumberFormat="0" applyFill="0" applyAlignment="0" applyProtection="0"/>
    <xf numFmtId="0" fontId="53" fillId="50" borderId="0" applyNumberFormat="0" applyBorder="0" applyAlignment="0" applyProtection="0"/>
    <xf numFmtId="0" fontId="53" fillId="50" borderId="0" applyNumberFormat="0" applyBorder="0" applyAlignment="0" applyProtection="0"/>
    <xf numFmtId="0" fontId="54" fillId="50" borderId="0" applyNumberFormat="0" applyBorder="0" applyAlignment="0" applyProtection="0"/>
    <xf numFmtId="0" fontId="55" fillId="0" borderId="0"/>
    <xf numFmtId="0" fontId="57" fillId="0" borderId="15" applyNumberFormat="0" applyFill="0" applyAlignment="0" applyProtection="0"/>
    <xf numFmtId="0" fontId="59"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3" fillId="53" borderId="12" applyNumberFormat="0" applyAlignment="0" applyProtection="0"/>
    <xf numFmtId="0" fontId="62" fillId="53" borderId="12" applyNumberFormat="0" applyAlignment="0" applyProtection="0"/>
    <xf numFmtId="0" fontId="62" fillId="53" borderId="12" applyNumberFormat="0" applyAlignment="0" applyProtection="0"/>
    <xf numFmtId="43" fontId="4"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9" fillId="0" borderId="0" applyFont="0" applyFill="0" applyBorder="0" applyAlignment="0" applyProtection="0"/>
    <xf numFmtId="43" fontId="4" fillId="0" borderId="0" applyFont="0" applyFill="0" applyBorder="0" applyAlignment="0" applyProtection="0"/>
    <xf numFmtId="170" fontId="9" fillId="0" borderId="0" applyFont="0" applyFill="0" applyBorder="0" applyAlignment="0" applyProtection="0"/>
    <xf numFmtId="0" fontId="56" fillId="0" borderId="15" applyNumberFormat="0" applyFill="0" applyAlignment="0" applyProtection="0"/>
    <xf numFmtId="0" fontId="58" fillId="0" borderId="16" applyNumberFormat="0" applyFill="0" applyAlignment="0" applyProtection="0"/>
    <xf numFmtId="0" fontId="60" fillId="0" borderId="17" applyNumberFormat="0" applyFill="0" applyAlignment="0" applyProtection="0"/>
    <xf numFmtId="0" fontId="60" fillId="0" borderId="0" applyNumberFormat="0" applyFill="0" applyBorder="0" applyAlignment="0" applyProtection="0"/>
    <xf numFmtId="0" fontId="52" fillId="0" borderId="14" applyNumberFormat="0" applyFill="0" applyAlignment="0" applyProtection="0"/>
    <xf numFmtId="0" fontId="65" fillId="0" borderId="14" applyNumberFormat="0" applyFill="0" applyAlignment="0" applyProtection="0"/>
    <xf numFmtId="0" fontId="66" fillId="68" borderId="0" applyNumberFormat="0" applyBorder="0" applyAlignment="0" applyProtection="0"/>
    <xf numFmtId="0" fontId="66" fillId="68" borderId="0" applyNumberFormat="0" applyBorder="0" applyAlignment="0" applyProtection="0"/>
    <xf numFmtId="0" fontId="67" fillId="68" borderId="0" applyNumberFormat="0" applyBorder="0" applyAlignment="0" applyProtection="0"/>
    <xf numFmtId="0" fontId="68" fillId="0" borderId="0"/>
    <xf numFmtId="0" fontId="39" fillId="0" borderId="0"/>
    <xf numFmtId="0" fontId="39" fillId="69" borderId="18" applyNumberFormat="0" applyFont="0" applyAlignment="0" applyProtection="0"/>
    <xf numFmtId="0" fontId="9" fillId="69" borderId="18" applyNumberFormat="0" applyFont="0" applyAlignment="0" applyProtection="0"/>
    <xf numFmtId="0" fontId="40" fillId="69" borderId="18" applyNumberFormat="0" applyFont="0" applyAlignment="0" applyProtection="0"/>
    <xf numFmtId="0" fontId="40" fillId="69" borderId="18" applyNumberFormat="0" applyFont="0" applyAlignment="0" applyProtection="0"/>
    <xf numFmtId="0" fontId="40" fillId="69" borderId="18" applyNumberFormat="0" applyFont="0" applyAlignment="0" applyProtection="0"/>
    <xf numFmtId="0" fontId="4" fillId="18" borderId="7" applyNumberFormat="0" applyFont="0" applyAlignment="0" applyProtection="0"/>
    <xf numFmtId="0" fontId="4" fillId="18" borderId="7" applyNumberFormat="0" applyFont="0" applyAlignment="0" applyProtection="0"/>
    <xf numFmtId="0" fontId="4" fillId="18" borderId="7" applyNumberFormat="0" applyFont="0" applyAlignment="0" applyProtection="0"/>
    <xf numFmtId="0" fontId="45" fillId="49" borderId="0" applyNumberFormat="0" applyBorder="0" applyAlignment="0" applyProtection="0"/>
    <xf numFmtId="0" fontId="69" fillId="66" borderId="19" applyNumberFormat="0" applyAlignment="0" applyProtection="0"/>
    <xf numFmtId="9" fontId="9"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9" fillId="0" borderId="0"/>
    <xf numFmtId="0" fontId="9" fillId="0" borderId="0"/>
    <xf numFmtId="0" fontId="9" fillId="0" borderId="0"/>
    <xf numFmtId="0" fontId="4" fillId="0" borderId="0"/>
    <xf numFmtId="0" fontId="9" fillId="0" borderId="0"/>
    <xf numFmtId="0" fontId="4" fillId="0" borderId="0"/>
    <xf numFmtId="0" fontId="9" fillId="0" borderId="0"/>
    <xf numFmtId="0" fontId="34" fillId="0" borderId="0"/>
    <xf numFmtId="0" fontId="70" fillId="0" borderId="0"/>
    <xf numFmtId="0" fontId="4" fillId="0" borderId="0"/>
    <xf numFmtId="0" fontId="9" fillId="0" borderId="0" applyFill="0"/>
    <xf numFmtId="0" fontId="9" fillId="0" borderId="0"/>
    <xf numFmtId="0" fontId="9" fillId="0" borderId="0"/>
    <xf numFmtId="0" fontId="4" fillId="0" borderId="0"/>
    <xf numFmtId="0" fontId="64" fillId="0" borderId="0"/>
    <xf numFmtId="0" fontId="9" fillId="0" borderId="0"/>
    <xf numFmtId="0" fontId="9" fillId="0" borderId="0"/>
    <xf numFmtId="0" fontId="4" fillId="0" borderId="0"/>
    <xf numFmtId="0" fontId="4" fillId="0" borderId="0"/>
    <xf numFmtId="0" fontId="4"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20" applyNumberFormat="0" applyFill="0" applyAlignment="0" applyProtection="0"/>
    <xf numFmtId="0" fontId="72" fillId="0" borderId="20" applyNumberFormat="0" applyFill="0" applyAlignment="0" applyProtection="0"/>
    <xf numFmtId="0" fontId="72" fillId="0" borderId="20" applyNumberFormat="0" applyFill="0" applyAlignment="0" applyProtection="0"/>
    <xf numFmtId="0" fontId="72" fillId="0" borderId="20" applyNumberFormat="0" applyFill="0" applyAlignment="0" applyProtection="0"/>
    <xf numFmtId="0" fontId="50" fillId="0" borderId="0" applyNumberFormat="0" applyFill="0" applyBorder="0" applyAlignment="0" applyProtection="0"/>
    <xf numFmtId="0" fontId="73" fillId="0" borderId="0" applyNumberFormat="0" applyFill="0" applyBorder="0" applyAlignment="0" applyProtection="0"/>
    <xf numFmtId="0" fontId="3" fillId="0" borderId="0"/>
    <xf numFmtId="0" fontId="45" fillId="49" borderId="0" applyNumberFormat="0" applyBorder="0" applyAlignment="0" applyProtection="0"/>
    <xf numFmtId="0" fontId="74" fillId="66" borderId="12" applyNumberFormat="0" applyAlignment="0" applyProtection="0"/>
    <xf numFmtId="0" fontId="48" fillId="67" borderId="13" applyNumberFormat="0" applyAlignment="0" applyProtection="0"/>
    <xf numFmtId="43" fontId="3" fillId="0" borderId="0" applyFont="0" applyFill="0" applyBorder="0" applyAlignment="0" applyProtection="0"/>
    <xf numFmtId="0" fontId="50" fillId="0" borderId="0" applyNumberFormat="0" applyFill="0" applyBorder="0" applyAlignment="0" applyProtection="0"/>
    <xf numFmtId="0" fontId="56" fillId="0" borderId="15" applyNumberFormat="0" applyFill="0" applyAlignment="0" applyProtection="0"/>
    <xf numFmtId="0" fontId="58" fillId="0" borderId="16" applyNumberFormat="0" applyFill="0" applyAlignment="0" applyProtection="0"/>
    <xf numFmtId="0" fontId="60" fillId="0" borderId="17" applyNumberFormat="0" applyFill="0" applyAlignment="0" applyProtection="0"/>
    <xf numFmtId="0" fontId="60" fillId="0" borderId="0" applyNumberFormat="0" applyFill="0" applyBorder="0" applyAlignment="0" applyProtection="0"/>
    <xf numFmtId="0" fontId="62" fillId="53" borderId="12" applyNumberFormat="0" applyAlignment="0" applyProtection="0"/>
    <xf numFmtId="170" fontId="9" fillId="0" borderId="0" applyFont="0" applyFill="0" applyBorder="0" applyAlignment="0" applyProtection="0"/>
    <xf numFmtId="0" fontId="9" fillId="69" borderId="18" applyNumberFormat="0" applyFont="0" applyAlignment="0" applyProtection="0"/>
    <xf numFmtId="0" fontId="75" fillId="66" borderId="19" applyNumberFormat="0" applyAlignment="0" applyProtection="0"/>
    <xf numFmtId="0" fontId="9" fillId="0" borderId="0"/>
    <xf numFmtId="0" fontId="76" fillId="0" borderId="20" applyNumberFormat="0" applyFill="0" applyAlignment="0" applyProtection="0"/>
    <xf numFmtId="0" fontId="75" fillId="66" borderId="19" applyNumberFormat="0" applyAlignment="0" applyProtection="0"/>
    <xf numFmtId="0" fontId="75" fillId="66" borderId="19" applyNumberFormat="0" applyAlignment="0" applyProtection="0"/>
    <xf numFmtId="0" fontId="75" fillId="66" borderId="19" applyNumberFormat="0" applyAlignment="0" applyProtection="0"/>
    <xf numFmtId="44" fontId="9" fillId="0" borderId="0" applyFont="0" applyFill="0" applyBorder="0" applyAlignment="0" applyProtection="0"/>
    <xf numFmtId="0" fontId="73" fillId="0" borderId="0" applyNumberFormat="0" applyFill="0" applyBorder="0" applyAlignment="0" applyProtection="0"/>
    <xf numFmtId="0" fontId="77" fillId="0" borderId="0" applyNumberFormat="0" applyFill="0" applyBorder="0" applyAlignment="0" applyProtection="0"/>
    <xf numFmtId="0" fontId="78" fillId="0" borderId="0" applyNumberFormat="0" applyFont="0" applyBorder="0" applyAlignment="0" applyProtection="0"/>
    <xf numFmtId="0" fontId="2" fillId="0" borderId="0"/>
    <xf numFmtId="9" fontId="1" fillId="0" borderId="0" applyFont="0" applyFill="0" applyBorder="0" applyAlignment="0" applyProtection="0"/>
    <xf numFmtId="49" fontId="12" fillId="5" borderId="21">
      <alignment vertical="top"/>
    </xf>
    <xf numFmtId="49" fontId="10" fillId="19" borderId="21">
      <alignment vertical="top"/>
    </xf>
    <xf numFmtId="0" fontId="81" fillId="0" borderId="0" applyNumberFormat="0" applyFill="0" applyBorder="0" applyAlignment="0" applyProtection="0">
      <alignment vertical="top"/>
      <protection locked="0"/>
    </xf>
    <xf numFmtId="0" fontId="1" fillId="0" borderId="0"/>
    <xf numFmtId="44" fontId="9" fillId="0" borderId="0" applyFont="0" applyFill="0" applyBorder="0" applyAlignment="0" applyProtection="0"/>
    <xf numFmtId="170" fontId="9" fillId="0" borderId="0" applyFont="0" applyFill="0" applyBorder="0" applyAlignment="0" applyProtection="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2">
    <xf numFmtId="0" fontId="0" fillId="0" borderId="0" xfId="0">
      <alignment vertical="top"/>
    </xf>
    <xf numFmtId="43" fontId="9" fillId="0" borderId="0" xfId="4" applyNumberFormat="1">
      <alignment vertical="top"/>
    </xf>
    <xf numFmtId="41" fontId="9" fillId="0" borderId="0" xfId="64" applyNumberFormat="1">
      <alignment vertical="top"/>
    </xf>
    <xf numFmtId="43" fontId="5" fillId="11" borderId="0" xfId="63" applyFont="1" applyFill="1">
      <alignment vertical="top"/>
    </xf>
    <xf numFmtId="0" fontId="10" fillId="0" borderId="0" xfId="4" applyFont="1">
      <alignment vertical="top"/>
    </xf>
    <xf numFmtId="0" fontId="9" fillId="0" borderId="0" xfId="4">
      <alignment vertical="top"/>
    </xf>
    <xf numFmtId="0" fontId="11" fillId="0" borderId="0" xfId="4" applyFont="1">
      <alignment vertical="top"/>
    </xf>
    <xf numFmtId="0" fontId="13" fillId="0" borderId="0" xfId="4" applyFont="1">
      <alignment vertical="top"/>
    </xf>
    <xf numFmtId="0" fontId="14" fillId="0" borderId="0" xfId="4" applyFont="1">
      <alignment vertical="top"/>
    </xf>
    <xf numFmtId="0" fontId="9" fillId="0" borderId="2" xfId="4" applyBorder="1">
      <alignment vertical="top"/>
    </xf>
    <xf numFmtId="49" fontId="12" fillId="5" borderId="1" xfId="5">
      <alignment vertical="top"/>
    </xf>
    <xf numFmtId="49" fontId="10" fillId="19" borderId="1" xfId="6">
      <alignment vertical="top"/>
    </xf>
    <xf numFmtId="0" fontId="11" fillId="0" borderId="2" xfId="4" applyFont="1" applyBorder="1" applyAlignment="1">
      <alignment horizontal="left" vertical="top" wrapText="1"/>
    </xf>
    <xf numFmtId="0" fontId="9" fillId="0" borderId="2" xfId="4" applyBorder="1" applyAlignment="1">
      <alignment horizontal="left" vertical="top" wrapText="1"/>
    </xf>
    <xf numFmtId="0" fontId="9" fillId="6" borderId="0" xfId="4" applyFill="1">
      <alignment vertical="top"/>
    </xf>
    <xf numFmtId="2" fontId="9" fillId="10" borderId="0" xfId="4" applyNumberFormat="1" applyFill="1">
      <alignment vertical="top"/>
    </xf>
    <xf numFmtId="1" fontId="9" fillId="0" borderId="0" xfId="4" applyNumberFormat="1">
      <alignment vertical="top"/>
    </xf>
    <xf numFmtId="1" fontId="13" fillId="0" borderId="0" xfId="4" applyNumberFormat="1" applyFont="1">
      <alignment vertical="top"/>
    </xf>
    <xf numFmtId="0" fontId="16" fillId="0" borderId="0" xfId="4" applyFont="1">
      <alignment vertical="top"/>
    </xf>
    <xf numFmtId="49" fontId="11" fillId="19" borderId="2" xfId="6" applyFont="1" applyBorder="1">
      <alignment vertical="top"/>
    </xf>
    <xf numFmtId="0" fontId="12" fillId="5" borderId="1" xfId="5" applyNumberFormat="1">
      <alignment vertical="top"/>
    </xf>
    <xf numFmtId="0" fontId="18" fillId="0" borderId="0" xfId="4" applyFont="1">
      <alignment vertical="top"/>
    </xf>
    <xf numFmtId="0" fontId="11" fillId="8" borderId="0" xfId="4" applyFont="1" applyFill="1">
      <alignment vertical="top"/>
    </xf>
    <xf numFmtId="0" fontId="9" fillId="14" borderId="0" xfId="4" applyFill="1">
      <alignment vertical="top"/>
    </xf>
    <xf numFmtId="49" fontId="11" fillId="19" borderId="0" xfId="6" applyFont="1" applyBorder="1">
      <alignment vertical="top"/>
    </xf>
    <xf numFmtId="49" fontId="9" fillId="19" borderId="2" xfId="6" applyFont="1" applyBorder="1">
      <alignment vertical="top"/>
    </xf>
    <xf numFmtId="0" fontId="11" fillId="0" borderId="0" xfId="4" applyFont="1" applyAlignment="1">
      <alignment horizontal="left" vertical="top" wrapText="1"/>
    </xf>
    <xf numFmtId="49" fontId="10" fillId="0" borderId="0" xfId="7">
      <alignment vertical="top"/>
    </xf>
    <xf numFmtId="49" fontId="13" fillId="0" borderId="0" xfId="15">
      <alignment vertical="top"/>
    </xf>
    <xf numFmtId="41" fontId="9" fillId="12" borderId="0" xfId="8">
      <alignment vertical="top"/>
    </xf>
    <xf numFmtId="0" fontId="11" fillId="11" borderId="0" xfId="4" applyFont="1" applyFill="1">
      <alignment vertical="top"/>
    </xf>
    <xf numFmtId="41" fontId="9" fillId="9" borderId="0" xfId="10">
      <alignment vertical="top"/>
    </xf>
    <xf numFmtId="41" fontId="9" fillId="46" borderId="0" xfId="11">
      <alignment vertical="top"/>
    </xf>
    <xf numFmtId="41" fontId="9" fillId="46" borderId="2" xfId="11" applyBorder="1">
      <alignment vertical="top"/>
    </xf>
    <xf numFmtId="43" fontId="16" fillId="0" borderId="0" xfId="63" applyFont="1" applyFill="1">
      <alignment vertical="top"/>
    </xf>
    <xf numFmtId="10" fontId="9" fillId="0" borderId="0" xfId="64">
      <alignment vertical="top"/>
    </xf>
    <xf numFmtId="41" fontId="9" fillId="45" borderId="0" xfId="65">
      <alignment vertical="top"/>
    </xf>
    <xf numFmtId="41" fontId="9" fillId="13" borderId="0" xfId="13">
      <alignment vertical="top"/>
    </xf>
    <xf numFmtId="41" fontId="9" fillId="11" borderId="0" xfId="9">
      <alignment vertical="top"/>
    </xf>
    <xf numFmtId="41" fontId="9" fillId="0" borderId="0" xfId="11" applyFill="1">
      <alignment vertical="top"/>
    </xf>
    <xf numFmtId="41" fontId="9" fillId="0" borderId="0" xfId="13" applyFill="1">
      <alignment vertical="top"/>
    </xf>
    <xf numFmtId="164" fontId="9" fillId="13" borderId="0" xfId="13" applyNumberFormat="1">
      <alignment vertical="top"/>
    </xf>
    <xf numFmtId="0" fontId="5" fillId="0" borderId="0" xfId="0" applyFont="1" applyAlignment="1"/>
    <xf numFmtId="0" fontId="31" fillId="0" borderId="0" xfId="0" applyFont="1" applyAlignment="1"/>
    <xf numFmtId="168" fontId="5" fillId="0" borderId="0" xfId="63" applyNumberFormat="1" applyFont="1" applyFill="1" applyAlignment="1"/>
    <xf numFmtId="0" fontId="0" fillId="0" borderId="0" xfId="0" applyAlignment="1"/>
    <xf numFmtId="10" fontId="9" fillId="11" borderId="0" xfId="64" applyFill="1">
      <alignment vertical="top"/>
    </xf>
    <xf numFmtId="0" fontId="9" fillId="0" borderId="2" xfId="4" applyBorder="1" applyAlignment="1">
      <alignment vertical="top" wrapText="1"/>
    </xf>
    <xf numFmtId="49" fontId="17" fillId="5" borderId="1" xfId="5" applyFont="1">
      <alignment vertical="top"/>
    </xf>
    <xf numFmtId="49" fontId="25" fillId="0" borderId="2" xfId="61" applyBorder="1" applyAlignment="1">
      <alignment vertical="top" wrapText="1"/>
    </xf>
    <xf numFmtId="10" fontId="9" fillId="0" borderId="0" xfId="4" applyNumberFormat="1">
      <alignment vertical="top"/>
    </xf>
    <xf numFmtId="10" fontId="9" fillId="0" borderId="0" xfId="64" applyFill="1">
      <alignment vertical="top"/>
    </xf>
    <xf numFmtId="0" fontId="5" fillId="0" borderId="0" xfId="0" applyFont="1">
      <alignment vertical="top"/>
    </xf>
    <xf numFmtId="0" fontId="31" fillId="0" borderId="0" xfId="0" applyFont="1">
      <alignment vertical="top"/>
    </xf>
    <xf numFmtId="0" fontId="5" fillId="0" borderId="0" xfId="0" applyFont="1" applyAlignment="1">
      <alignment horizontal="center"/>
    </xf>
    <xf numFmtId="0" fontId="10" fillId="6" borderId="0" xfId="0" applyFont="1" applyFill="1">
      <alignment vertical="top"/>
    </xf>
    <xf numFmtId="0" fontId="10" fillId="0" borderId="0" xfId="0" applyFont="1">
      <alignment vertical="top"/>
    </xf>
    <xf numFmtId="39" fontId="10" fillId="0" borderId="0" xfId="77" applyNumberFormat="1" applyFont="1"/>
    <xf numFmtId="169" fontId="9" fillId="11" borderId="0" xfId="0" applyNumberFormat="1" applyFont="1" applyFill="1" applyAlignment="1">
      <alignment horizontal="center"/>
    </xf>
    <xf numFmtId="43" fontId="5" fillId="0" borderId="0" xfId="0" applyNumberFormat="1" applyFont="1">
      <alignment vertical="top"/>
    </xf>
    <xf numFmtId="0" fontId="9" fillId="0" borderId="0" xfId="0" applyFont="1">
      <alignment vertical="top"/>
    </xf>
    <xf numFmtId="0" fontId="35" fillId="0" borderId="0" xfId="0" applyFont="1">
      <alignment vertical="top"/>
    </xf>
    <xf numFmtId="0" fontId="9" fillId="0" borderId="0" xfId="78" applyFont="1"/>
    <xf numFmtId="168" fontId="5" fillId="13" borderId="0" xfId="0" applyNumberFormat="1" applyFont="1" applyFill="1">
      <alignment vertical="top"/>
    </xf>
    <xf numFmtId="170" fontId="37" fillId="47" borderId="0" xfId="79" applyNumberFormat="1" applyFont="1" applyFill="1"/>
    <xf numFmtId="168" fontId="5" fillId="11" borderId="0" xfId="0" applyNumberFormat="1" applyFont="1" applyFill="1">
      <alignment vertical="top"/>
    </xf>
    <xf numFmtId="0" fontId="9" fillId="0" borderId="0" xfId="0" applyFont="1" applyAlignment="1">
      <alignment vertical="center"/>
    </xf>
    <xf numFmtId="170" fontId="5" fillId="13" borderId="0" xfId="0" applyNumberFormat="1" applyFont="1" applyFill="1">
      <alignment vertical="top"/>
    </xf>
    <xf numFmtId="170" fontId="5" fillId="11" borderId="0" xfId="0" applyNumberFormat="1" applyFont="1" applyFill="1">
      <alignment vertical="top"/>
    </xf>
    <xf numFmtId="170" fontId="5" fillId="0" borderId="0" xfId="0" applyNumberFormat="1" applyFont="1">
      <alignment vertical="top"/>
    </xf>
    <xf numFmtId="170" fontId="9" fillId="0" borderId="0" xfId="81" applyNumberFormat="1"/>
    <xf numFmtId="170" fontId="38" fillId="47" borderId="0" xfId="79" applyNumberFormat="1" applyFont="1" applyFill="1"/>
    <xf numFmtId="171" fontId="9" fillId="0" borderId="0" xfId="81" applyNumberFormat="1"/>
    <xf numFmtId="172" fontId="5" fillId="0" borderId="0" xfId="0" applyNumberFormat="1" applyFont="1">
      <alignment vertical="top"/>
    </xf>
    <xf numFmtId="170" fontId="37" fillId="47" borderId="0" xfId="79" applyNumberFormat="1" applyFont="1" applyFill="1" applyAlignment="1">
      <alignment horizontal="left"/>
    </xf>
    <xf numFmtId="164" fontId="5" fillId="0" borderId="0" xfId="0" applyNumberFormat="1" applyFont="1">
      <alignment vertical="top"/>
    </xf>
    <xf numFmtId="0" fontId="14" fillId="0" borderId="0" xfId="0" applyFont="1">
      <alignment vertical="top"/>
    </xf>
    <xf numFmtId="43" fontId="5" fillId="0" borderId="0" xfId="63" applyFont="1" applyFill="1">
      <alignment vertical="top"/>
    </xf>
    <xf numFmtId="41" fontId="9" fillId="0" borderId="0" xfId="9" applyFill="1">
      <alignment vertical="top"/>
    </xf>
    <xf numFmtId="164" fontId="9" fillId="11" borderId="0" xfId="9" applyNumberFormat="1">
      <alignment vertical="top"/>
    </xf>
    <xf numFmtId="41" fontId="9" fillId="44" borderId="0" xfId="62" applyNumberFormat="1">
      <alignment vertical="top"/>
    </xf>
    <xf numFmtId="41" fontId="9" fillId="0" borderId="0" xfId="62" applyNumberFormat="1" applyFill="1">
      <alignment vertical="top"/>
    </xf>
    <xf numFmtId="41" fontId="5" fillId="0" borderId="0" xfId="0" applyNumberFormat="1" applyFont="1">
      <alignment vertical="top"/>
    </xf>
    <xf numFmtId="168" fontId="5" fillId="0" borderId="0" xfId="0" applyNumberFormat="1" applyFont="1">
      <alignment vertical="top"/>
    </xf>
    <xf numFmtId="176" fontId="5" fillId="0" borderId="0" xfId="0" applyNumberFormat="1" applyFont="1">
      <alignment vertical="top"/>
    </xf>
    <xf numFmtId="41" fontId="9" fillId="70" borderId="0" xfId="62" applyNumberFormat="1" applyFill="1">
      <alignment vertical="top"/>
    </xf>
    <xf numFmtId="0" fontId="79" fillId="0" borderId="0" xfId="290" applyFont="1" applyAlignment="1">
      <alignment vertical="top"/>
    </xf>
    <xf numFmtId="164" fontId="9" fillId="0" borderId="0" xfId="4" applyNumberFormat="1">
      <alignment vertical="top"/>
    </xf>
    <xf numFmtId="175" fontId="9" fillId="13" borderId="0" xfId="13" applyNumberFormat="1">
      <alignment vertical="top"/>
    </xf>
    <xf numFmtId="164" fontId="9" fillId="0" borderId="0" xfId="13" applyNumberFormat="1" applyFill="1">
      <alignment vertical="top"/>
    </xf>
    <xf numFmtId="49" fontId="10" fillId="71" borderId="21" xfId="6" applyFill="1" applyBorder="1">
      <alignment vertical="top"/>
    </xf>
    <xf numFmtId="41" fontId="9" fillId="72" borderId="0" xfId="9" applyFill="1">
      <alignment vertical="top"/>
    </xf>
    <xf numFmtId="2" fontId="5" fillId="11" borderId="0" xfId="0" applyNumberFormat="1" applyFont="1" applyFill="1">
      <alignment vertical="top"/>
    </xf>
    <xf numFmtId="165" fontId="5" fillId="11" borderId="0" xfId="294" applyNumberFormat="1" applyFont="1" applyFill="1"/>
    <xf numFmtId="10" fontId="5" fillId="11" borderId="0" xfId="294" applyNumberFormat="1" applyFont="1" applyFill="1"/>
    <xf numFmtId="0" fontId="12" fillId="5" borderId="21" xfId="295" applyNumberFormat="1">
      <alignment vertical="top"/>
    </xf>
    <xf numFmtId="49" fontId="10" fillId="19" borderId="21" xfId="296">
      <alignment vertical="top"/>
    </xf>
    <xf numFmtId="49" fontId="10" fillId="71" borderId="21" xfId="296" applyFill="1">
      <alignment vertical="top"/>
    </xf>
    <xf numFmtId="164" fontId="9" fillId="46" borderId="0" xfId="11" applyNumberFormat="1">
      <alignment vertical="top"/>
    </xf>
    <xf numFmtId="164" fontId="0" fillId="0" borderId="0" xfId="0" applyNumberFormat="1">
      <alignment vertical="top"/>
    </xf>
    <xf numFmtId="175" fontId="9" fillId="46" borderId="0" xfId="11" applyNumberFormat="1">
      <alignment vertical="top"/>
    </xf>
    <xf numFmtId="49" fontId="9" fillId="0" borderId="0" xfId="7" applyFont="1">
      <alignment vertical="top"/>
    </xf>
    <xf numFmtId="169" fontId="9" fillId="44" borderId="0" xfId="62" applyNumberFormat="1">
      <alignment vertical="top"/>
    </xf>
    <xf numFmtId="169" fontId="9" fillId="0" borderId="0" xfId="62" applyNumberFormat="1" applyFill="1">
      <alignment vertical="top"/>
    </xf>
    <xf numFmtId="0" fontId="5" fillId="0" borderId="1" xfId="0" applyFont="1" applyBorder="1">
      <alignment vertical="top"/>
    </xf>
    <xf numFmtId="41" fontId="9" fillId="7" borderId="0" xfId="12">
      <alignment vertical="top"/>
    </xf>
    <xf numFmtId="41" fontId="9" fillId="19" borderId="0" xfId="11" applyFill="1">
      <alignment vertical="top"/>
    </xf>
    <xf numFmtId="41" fontId="9" fillId="46" borderId="0" xfId="9" applyFill="1">
      <alignment vertical="top"/>
    </xf>
    <xf numFmtId="41" fontId="9" fillId="46" borderId="0" xfId="13" applyFill="1">
      <alignment vertical="top"/>
    </xf>
    <xf numFmtId="0" fontId="5" fillId="0" borderId="0" xfId="247" applyFont="1"/>
    <xf numFmtId="0" fontId="9" fillId="0" borderId="0" xfId="284"/>
    <xf numFmtId="41" fontId="9" fillId="13" borderId="0" xfId="11" applyFill="1">
      <alignment vertical="top"/>
    </xf>
    <xf numFmtId="170" fontId="82" fillId="0" borderId="0" xfId="199" applyFont="1" applyBorder="1" applyAlignment="1">
      <alignment horizontal="right"/>
    </xf>
    <xf numFmtId="169" fontId="82" fillId="0" borderId="0" xfId="199" applyNumberFormat="1" applyFont="1" applyBorder="1" applyAlignment="1">
      <alignment horizontal="right"/>
    </xf>
    <xf numFmtId="169" fontId="82" fillId="0" borderId="0" xfId="199" applyNumberFormat="1" applyFont="1" applyFill="1" applyBorder="1" applyAlignment="1">
      <alignment horizontal="right"/>
    </xf>
    <xf numFmtId="41" fontId="9" fillId="0" borderId="0" xfId="4" applyNumberFormat="1">
      <alignment vertical="top"/>
    </xf>
    <xf numFmtId="0" fontId="9" fillId="73" borderId="2" xfId="4" applyFill="1" applyBorder="1" applyAlignment="1">
      <alignment horizontal="left" vertical="top" wrapText="1"/>
    </xf>
    <xf numFmtId="0" fontId="9" fillId="0" borderId="2" xfId="4" applyFill="1" applyBorder="1" applyAlignment="1">
      <alignment horizontal="left" vertical="top" wrapText="1"/>
    </xf>
    <xf numFmtId="0" fontId="9" fillId="0" borderId="0" xfId="4" applyFill="1">
      <alignment vertical="top"/>
    </xf>
    <xf numFmtId="0" fontId="9" fillId="0" borderId="0" xfId="4" applyFont="1">
      <alignment vertical="top"/>
    </xf>
    <xf numFmtId="164" fontId="9" fillId="12" borderId="0" xfId="8" applyNumberFormat="1">
      <alignment vertical="top"/>
    </xf>
    <xf numFmtId="0" fontId="9" fillId="0" borderId="0" xfId="4" applyAlignment="1">
      <alignment horizontal="left" vertical="top" wrapText="1"/>
    </xf>
  </cellXfs>
  <cellStyles count="328">
    <cellStyle name=" 1" xfId="66" xr:uid="{00000000-0005-0000-0000-000000000000}"/>
    <cellStyle name=" 2" xfId="67" xr:uid="{00000000-0005-0000-0000-000001000000}"/>
    <cellStyle name=" 3" xfId="68" xr:uid="{00000000-0005-0000-0000-000002000000}"/>
    <cellStyle name=" 4" xfId="69" xr:uid="{00000000-0005-0000-0000-000003000000}"/>
    <cellStyle name=" 5" xfId="70" xr:uid="{00000000-0005-0000-0000-000004000000}"/>
    <cellStyle name=" 6" xfId="71" xr:uid="{00000000-0005-0000-0000-000005000000}"/>
    <cellStyle name="_x000d__x000a_JournalTemplate=C:\COMFO\CTALK\JOURSTD.TPL_x000d__x000a_LbStateAddress=3 3 0 251 1 89 2 311_x000d__x000a_LbStateJou" xfId="79" xr:uid="{00000000-0005-0000-0000-000006000000}"/>
    <cellStyle name="_x000d__x000a_JournalTemplate=C:\COMFO\CTALK\JOURSTD.TPL_x000d__x000a_LbStateAddress=3 3 0 251 1 89 2 311_x000d__x000a_LbStateJou 10" xfId="82" xr:uid="{00000000-0005-0000-0000-000007000000}"/>
    <cellStyle name="_x000d__x000a_JournalTemplate=C:\COMFO\CTALK\JOURSTD.TPL_x000d__x000a_LbStateAddress=3 3 0 251 1 89 2 311_x000d__x000a_LbStateJou 2" xfId="83" xr:uid="{00000000-0005-0000-0000-000008000000}"/>
    <cellStyle name="_x000d__x000a_JournalTemplate=C:\COMFO\CTALK\JOURSTD.TPL_x000d__x000a_LbStateAddress=3 3 0 251 1 89 2 311_x000d__x000a_LbStateJou 2 2" xfId="84" xr:uid="{00000000-0005-0000-0000-000009000000}"/>
    <cellStyle name="_x000d__x000a_JournalTemplate=C:\COMFO\CTALK\JOURSTD.TPL_x000d__x000a_LbStateAddress=3 3 0 251 1 89 2 311_x000d__x000a_LbStateJou 2 3" xfId="85" xr:uid="{00000000-0005-0000-0000-00000A000000}"/>
    <cellStyle name="_x000d__x000a_JournalTemplate=C:\COMFO\CTALK\JOURSTD.TPL_x000d__x000a_LbStateAddress=3 3 0 251 1 89 2 311_x000d__x000a_LbStateJou 2 4" xfId="86" xr:uid="{00000000-0005-0000-0000-00000B000000}"/>
    <cellStyle name="_x000d__x000a_JournalTemplate=C:\COMFO\CTALK\JOURSTD.TPL_x000d__x000a_LbStateAddress=3 3 0 251 1 89 2 311_x000d__x000a_LbStateJou 3" xfId="87" xr:uid="{00000000-0005-0000-0000-00000C000000}"/>
    <cellStyle name="_x000d__x000a_JournalTemplate=C:\COMFO\CTALK\JOURSTD.TPL_x000d__x000a_LbStateAddress=3 3 0 251 1 89 2 311_x000d__x000a_LbStateJou 3 2" xfId="88" xr:uid="{00000000-0005-0000-0000-00000D000000}"/>
    <cellStyle name="_x000d__x000a_JournalTemplate=C:\COMFO\CTALK\JOURSTD.TPL_x000d__x000a_LbStateAddress=3 3 0 251 1 89 2 311_x000d__x000a_LbStateJou 4" xfId="89" xr:uid="{00000000-0005-0000-0000-00000E000000}"/>
    <cellStyle name="_x000d__x000a_JournalTemplate=C:\COMFO\CTALK\JOURSTD.TPL_x000d__x000a_LbStateAddress=3 3 0 251 1 89 2 311_x000d__x000a_LbStateJou_100720 berekening x-factoren NG4R v4.2" xfId="90" xr:uid="{00000000-0005-0000-0000-00000F000000}"/>
    <cellStyle name="_kop1 Bladtitel" xfId="5" xr:uid="{00000000-0005-0000-0000-000010000000}"/>
    <cellStyle name="_kop1 Bladtitel 2" xfId="295" xr:uid="{00000000-0005-0000-0000-000011000000}"/>
    <cellStyle name="_kop2 Bloktitel" xfId="6" xr:uid="{00000000-0005-0000-0000-000012000000}"/>
    <cellStyle name="_kop2 Bloktitel 2" xfId="296" xr:uid="{00000000-0005-0000-0000-000013000000}"/>
    <cellStyle name="_kop3 Subkop" xfId="7" xr:uid="{00000000-0005-0000-0000-000014000000}"/>
    <cellStyle name="20% - Accent1" xfId="37" builtinId="30" hidden="1"/>
    <cellStyle name="20% - Accent1 2" xfId="91" xr:uid="{00000000-0005-0000-0000-000016000000}"/>
    <cellStyle name="20% - Accent1 2 2" xfId="92" xr:uid="{00000000-0005-0000-0000-000017000000}"/>
    <cellStyle name="20% - Accent1 3" xfId="93" xr:uid="{00000000-0005-0000-0000-000018000000}"/>
    <cellStyle name="20% - Accent1 3 2" xfId="94" xr:uid="{00000000-0005-0000-0000-000019000000}"/>
    <cellStyle name="20% - Accent2" xfId="41" builtinId="34" hidden="1"/>
    <cellStyle name="20% - Accent2 2" xfId="95" xr:uid="{00000000-0005-0000-0000-00001B000000}"/>
    <cellStyle name="20% - Accent2 2 2" xfId="96" xr:uid="{00000000-0005-0000-0000-00001C000000}"/>
    <cellStyle name="20% - Accent2 3" xfId="97" xr:uid="{00000000-0005-0000-0000-00001D000000}"/>
    <cellStyle name="20% - Accent2 3 2" xfId="98" xr:uid="{00000000-0005-0000-0000-00001E000000}"/>
    <cellStyle name="20% - Accent3" xfId="45" builtinId="38" hidden="1"/>
    <cellStyle name="20% - Accent3 2" xfId="99" xr:uid="{00000000-0005-0000-0000-000020000000}"/>
    <cellStyle name="20% - Accent3 2 2" xfId="100" xr:uid="{00000000-0005-0000-0000-000021000000}"/>
    <cellStyle name="20% - Accent3 3" xfId="101" xr:uid="{00000000-0005-0000-0000-000022000000}"/>
    <cellStyle name="20% - Accent3 3 2" xfId="102" xr:uid="{00000000-0005-0000-0000-000023000000}"/>
    <cellStyle name="20% - Accent4" xfId="49" builtinId="42" hidden="1"/>
    <cellStyle name="20% - Accent4 2" xfId="103" xr:uid="{00000000-0005-0000-0000-000025000000}"/>
    <cellStyle name="20% - Accent4 2 2" xfId="104" xr:uid="{00000000-0005-0000-0000-000026000000}"/>
    <cellStyle name="20% - Accent4 3" xfId="105" xr:uid="{00000000-0005-0000-0000-000027000000}"/>
    <cellStyle name="20% - Accent4 3 2" xfId="106" xr:uid="{00000000-0005-0000-0000-000028000000}"/>
    <cellStyle name="20% - Accent5" xfId="53" builtinId="46" hidden="1"/>
    <cellStyle name="20% - Accent5 2" xfId="107" xr:uid="{00000000-0005-0000-0000-00002A000000}"/>
    <cellStyle name="20% - Accent5 2 2" xfId="108" xr:uid="{00000000-0005-0000-0000-00002B000000}"/>
    <cellStyle name="20% - Accent5 3" xfId="109" xr:uid="{00000000-0005-0000-0000-00002C000000}"/>
    <cellStyle name="20% - Accent5 3 2" xfId="110" xr:uid="{00000000-0005-0000-0000-00002D000000}"/>
    <cellStyle name="20% - Accent6" xfId="57" builtinId="50" hidden="1"/>
    <cellStyle name="20% - Accent6 2" xfId="111" xr:uid="{00000000-0005-0000-0000-00002F000000}"/>
    <cellStyle name="20% - Accent6 2 2" xfId="112" xr:uid="{00000000-0005-0000-0000-000030000000}"/>
    <cellStyle name="20% - Accent6 3" xfId="113" xr:uid="{00000000-0005-0000-0000-000031000000}"/>
    <cellStyle name="20% - Accent6 3 2" xfId="114" xr:uid="{00000000-0005-0000-0000-000032000000}"/>
    <cellStyle name="40% - Accent1" xfId="38" builtinId="31" hidden="1"/>
    <cellStyle name="40% - Accent1 2" xfId="115" xr:uid="{00000000-0005-0000-0000-000034000000}"/>
    <cellStyle name="40% - Accent1 2 2" xfId="116" xr:uid="{00000000-0005-0000-0000-000035000000}"/>
    <cellStyle name="40% - Accent1 3" xfId="117" xr:uid="{00000000-0005-0000-0000-000036000000}"/>
    <cellStyle name="40% - Accent1 3 2" xfId="118" xr:uid="{00000000-0005-0000-0000-000037000000}"/>
    <cellStyle name="40% - Accent2" xfId="42" builtinId="35" hidden="1"/>
    <cellStyle name="40% - Accent2 2" xfId="119" xr:uid="{00000000-0005-0000-0000-000039000000}"/>
    <cellStyle name="40% - Accent2 2 2" xfId="120" xr:uid="{00000000-0005-0000-0000-00003A000000}"/>
    <cellStyle name="40% - Accent2 3" xfId="121" xr:uid="{00000000-0005-0000-0000-00003B000000}"/>
    <cellStyle name="40% - Accent2 3 2" xfId="122" xr:uid="{00000000-0005-0000-0000-00003C000000}"/>
    <cellStyle name="40% - Accent3" xfId="46" builtinId="39" hidden="1"/>
    <cellStyle name="40% - Accent3 2" xfId="123" xr:uid="{00000000-0005-0000-0000-00003E000000}"/>
    <cellStyle name="40% - Accent3 2 2" xfId="124" xr:uid="{00000000-0005-0000-0000-00003F000000}"/>
    <cellStyle name="40% - Accent3 3" xfId="125" xr:uid="{00000000-0005-0000-0000-000040000000}"/>
    <cellStyle name="40% - Accent3 3 2" xfId="126" xr:uid="{00000000-0005-0000-0000-000041000000}"/>
    <cellStyle name="40% - Accent4" xfId="50" builtinId="43" hidden="1"/>
    <cellStyle name="40% - Accent4 2" xfId="127" xr:uid="{00000000-0005-0000-0000-000043000000}"/>
    <cellStyle name="40% - Accent4 2 2" xfId="128" xr:uid="{00000000-0005-0000-0000-000044000000}"/>
    <cellStyle name="40% - Accent4 3" xfId="129" xr:uid="{00000000-0005-0000-0000-000045000000}"/>
    <cellStyle name="40% - Accent4 3 2" xfId="130" xr:uid="{00000000-0005-0000-0000-000046000000}"/>
    <cellStyle name="40% - Accent5" xfId="54" builtinId="47" hidden="1"/>
    <cellStyle name="40% - Accent5 2" xfId="131" xr:uid="{00000000-0005-0000-0000-000048000000}"/>
    <cellStyle name="40% - Accent5 2 2" xfId="132" xr:uid="{00000000-0005-0000-0000-000049000000}"/>
    <cellStyle name="40% - Accent5 3" xfId="133" xr:uid="{00000000-0005-0000-0000-00004A000000}"/>
    <cellStyle name="40% - Accent5 3 2" xfId="134" xr:uid="{00000000-0005-0000-0000-00004B000000}"/>
    <cellStyle name="40% - Accent6" xfId="58" builtinId="51" hidden="1"/>
    <cellStyle name="40% - Accent6 2" xfId="135" xr:uid="{00000000-0005-0000-0000-00004D000000}"/>
    <cellStyle name="40% - Accent6 2 2" xfId="136" xr:uid="{00000000-0005-0000-0000-00004E000000}"/>
    <cellStyle name="40% - Accent6 3" xfId="137" xr:uid="{00000000-0005-0000-0000-00004F000000}"/>
    <cellStyle name="40% - Accent6 3 2" xfId="138" xr:uid="{00000000-0005-0000-0000-000050000000}"/>
    <cellStyle name="60% - Accent1" xfId="39" builtinId="32" hidden="1"/>
    <cellStyle name="60% - Accent1 2" xfId="139" xr:uid="{00000000-0005-0000-0000-000052000000}"/>
    <cellStyle name="60% - Accent1 2 2" xfId="140" xr:uid="{00000000-0005-0000-0000-000053000000}"/>
    <cellStyle name="60% - Accent1 3" xfId="141" xr:uid="{00000000-0005-0000-0000-000054000000}"/>
    <cellStyle name="60% - Accent2" xfId="43" builtinId="36" hidden="1"/>
    <cellStyle name="60% - Accent2 2" xfId="142" xr:uid="{00000000-0005-0000-0000-000056000000}"/>
    <cellStyle name="60% - Accent2 2 2" xfId="143" xr:uid="{00000000-0005-0000-0000-000057000000}"/>
    <cellStyle name="60% - Accent2 3" xfId="144" xr:uid="{00000000-0005-0000-0000-000058000000}"/>
    <cellStyle name="60% - Accent3" xfId="47" builtinId="40" hidden="1"/>
    <cellStyle name="60% - Accent3 2" xfId="145" xr:uid="{00000000-0005-0000-0000-00005A000000}"/>
    <cellStyle name="60% - Accent3 2 2" xfId="146" xr:uid="{00000000-0005-0000-0000-00005B000000}"/>
    <cellStyle name="60% - Accent3 3" xfId="147" xr:uid="{00000000-0005-0000-0000-00005C000000}"/>
    <cellStyle name="60% - Accent4" xfId="51" builtinId="44" hidden="1"/>
    <cellStyle name="60% - Accent4 2" xfId="148" xr:uid="{00000000-0005-0000-0000-00005E000000}"/>
    <cellStyle name="60% - Accent4 2 2" xfId="149" xr:uid="{00000000-0005-0000-0000-00005F000000}"/>
    <cellStyle name="60% - Accent4 3" xfId="150" xr:uid="{00000000-0005-0000-0000-000060000000}"/>
    <cellStyle name="60% - Accent5" xfId="55" builtinId="48" hidden="1"/>
    <cellStyle name="60% - Accent5 2" xfId="151" xr:uid="{00000000-0005-0000-0000-000062000000}"/>
    <cellStyle name="60% - Accent5 2 2" xfId="152" xr:uid="{00000000-0005-0000-0000-000063000000}"/>
    <cellStyle name="60% - Accent5 3" xfId="153" xr:uid="{00000000-0005-0000-0000-000064000000}"/>
    <cellStyle name="60% - Accent6" xfId="59" builtinId="52" hidden="1"/>
    <cellStyle name="60% - Accent6 2" xfId="154" xr:uid="{00000000-0005-0000-0000-000066000000}"/>
    <cellStyle name="60% - Accent6 2 2" xfId="155" xr:uid="{00000000-0005-0000-0000-000067000000}"/>
    <cellStyle name="60% - Accent6 3" xfId="156" xr:uid="{00000000-0005-0000-0000-000068000000}"/>
    <cellStyle name="Accent1" xfId="36" builtinId="29" hidden="1"/>
    <cellStyle name="Accent1 2" xfId="157" xr:uid="{00000000-0005-0000-0000-00006A000000}"/>
    <cellStyle name="Accent1 2 2" xfId="158" xr:uid="{00000000-0005-0000-0000-00006B000000}"/>
    <cellStyle name="Accent1 3" xfId="159" xr:uid="{00000000-0005-0000-0000-00006C000000}"/>
    <cellStyle name="Accent2" xfId="40" builtinId="33" hidden="1"/>
    <cellStyle name="Accent2 2" xfId="160" xr:uid="{00000000-0005-0000-0000-00006E000000}"/>
    <cellStyle name="Accent2 2 2" xfId="161" xr:uid="{00000000-0005-0000-0000-00006F000000}"/>
    <cellStyle name="Accent2 3" xfId="162" xr:uid="{00000000-0005-0000-0000-000070000000}"/>
    <cellStyle name="Accent3" xfId="44" builtinId="37" hidden="1"/>
    <cellStyle name="Accent3 2" xfId="163" xr:uid="{00000000-0005-0000-0000-000072000000}"/>
    <cellStyle name="Accent3 2 2" xfId="164" xr:uid="{00000000-0005-0000-0000-000073000000}"/>
    <cellStyle name="Accent3 3" xfId="165" xr:uid="{00000000-0005-0000-0000-000074000000}"/>
    <cellStyle name="Accent4" xfId="48" builtinId="41" hidden="1"/>
    <cellStyle name="Accent4 2" xfId="166" xr:uid="{00000000-0005-0000-0000-000076000000}"/>
    <cellStyle name="Accent4 2 2" xfId="167" xr:uid="{00000000-0005-0000-0000-000077000000}"/>
    <cellStyle name="Accent4 3" xfId="168" xr:uid="{00000000-0005-0000-0000-000078000000}"/>
    <cellStyle name="Accent5" xfId="52" builtinId="45" hidden="1"/>
    <cellStyle name="Accent5 2" xfId="169" xr:uid="{00000000-0005-0000-0000-00007A000000}"/>
    <cellStyle name="Accent5 2 2" xfId="170" xr:uid="{00000000-0005-0000-0000-00007B000000}"/>
    <cellStyle name="Accent5 3" xfId="171" xr:uid="{00000000-0005-0000-0000-00007C000000}"/>
    <cellStyle name="Accent6" xfId="56" builtinId="49" hidden="1"/>
    <cellStyle name="Accent6 2" xfId="172" xr:uid="{00000000-0005-0000-0000-00007E000000}"/>
    <cellStyle name="Accent6 2 2" xfId="173" xr:uid="{00000000-0005-0000-0000-00007F000000}"/>
    <cellStyle name="Accent6 3" xfId="174" xr:uid="{00000000-0005-0000-0000-000080000000}"/>
    <cellStyle name="Bad" xfId="2" hidden="1" xr:uid="{00000000-0005-0000-0000-000081000000}"/>
    <cellStyle name="Bad" xfId="271" xr:uid="{00000000-0005-0000-0000-000082000000}"/>
    <cellStyle name="Bad 2" xfId="175" xr:uid="{00000000-0005-0000-0000-000083000000}"/>
    <cellStyle name="Berekening 2" xfId="176" xr:uid="{00000000-0005-0000-0000-000084000000}"/>
    <cellStyle name="Berekening 2 2" xfId="177" xr:uid="{00000000-0005-0000-0000-000085000000}"/>
    <cellStyle name="Calculation" xfId="18" builtinId="22" hidden="1"/>
    <cellStyle name="Calculation" xfId="178" xr:uid="{00000000-0005-0000-0000-000087000000}"/>
    <cellStyle name="Calculation 2" xfId="272" xr:uid="{00000000-0005-0000-0000-000088000000}"/>
    <cellStyle name="Cel (tussen)resultaat" xfId="8" xr:uid="{00000000-0005-0000-0000-000089000000}"/>
    <cellStyle name="Cel Berekening" xfId="9" xr:uid="{00000000-0005-0000-0000-00008A000000}"/>
    <cellStyle name="Cel Bijzonderheid" xfId="10" xr:uid="{00000000-0005-0000-0000-00008B000000}"/>
    <cellStyle name="Cel Dataverzoek" xfId="65" xr:uid="{00000000-0005-0000-0000-00008C000000}"/>
    <cellStyle name="Cel Input" xfId="11" xr:uid="{00000000-0005-0000-0000-00008D000000}"/>
    <cellStyle name="Cel Input 2" xfId="72" xr:uid="{00000000-0005-0000-0000-00008E000000}"/>
    <cellStyle name="Cel Input 3" xfId="73" xr:uid="{00000000-0005-0000-0000-00008F000000}"/>
    <cellStyle name="Cel Input Data" xfId="74" xr:uid="{00000000-0005-0000-0000-000090000000}"/>
    <cellStyle name="Cel n.v.t. (leeg)" xfId="62" xr:uid="{00000000-0005-0000-0000-000091000000}"/>
    <cellStyle name="Cel PM extern" xfId="12" xr:uid="{00000000-0005-0000-0000-000092000000}"/>
    <cellStyle name="Cel Verwijzing" xfId="13" xr:uid="{00000000-0005-0000-0000-000093000000}"/>
    <cellStyle name="Check Cell" xfId="20" hidden="1" xr:uid="{00000000-0005-0000-0000-000094000000}"/>
    <cellStyle name="Check Cell" xfId="273" xr:uid="{00000000-0005-0000-0000-000095000000}"/>
    <cellStyle name="Check Cell 2" xfId="179" xr:uid="{00000000-0005-0000-0000-000096000000}"/>
    <cellStyle name="Comma" xfId="23" builtinId="3" hidden="1"/>
    <cellStyle name="Comma" xfId="63" builtinId="3"/>
    <cellStyle name="Comma [0]" xfId="24" builtinId="6" hidden="1"/>
    <cellStyle name="Comma 2" xfId="274" xr:uid="{00000000-0005-0000-0000-00009A000000}"/>
    <cellStyle name="Comma 3" xfId="180" xr:uid="{00000000-0005-0000-0000-00009B000000}"/>
    <cellStyle name="Controlecel 2" xfId="181" xr:uid="{00000000-0005-0000-0000-00009C000000}"/>
    <cellStyle name="Currency" xfId="25" builtinId="4" hidden="1"/>
    <cellStyle name="Currency [0]" xfId="26" builtinId="7" hidden="1"/>
    <cellStyle name="D_Lanvin BP Roth croissance 03 en 04 " xfId="75" xr:uid="{00000000-0005-0000-0000-00009F000000}"/>
    <cellStyle name="Euro" xfId="182" xr:uid="{00000000-0005-0000-0000-0000A0000000}"/>
    <cellStyle name="Euro 2" xfId="183" xr:uid="{00000000-0005-0000-0000-0000A1000000}"/>
    <cellStyle name="Euro 3" xfId="184" xr:uid="{00000000-0005-0000-0000-0000A2000000}"/>
    <cellStyle name="Explanatory Text" xfId="34" hidden="1" xr:uid="{00000000-0005-0000-0000-0000A3000000}"/>
    <cellStyle name="Explanatory Text" xfId="275" xr:uid="{00000000-0005-0000-0000-0000A4000000}"/>
    <cellStyle name="Explanatory Text 2" xfId="185" xr:uid="{00000000-0005-0000-0000-0000A5000000}"/>
    <cellStyle name="Followed Hyperlink" xfId="60" builtinId="9" hidden="1"/>
    <cellStyle name="Gekoppelde cel 2" xfId="186" xr:uid="{00000000-0005-0000-0000-0000A7000000}"/>
    <cellStyle name="Goed 2" xfId="187" xr:uid="{00000000-0005-0000-0000-0000A8000000}"/>
    <cellStyle name="Good" xfId="1" builtinId="26" hidden="1"/>
    <cellStyle name="Good" xfId="188" xr:uid="{00000000-0005-0000-0000-0000AA000000}"/>
    <cellStyle name="Good 2" xfId="189" xr:uid="{00000000-0005-0000-0000-0000AB000000}"/>
    <cellStyle name="Grijze cel" xfId="76" xr:uid="{00000000-0005-0000-0000-0000AC000000}"/>
    <cellStyle name="Header" xfId="190" xr:uid="{00000000-0005-0000-0000-0000AD000000}"/>
    <cellStyle name="Heading 1" xfId="29" hidden="1" xr:uid="{00000000-0005-0000-0000-0000AE000000}"/>
    <cellStyle name="Heading 1" xfId="276" xr:uid="{00000000-0005-0000-0000-0000AF000000}"/>
    <cellStyle name="Heading 1 2" xfId="191" xr:uid="{00000000-0005-0000-0000-0000B0000000}"/>
    <cellStyle name="Heading 2" xfId="30" hidden="1" xr:uid="{00000000-0005-0000-0000-0000B1000000}"/>
    <cellStyle name="Heading 2" xfId="277" xr:uid="{00000000-0005-0000-0000-0000B2000000}"/>
    <cellStyle name="Heading 2 2" xfId="192" xr:uid="{00000000-0005-0000-0000-0000B3000000}"/>
    <cellStyle name="Heading 3" xfId="31" hidden="1" xr:uid="{00000000-0005-0000-0000-0000B4000000}"/>
    <cellStyle name="Heading 3" xfId="278" xr:uid="{00000000-0005-0000-0000-0000B5000000}"/>
    <cellStyle name="Heading 3 2" xfId="193" xr:uid="{00000000-0005-0000-0000-0000B6000000}"/>
    <cellStyle name="Heading 4" xfId="32" hidden="1" xr:uid="{00000000-0005-0000-0000-0000B7000000}"/>
    <cellStyle name="Heading 4" xfId="279" xr:uid="{00000000-0005-0000-0000-0000B8000000}"/>
    <cellStyle name="Heading 4 2" xfId="194" xr:uid="{00000000-0005-0000-0000-0000B9000000}"/>
    <cellStyle name="Hyperlink" xfId="22" builtinId="8" hidden="1"/>
    <cellStyle name="Hyperlink" xfId="61" builtinId="8" customBuiltin="1"/>
    <cellStyle name="Hyperlink 2" xfId="297" xr:uid="{EA0DEE9D-CA7F-40D4-83A4-10A6E5BA2E38}"/>
    <cellStyle name="Input" xfId="16" hidden="1" xr:uid="{00000000-0005-0000-0000-0000BC000000}"/>
    <cellStyle name="Input" xfId="280" xr:uid="{00000000-0005-0000-0000-0000BD000000}"/>
    <cellStyle name="Input 2" xfId="195" xr:uid="{00000000-0005-0000-0000-0000BE000000}"/>
    <cellStyle name="Invoer 2" xfId="196" xr:uid="{00000000-0005-0000-0000-0000BF000000}"/>
    <cellStyle name="Invoer 2 2" xfId="197" xr:uid="{00000000-0005-0000-0000-0000C0000000}"/>
    <cellStyle name="Komma 10 2" xfId="198" xr:uid="{00000000-0005-0000-0000-0000C1000000}"/>
    <cellStyle name="Komma 10 2 2" xfId="199" xr:uid="{00000000-0005-0000-0000-0000C2000000}"/>
    <cellStyle name="Komma 11" xfId="200" xr:uid="{00000000-0005-0000-0000-0000C3000000}"/>
    <cellStyle name="Komma 14 2" xfId="201" xr:uid="{00000000-0005-0000-0000-0000C4000000}"/>
    <cellStyle name="Komma 2" xfId="281" xr:uid="{00000000-0005-0000-0000-0000C5000000}"/>
    <cellStyle name="Komma 2 2" xfId="202" xr:uid="{00000000-0005-0000-0000-0000C6000000}"/>
    <cellStyle name="Komma 2 2 2" xfId="203" xr:uid="{00000000-0005-0000-0000-0000C7000000}"/>
    <cellStyle name="Komma 2 3" xfId="204" xr:uid="{00000000-0005-0000-0000-0000C8000000}"/>
    <cellStyle name="Komma 2 4" xfId="205" xr:uid="{00000000-0005-0000-0000-0000C9000000}"/>
    <cellStyle name="Komma 3" xfId="206" xr:uid="{00000000-0005-0000-0000-0000CA000000}"/>
    <cellStyle name="Komma 3 2" xfId="207" xr:uid="{00000000-0005-0000-0000-0000CB000000}"/>
    <cellStyle name="Komma 3 3" xfId="208" xr:uid="{00000000-0005-0000-0000-0000CC000000}"/>
    <cellStyle name="Komma 4" xfId="209" xr:uid="{00000000-0005-0000-0000-0000CD000000}"/>
    <cellStyle name="Komma 4 2" xfId="210" xr:uid="{00000000-0005-0000-0000-0000CE000000}"/>
    <cellStyle name="Komma 4 3" xfId="300" xr:uid="{B5386215-D800-413D-BE89-11E745E1EBCF}"/>
    <cellStyle name="Komma 5" xfId="211" xr:uid="{00000000-0005-0000-0000-0000CF000000}"/>
    <cellStyle name="Komma 5 2" xfId="212" xr:uid="{00000000-0005-0000-0000-0000D0000000}"/>
    <cellStyle name="Komma 6" xfId="213" xr:uid="{00000000-0005-0000-0000-0000D1000000}"/>
    <cellStyle name="Kop 1 2" xfId="214" xr:uid="{00000000-0005-0000-0000-0000D2000000}"/>
    <cellStyle name="Kop 2 2" xfId="215" xr:uid="{00000000-0005-0000-0000-0000D3000000}"/>
    <cellStyle name="Kop 3 2" xfId="216" xr:uid="{00000000-0005-0000-0000-0000D4000000}"/>
    <cellStyle name="Kop 4 2" xfId="217" xr:uid="{00000000-0005-0000-0000-0000D5000000}"/>
    <cellStyle name="Linked Cell" xfId="19" builtinId="24" hidden="1"/>
    <cellStyle name="Linked Cell" xfId="218" xr:uid="{00000000-0005-0000-0000-0000D7000000}"/>
    <cellStyle name="Linked Cell 2" xfId="219" xr:uid="{00000000-0005-0000-0000-0000D8000000}"/>
    <cellStyle name="Neutraal 2" xfId="220" xr:uid="{00000000-0005-0000-0000-0000D9000000}"/>
    <cellStyle name="Neutral" xfId="3" builtinId="28" hidden="1"/>
    <cellStyle name="Neutral" xfId="221" xr:uid="{00000000-0005-0000-0000-0000DB000000}"/>
    <cellStyle name="Neutral 2" xfId="222" xr:uid="{00000000-0005-0000-0000-0000DC000000}"/>
    <cellStyle name="Normal" xfId="0" builtinId="0" customBuiltin="1"/>
    <cellStyle name="Normal 2" xfId="223" xr:uid="{00000000-0005-0000-0000-0000DE000000}"/>
    <cellStyle name="Normal 2 2" xfId="303" xr:uid="{BB65D8A7-A576-4F0E-B9ED-1F1912AE1E9D}"/>
    <cellStyle name="Normal 3" xfId="224" xr:uid="{00000000-0005-0000-0000-0000DF000000}"/>
    <cellStyle name="Normal 4" xfId="270" xr:uid="{00000000-0005-0000-0000-0000E0000000}"/>
    <cellStyle name="Normal 4 2" xfId="293" xr:uid="{00000000-0005-0000-0000-0000E1000000}"/>
    <cellStyle name="Note" xfId="21" hidden="1" xr:uid="{00000000-0005-0000-0000-0000E2000000}"/>
    <cellStyle name="Note" xfId="282" xr:uid="{00000000-0005-0000-0000-0000E3000000}"/>
    <cellStyle name="Note 2" xfId="225" xr:uid="{00000000-0005-0000-0000-0000E4000000}"/>
    <cellStyle name="Notitie 2" xfId="226" xr:uid="{00000000-0005-0000-0000-0000E5000000}"/>
    <cellStyle name="Notitie 2 2" xfId="227" xr:uid="{00000000-0005-0000-0000-0000E6000000}"/>
    <cellStyle name="Notitie 2 3" xfId="228" xr:uid="{00000000-0005-0000-0000-0000E7000000}"/>
    <cellStyle name="Notitie 2 4" xfId="229" xr:uid="{00000000-0005-0000-0000-0000E8000000}"/>
    <cellStyle name="Notitie 3" xfId="230" xr:uid="{00000000-0005-0000-0000-0000E9000000}"/>
    <cellStyle name="Notitie 3 2" xfId="231" xr:uid="{00000000-0005-0000-0000-0000EA000000}"/>
    <cellStyle name="Notitie 4" xfId="232" xr:uid="{00000000-0005-0000-0000-0000EB000000}"/>
    <cellStyle name="Ongeldig 2" xfId="233" xr:uid="{00000000-0005-0000-0000-0000EC000000}"/>
    <cellStyle name="Opm. INTERN" xfId="14" xr:uid="{00000000-0005-0000-0000-0000ED000000}"/>
    <cellStyle name="Output" xfId="17" hidden="1" xr:uid="{00000000-0005-0000-0000-0000EE000000}"/>
    <cellStyle name="Output" xfId="283" xr:uid="{00000000-0005-0000-0000-0000EF000000}"/>
    <cellStyle name="Output 2" xfId="234" xr:uid="{00000000-0005-0000-0000-0000F0000000}"/>
    <cellStyle name="Percent" xfId="27" builtinId="5" hidden="1"/>
    <cellStyle name="Percent" xfId="64" builtinId="5"/>
    <cellStyle name="Procent 2" xfId="80" xr:uid="{00000000-0005-0000-0000-0000F3000000}"/>
    <cellStyle name="Procent 2 2" xfId="235" xr:uid="{00000000-0005-0000-0000-0000F4000000}"/>
    <cellStyle name="Procent 2 3" xfId="294" xr:uid="{00000000-0005-0000-0000-0000F5000000}"/>
    <cellStyle name="Procent 3" xfId="236" xr:uid="{00000000-0005-0000-0000-0000F6000000}"/>
    <cellStyle name="Procent 3 2" xfId="237" xr:uid="{00000000-0005-0000-0000-0000F7000000}"/>
    <cellStyle name="Procent 4" xfId="238" xr:uid="{00000000-0005-0000-0000-0000F8000000}"/>
    <cellStyle name="Procent 4 2" xfId="239" xr:uid="{00000000-0005-0000-0000-0000F9000000}"/>
    <cellStyle name="Procent 5" xfId="240" xr:uid="{00000000-0005-0000-0000-0000FA000000}"/>
    <cellStyle name="Standaard 2" xfId="284" xr:uid="{00000000-0005-0000-0000-0000FB000000}"/>
    <cellStyle name="Standaard 2 2" xfId="241" xr:uid="{00000000-0005-0000-0000-0000FC000000}"/>
    <cellStyle name="Standaard 2 2 2" xfId="242" xr:uid="{00000000-0005-0000-0000-0000FD000000}"/>
    <cellStyle name="Standaard 2 3" xfId="243" xr:uid="{00000000-0005-0000-0000-0000FE000000}"/>
    <cellStyle name="Standaard 2 3 2" xfId="244" xr:uid="{00000000-0005-0000-0000-0000FF000000}"/>
    <cellStyle name="Standaard 2 4" xfId="245" xr:uid="{00000000-0005-0000-0000-000000010000}"/>
    <cellStyle name="Standaard 2 4 2" xfId="246" xr:uid="{00000000-0005-0000-0000-000001010000}"/>
    <cellStyle name="Standaard 3" xfId="247" xr:uid="{00000000-0005-0000-0000-000002010000}"/>
    <cellStyle name="Standaard 3 2" xfId="248" xr:uid="{00000000-0005-0000-0000-000003010000}"/>
    <cellStyle name="Standaard 3 2 2" xfId="305" xr:uid="{01CDD7D5-9D73-4855-9E5D-71B3F14C02BB}"/>
    <cellStyle name="Standaard 3 2 2 2" xfId="310" xr:uid="{D19648C9-82AC-4726-BE2F-0769EA915A94}"/>
    <cellStyle name="Standaard 3 2 2 2 2" xfId="316" xr:uid="{6C9FADFE-6E62-400A-8EC6-9EEC5A31B2AD}"/>
    <cellStyle name="Standaard 3 2 2 2 3" xfId="327" xr:uid="{6136974B-D25C-4D06-9FDE-6CD429AC48C2}"/>
    <cellStyle name="Standaard 3 2 2 3" xfId="311" xr:uid="{E0EB029A-5CCE-471D-9BAC-851C292BB36F}"/>
    <cellStyle name="Standaard 3 2 2 4" xfId="322" xr:uid="{657F63CA-F645-4983-A991-8A2B59DB896B}"/>
    <cellStyle name="Standaard 3 2 3" xfId="308" xr:uid="{2F4E651B-77D3-4187-B80F-31FE669FFC96}"/>
    <cellStyle name="Standaard 3 2 3 2" xfId="314" xr:uid="{CFEE4B3B-C6AC-4479-9AFB-DD423C21587C}"/>
    <cellStyle name="Standaard 3 2 3 3" xfId="325" xr:uid="{04B9164E-521A-4055-96C1-AB9F4DB16EE2}"/>
    <cellStyle name="Standaard 3 2 4" xfId="302" xr:uid="{DD946728-20DA-44EC-A5F0-F754A5933D88}"/>
    <cellStyle name="Standaard 3 2 5" xfId="320" xr:uid="{296D17B2-4D62-4E71-AB07-5828B819D2C0}"/>
    <cellStyle name="Standaard 3 3" xfId="249" xr:uid="{00000000-0005-0000-0000-000004010000}"/>
    <cellStyle name="Standaard 3 3 2" xfId="307" xr:uid="{D9E7C21D-FE7F-4ADE-BDF4-C1B8A8EA3412}"/>
    <cellStyle name="Standaard 3 3 2 2" xfId="313" xr:uid="{796B15E1-FCC6-4DC9-AEB9-776709D0A722}"/>
    <cellStyle name="Standaard 3 3 2 3" xfId="324" xr:uid="{15BFBB9A-79C3-4528-9DCD-65EABC538F2A}"/>
    <cellStyle name="Standaard 3 3 3" xfId="301" xr:uid="{86E4F64E-266A-4137-86B0-7E8B92545641}"/>
    <cellStyle name="Standaard 3 3 4" xfId="319" xr:uid="{224F6523-1B95-48E7-B613-CADBAF35548D}"/>
    <cellStyle name="Standaard 3 4" xfId="250" xr:uid="{00000000-0005-0000-0000-000005010000}"/>
    <cellStyle name="Standaard 3 4 2" xfId="309" xr:uid="{4B73764E-5A78-4235-A223-7C0153DFD841}"/>
    <cellStyle name="Standaard 3 4 2 2" xfId="315" xr:uid="{1C7F08CE-62AF-456D-9B40-DF3816080D9A}"/>
    <cellStyle name="Standaard 3 4 2 3" xfId="326" xr:uid="{2B2005A6-CD68-44FF-BD0A-C27D60A466E8}"/>
    <cellStyle name="Standaard 3 4 3" xfId="304" xr:uid="{8B82BF47-2924-416C-AD77-22E278F0B030}"/>
    <cellStyle name="Standaard 3 4 4" xfId="321" xr:uid="{4119CDEF-C817-46AD-8B88-9EA8A4FABF11}"/>
    <cellStyle name="Standaard 3 5" xfId="306" xr:uid="{744F2F05-6ABA-4154-8196-F3A178317F3E}"/>
    <cellStyle name="Standaard 3 5 2" xfId="312" xr:uid="{F42125B6-DFE6-4216-A622-8A5801D3593B}"/>
    <cellStyle name="Standaard 3 5 3" xfId="323" xr:uid="{2C657EBD-8B34-420F-85D9-224554DA47F2}"/>
    <cellStyle name="Standaard 3 6" xfId="298" xr:uid="{8BC9B8FD-EFE6-405D-BA82-5CEB6D68D250}"/>
    <cellStyle name="Standaard 3 7" xfId="317" xr:uid="{E889E8AA-38F3-4272-98F9-A52859381908}"/>
    <cellStyle name="Standaard 4" xfId="251" xr:uid="{00000000-0005-0000-0000-000006010000}"/>
    <cellStyle name="Standaard 4 2" xfId="252" xr:uid="{00000000-0005-0000-0000-000007010000}"/>
    <cellStyle name="Standaard 4 3" xfId="253" xr:uid="{00000000-0005-0000-0000-000008010000}"/>
    <cellStyle name="Standaard 5" xfId="254" xr:uid="{00000000-0005-0000-0000-000009010000}"/>
    <cellStyle name="Standaard 5 2" xfId="255" xr:uid="{00000000-0005-0000-0000-00000A010000}"/>
    <cellStyle name="Standaard 6" xfId="256" xr:uid="{00000000-0005-0000-0000-00000B010000}"/>
    <cellStyle name="Standaard 6 2" xfId="257" xr:uid="{00000000-0005-0000-0000-00000C010000}"/>
    <cellStyle name="Standaard 6 2 2" xfId="258" xr:uid="{00000000-0005-0000-0000-00000D010000}"/>
    <cellStyle name="Standaard 6 3" xfId="259" xr:uid="{00000000-0005-0000-0000-00000E010000}"/>
    <cellStyle name="Standaard 7" xfId="260" xr:uid="{00000000-0005-0000-0000-00000F010000}"/>
    <cellStyle name="Standaard ACM-DE" xfId="4" xr:uid="{00000000-0005-0000-0000-000010010000}"/>
    <cellStyle name="Standaard_Rekenmodel inkoopkosten transport NE4R v2" xfId="78" xr:uid="{00000000-0005-0000-0000-000011010000}"/>
    <cellStyle name="Standaard_Tabellen - CIV2" xfId="81" xr:uid="{00000000-0005-0000-0000-000012010000}"/>
    <cellStyle name="Standaard_Tabellen - CIV2_Format import PRD en Database voor NE6R (concept) v1" xfId="77" xr:uid="{00000000-0005-0000-0000-000013010000}"/>
    <cellStyle name="Titel 2" xfId="261" xr:uid="{00000000-0005-0000-0000-000014010000}"/>
    <cellStyle name="Title" xfId="28" builtinId="15" hidden="1"/>
    <cellStyle name="Title" xfId="262" xr:uid="{00000000-0005-0000-0000-000016010000}"/>
    <cellStyle name="Title 2" xfId="263" xr:uid="{00000000-0005-0000-0000-000017010000}"/>
    <cellStyle name="Toelichting" xfId="15" xr:uid="{00000000-0005-0000-0000-000018010000}"/>
    <cellStyle name="Totaal 2" xfId="264" xr:uid="{00000000-0005-0000-0000-000019010000}"/>
    <cellStyle name="Totaal 2 2" xfId="265" xr:uid="{00000000-0005-0000-0000-00001A010000}"/>
    <cellStyle name="Totaal 2 3" xfId="266" xr:uid="{00000000-0005-0000-0000-00001B010000}"/>
    <cellStyle name="Total" xfId="35" builtinId="25" hidden="1"/>
    <cellStyle name="Total" xfId="267" xr:uid="{00000000-0005-0000-0000-00001D010000}"/>
    <cellStyle name="Total 2" xfId="285" xr:uid="{00000000-0005-0000-0000-00001E010000}"/>
    <cellStyle name="Uitvoer 2" xfId="286" xr:uid="{00000000-0005-0000-0000-00001F010000}"/>
    <cellStyle name="Uitvoer 2 2" xfId="287" xr:uid="{00000000-0005-0000-0000-000020010000}"/>
    <cellStyle name="Uitvoer 2 3" xfId="288" xr:uid="{00000000-0005-0000-0000-000021010000}"/>
    <cellStyle name="Valuta 2" xfId="289" xr:uid="{00000000-0005-0000-0000-000022010000}"/>
    <cellStyle name="Valuta 2 2" xfId="299" xr:uid="{E1EE8180-845A-4596-BB2E-F0B67352CA02}"/>
    <cellStyle name="Valuta 2 3" xfId="318" xr:uid="{77079DCE-BDD3-4BD4-8261-D68E2DCE6E98}"/>
    <cellStyle name="Verklarende tekst 2" xfId="268" xr:uid="{00000000-0005-0000-0000-000023010000}"/>
    <cellStyle name="Waarschuwingstekst 2" xfId="269" xr:uid="{00000000-0005-0000-0000-000024010000}"/>
    <cellStyle name="Warning Text" xfId="33" builtinId="11" hidden="1"/>
    <cellStyle name="Warning Text" xfId="290" xr:uid="{00000000-0005-0000-0000-000026010000}"/>
    <cellStyle name="Warning Text 2" xfId="291" xr:uid="{00000000-0005-0000-0000-000027010000}"/>
    <cellStyle name="WIt" xfId="292" xr:uid="{00000000-0005-0000-0000-000028010000}"/>
  </cellStyles>
  <dxfs count="0"/>
  <tableStyles count="1" defaultTableStyle="TableStyleMedium2" defaultPivotStyle="PivotStyleLight16">
    <tableStyle name="Invisible" pivot="0" table="0" count="0" xr9:uid="{7D953284-BA89-4136-B7CD-029B95EE35B9}"/>
  </tableStyles>
  <colors>
    <mruColors>
      <color rgb="FFFF00FF"/>
      <color rgb="FFE1FFE1"/>
      <color rgb="FFCCC8D9"/>
      <color rgb="FFFFFFCC"/>
      <color rgb="FFCCFFFF"/>
      <color rgb="FF99FF99"/>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berekening-x-factor-bij-gewijzigde-x-factorbesluiten-elektriciteit-2022-2026" TargetMode="External"/><Relationship Id="rId2" Type="http://schemas.openxmlformats.org/officeDocument/2006/relationships/hyperlink" Target="https://www.acm.nl/nl/publicaties/berekening-totale-inkomsten-2022-regionaal-netbeheer-elektriciteit" TargetMode="External"/><Relationship Id="rId1" Type="http://schemas.openxmlformats.org/officeDocument/2006/relationships/hyperlink" Target="https://www.acm.nl/nl/zoeken-publicaties?text=tarievenbesluit+elektriciteit+2022&amp;combined_date%5Bradiobuttons%5D=custom&amp;combined_date%5Bmin%5D=2021-11-29&amp;combined_date%5Bmax%5D=2021-12-01&amp;combined_keyword=6244&amp;sort_by=search_api_relevance"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D35"/>
  <sheetViews>
    <sheetView showGridLines="0" tabSelected="1" zoomScale="85" zoomScaleNormal="85" workbookViewId="0">
      <pane ySplit="3" topLeftCell="A4" activePane="bottomLeft" state="frozen"/>
      <selection activeCell="W47" sqref="W47"/>
      <selection pane="bottomLeft" activeCell="A4" sqref="A4"/>
    </sheetView>
  </sheetViews>
  <sheetFormatPr defaultColWidth="9.140625" defaultRowHeight="12.75"/>
  <cols>
    <col min="1" max="1" width="4.7109375" style="5" customWidth="1"/>
    <col min="2" max="2" width="39.85546875" style="5" customWidth="1"/>
    <col min="3" max="3" width="91.85546875" style="5" customWidth="1"/>
    <col min="4" max="16384" width="9.140625" style="5"/>
  </cols>
  <sheetData>
    <row r="2" spans="2:3" s="10" customFormat="1" ht="18">
      <c r="B2" s="10" t="s">
        <v>340</v>
      </c>
    </row>
    <row r="6" spans="2:3">
      <c r="B6" s="6"/>
    </row>
    <row r="13" spans="2:3" s="11" customFormat="1">
      <c r="B13" s="11" t="s">
        <v>0</v>
      </c>
    </row>
    <row r="15" spans="2:3">
      <c r="B15" s="12" t="s">
        <v>1</v>
      </c>
      <c r="C15" s="117"/>
    </row>
    <row r="16" spans="2:3" ht="25.5">
      <c r="B16" s="12" t="s">
        <v>2</v>
      </c>
      <c r="C16" s="13" t="s">
        <v>340</v>
      </c>
    </row>
    <row r="17" spans="2:3">
      <c r="B17" s="12" t="s">
        <v>3</v>
      </c>
      <c r="C17" s="13"/>
    </row>
    <row r="18" spans="2:3">
      <c r="B18" s="12" t="s">
        <v>4</v>
      </c>
      <c r="C18" s="13" t="s">
        <v>335</v>
      </c>
    </row>
    <row r="19" spans="2:3">
      <c r="B19" s="12" t="s">
        <v>5</v>
      </c>
      <c r="C19" s="13"/>
    </row>
    <row r="20" spans="2:3">
      <c r="B20" s="12" t="s">
        <v>6</v>
      </c>
      <c r="C20" s="116"/>
    </row>
    <row r="21" spans="2:3">
      <c r="B21" s="12" t="s">
        <v>7</v>
      </c>
      <c r="C21" s="13" t="s">
        <v>341</v>
      </c>
    </row>
    <row r="22" spans="2:3">
      <c r="B22" s="12" t="s">
        <v>8</v>
      </c>
      <c r="C22" s="13"/>
    </row>
    <row r="25" spans="2:3" s="11" customFormat="1">
      <c r="B25" s="11" t="s">
        <v>9</v>
      </c>
    </row>
    <row r="27" spans="2:3">
      <c r="B27" s="12" t="s">
        <v>10</v>
      </c>
      <c r="C27" s="13" t="s">
        <v>339</v>
      </c>
    </row>
    <row r="28" spans="2:3">
      <c r="B28" s="13" t="s">
        <v>62</v>
      </c>
      <c r="C28" s="13" t="s">
        <v>339</v>
      </c>
    </row>
    <row r="29" spans="2:3" ht="25.5">
      <c r="B29" s="12" t="s">
        <v>11</v>
      </c>
      <c r="C29" s="13" t="s">
        <v>339</v>
      </c>
    </row>
    <row r="30" spans="2:3">
      <c r="B30" s="13" t="s">
        <v>61</v>
      </c>
      <c r="C30" s="13"/>
    </row>
    <row r="31" spans="2:3">
      <c r="B31" s="12" t="s">
        <v>12</v>
      </c>
      <c r="C31" s="13"/>
    </row>
    <row r="32" spans="2:3">
      <c r="B32" s="12" t="s">
        <v>8</v>
      </c>
      <c r="C32" s="13"/>
    </row>
    <row r="33" spans="2:4">
      <c r="B33" s="26"/>
      <c r="C33" s="26"/>
      <c r="D33" s="8"/>
    </row>
    <row r="35" spans="2:4" s="11" customFormat="1">
      <c r="B35" s="11" t="s">
        <v>13</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B1:AB408"/>
  <sheetViews>
    <sheetView showGridLines="0" zoomScale="85" zoomScaleNormal="85" workbookViewId="0">
      <pane xSplit="4" ySplit="7" topLeftCell="E8" activePane="bottomRight" state="frozen"/>
      <selection activeCell="W47" sqref="W47"/>
      <selection pane="topRight" activeCell="W47" sqref="W47"/>
      <selection pane="bottomLeft" activeCell="W47" sqref="W47"/>
      <selection pane="bottomRight" activeCell="E8" sqref="E8"/>
    </sheetView>
  </sheetViews>
  <sheetFormatPr defaultColWidth="9.140625" defaultRowHeight="12.75"/>
  <cols>
    <col min="1" max="1" width="4.85546875" style="52" customWidth="1"/>
    <col min="2" max="2" width="76.140625" style="52" customWidth="1"/>
    <col min="3" max="3" width="3.140625" style="52" customWidth="1"/>
    <col min="4" max="4" width="14.42578125" style="52" customWidth="1"/>
    <col min="5" max="5" width="2.7109375" style="52" customWidth="1"/>
    <col min="6" max="6" width="7.5703125" style="52" customWidth="1"/>
    <col min="7" max="7" width="4.7109375" style="52" customWidth="1"/>
    <col min="8" max="8" width="15.7109375" style="52" customWidth="1"/>
    <col min="9" max="9" width="3.28515625" style="52" customWidth="1"/>
    <col min="10" max="14" width="15.28515625" style="52" customWidth="1"/>
    <col min="15" max="15" width="16.140625" style="52" customWidth="1"/>
    <col min="16" max="16" width="4.42578125" style="52" customWidth="1"/>
    <col min="17" max="17" width="25.42578125" style="52" customWidth="1"/>
    <col min="18" max="18" width="11.85546875" style="52" bestFit="1" customWidth="1"/>
    <col min="19" max="19" width="12.28515625" style="52" bestFit="1" customWidth="1"/>
    <col min="20" max="16384" width="9.140625" style="52"/>
  </cols>
  <sheetData>
    <row r="1" spans="2:18">
      <c r="B1"/>
      <c r="C1"/>
      <c r="D1"/>
    </row>
    <row r="2" spans="2:18" s="20" customFormat="1" ht="18">
      <c r="B2" s="20" t="s">
        <v>94</v>
      </c>
    </row>
    <row r="4" spans="2:18">
      <c r="B4" s="53" t="s">
        <v>28</v>
      </c>
    </row>
    <row r="5" spans="2:18">
      <c r="B5" t="s">
        <v>267</v>
      </c>
    </row>
    <row r="7" spans="2:18" s="11" customFormat="1">
      <c r="D7" s="11" t="s">
        <v>26</v>
      </c>
      <c r="F7" s="11" t="s">
        <v>27</v>
      </c>
      <c r="H7" s="11" t="s">
        <v>46</v>
      </c>
      <c r="J7" s="11" t="s">
        <v>93</v>
      </c>
      <c r="K7" s="11" t="s">
        <v>70</v>
      </c>
      <c r="L7" s="11" t="s">
        <v>71</v>
      </c>
      <c r="M7" s="11" t="s">
        <v>72</v>
      </c>
      <c r="N7" s="11" t="s">
        <v>73</v>
      </c>
      <c r="O7" s="11" t="s">
        <v>74</v>
      </c>
      <c r="Q7" s="11" t="s">
        <v>44</v>
      </c>
      <c r="R7" s="11" t="s">
        <v>45</v>
      </c>
    </row>
    <row r="8" spans="2:18" s="104" customFormat="1"/>
    <row r="10" spans="2:18" s="11" customFormat="1">
      <c r="B10" s="11" t="s">
        <v>174</v>
      </c>
    </row>
    <row r="12" spans="2:18">
      <c r="B12" s="55" t="s">
        <v>96</v>
      </c>
    </row>
    <row r="13" spans="2:18">
      <c r="B13" s="56"/>
      <c r="H13" s="54"/>
      <c r="I13" s="54"/>
    </row>
    <row r="14" spans="2:18">
      <c r="B14" s="57" t="s">
        <v>97</v>
      </c>
      <c r="H14" s="54"/>
      <c r="I14" s="54"/>
    </row>
    <row r="15" spans="2:18">
      <c r="B15" s="52" t="s">
        <v>98</v>
      </c>
      <c r="D15" s="52" t="s">
        <v>69</v>
      </c>
      <c r="H15" s="58">
        <f>SUM(J15:O15)</f>
        <v>2.2705362318840581</v>
      </c>
      <c r="I15" s="54"/>
      <c r="J15" s="37">
        <f>'Realisatie 2022'!L15</f>
        <v>0</v>
      </c>
      <c r="K15" s="37">
        <f>'Realisatie 2022'!M15</f>
        <v>0</v>
      </c>
      <c r="L15" s="37">
        <f>'Realisatie 2022'!N15</f>
        <v>2.2705362318840581</v>
      </c>
      <c r="M15" s="37">
        <f>'Realisatie 2022'!O15</f>
        <v>0</v>
      </c>
      <c r="N15" s="37">
        <f>'Realisatie 2022'!P15</f>
        <v>0</v>
      </c>
      <c r="O15" s="37">
        <f>'Realisatie 2022'!Q15</f>
        <v>0</v>
      </c>
      <c r="Q15" s="76"/>
    </row>
    <row r="16" spans="2:18">
      <c r="B16" s="52" t="s">
        <v>99</v>
      </c>
      <c r="D16" s="52" t="s">
        <v>69</v>
      </c>
      <c r="H16" s="58">
        <f>SUM(J16:O16)</f>
        <v>905575.77666666661</v>
      </c>
      <c r="I16" s="54"/>
      <c r="J16" s="37">
        <f>'Realisatie 2022'!L16</f>
        <v>0</v>
      </c>
      <c r="K16" s="37">
        <f>'Realisatie 2022'!M16</f>
        <v>0</v>
      </c>
      <c r="L16" s="37">
        <f>'Realisatie 2022'!N16</f>
        <v>905575.77666666661</v>
      </c>
      <c r="M16" s="37">
        <f>'Realisatie 2022'!O16</f>
        <v>0</v>
      </c>
      <c r="N16" s="37">
        <f>'Realisatie 2022'!P16</f>
        <v>0</v>
      </c>
      <c r="O16" s="37">
        <f>'Realisatie 2022'!Q16</f>
        <v>0</v>
      </c>
    </row>
    <row r="17" spans="2:20">
      <c r="B17" s="52" t="s">
        <v>100</v>
      </c>
      <c r="D17" s="52" t="s">
        <v>69</v>
      </c>
      <c r="H17" s="58">
        <f>SUM(J17:O17)</f>
        <v>9352691.9032258056</v>
      </c>
      <c r="I17" s="54"/>
      <c r="J17" s="37">
        <f>'Realisatie 2022'!L17</f>
        <v>0</v>
      </c>
      <c r="K17" s="37">
        <f>'Realisatie 2022'!M17</f>
        <v>0</v>
      </c>
      <c r="L17" s="37">
        <f>'Realisatie 2022'!N17</f>
        <v>9352691.9032258056</v>
      </c>
      <c r="M17" s="37">
        <f>'Realisatie 2022'!O17</f>
        <v>0</v>
      </c>
      <c r="N17" s="37">
        <f>'Realisatie 2022'!P17</f>
        <v>0</v>
      </c>
      <c r="O17" s="37">
        <f>'Realisatie 2022'!Q17</f>
        <v>0</v>
      </c>
    </row>
    <row r="18" spans="2:20">
      <c r="H18" s="54"/>
      <c r="I18" s="54"/>
    </row>
    <row r="19" spans="2:20">
      <c r="B19" s="56" t="s">
        <v>101</v>
      </c>
      <c r="H19" s="54"/>
      <c r="I19" s="54"/>
    </row>
    <row r="20" spans="2:20">
      <c r="B20" s="52" t="s">
        <v>98</v>
      </c>
      <c r="D20" s="52" t="s">
        <v>69</v>
      </c>
      <c r="H20" s="58">
        <f>SUM(J20:O20)</f>
        <v>2.3550724637681157</v>
      </c>
      <c r="I20" s="54"/>
      <c r="J20" s="37">
        <f>'Realisatie 2022'!L20</f>
        <v>0</v>
      </c>
      <c r="K20" s="37">
        <f>'Realisatie 2022'!M20</f>
        <v>0</v>
      </c>
      <c r="L20" s="37">
        <f>'Realisatie 2022'!N20</f>
        <v>2.3550724637681157</v>
      </c>
      <c r="M20" s="37">
        <f>'Realisatie 2022'!O20</f>
        <v>0</v>
      </c>
      <c r="N20" s="37">
        <f>'Realisatie 2022'!P20</f>
        <v>0</v>
      </c>
      <c r="O20" s="37">
        <f>'Realisatie 2022'!Q20</f>
        <v>0</v>
      </c>
    </row>
    <row r="21" spans="2:20">
      <c r="B21" s="52" t="s">
        <v>99</v>
      </c>
      <c r="D21" s="52" t="s">
        <v>69</v>
      </c>
      <c r="H21" s="58">
        <f>SUM(J21:O21)</f>
        <v>19029.335000000003</v>
      </c>
      <c r="I21" s="54"/>
      <c r="J21" s="37">
        <f>'Realisatie 2022'!L21</f>
        <v>0</v>
      </c>
      <c r="K21" s="37">
        <f>'Realisatie 2022'!M21</f>
        <v>0</v>
      </c>
      <c r="L21" s="37">
        <f>'Realisatie 2022'!N21</f>
        <v>19029.335000000003</v>
      </c>
      <c r="M21" s="37">
        <f>'Realisatie 2022'!O21</f>
        <v>0</v>
      </c>
      <c r="N21" s="37">
        <f>'Realisatie 2022'!P21</f>
        <v>0</v>
      </c>
      <c r="O21" s="37">
        <f>'Realisatie 2022'!Q21</f>
        <v>0</v>
      </c>
    </row>
    <row r="22" spans="2:20">
      <c r="B22" s="52" t="s">
        <v>102</v>
      </c>
      <c r="D22" s="52" t="s">
        <v>69</v>
      </c>
      <c r="H22" s="58">
        <f>SUM(J22:O22)</f>
        <v>432434.67441860464</v>
      </c>
      <c r="I22" s="54"/>
      <c r="J22" s="37">
        <f>'Realisatie 2022'!L22</f>
        <v>0</v>
      </c>
      <c r="K22" s="37">
        <f>'Realisatie 2022'!M22</f>
        <v>0</v>
      </c>
      <c r="L22" s="37">
        <f>'Realisatie 2022'!N22</f>
        <v>432434.67441860464</v>
      </c>
      <c r="M22" s="37">
        <f>'Realisatie 2022'!O22</f>
        <v>0</v>
      </c>
      <c r="N22" s="37">
        <f>'Realisatie 2022'!P22</f>
        <v>0</v>
      </c>
      <c r="O22" s="37">
        <f>'Realisatie 2022'!Q22</f>
        <v>0</v>
      </c>
    </row>
    <row r="23" spans="2:20">
      <c r="H23" s="54"/>
      <c r="I23" s="54"/>
    </row>
    <row r="24" spans="2:20">
      <c r="B24" s="56" t="s">
        <v>103</v>
      </c>
      <c r="H24" s="54"/>
      <c r="I24" s="54"/>
    </row>
    <row r="25" spans="2:20">
      <c r="B25" s="52" t="s">
        <v>98</v>
      </c>
      <c r="D25" s="52" t="s">
        <v>69</v>
      </c>
      <c r="H25" s="58">
        <f>SUM(J25:O25)</f>
        <v>93.545431159420289</v>
      </c>
      <c r="I25" s="54"/>
      <c r="J25" s="37">
        <f>'Realisatie 2022'!L25</f>
        <v>0</v>
      </c>
      <c r="K25" s="37">
        <f>'Realisatie 2022'!M25</f>
        <v>5.4620978260869562</v>
      </c>
      <c r="L25" s="37">
        <f>'Realisatie 2022'!N25</f>
        <v>7</v>
      </c>
      <c r="M25" s="37">
        <f>'Realisatie 2022'!O25</f>
        <v>0</v>
      </c>
      <c r="N25" s="37">
        <f>'Realisatie 2022'!P25</f>
        <v>81.083333333333329</v>
      </c>
      <c r="O25" s="37">
        <f>'Realisatie 2022'!Q25</f>
        <v>0</v>
      </c>
    </row>
    <row r="26" spans="2:20">
      <c r="B26" s="52" t="s">
        <v>99</v>
      </c>
      <c r="D26" s="52" t="s">
        <v>69</v>
      </c>
      <c r="H26" s="58">
        <f>SUM(J26:O26)</f>
        <v>1183072.911954165</v>
      </c>
      <c r="I26" s="54"/>
      <c r="J26" s="37">
        <f>'Realisatie 2022'!L26</f>
        <v>0</v>
      </c>
      <c r="K26" s="37">
        <f>'Realisatie 2022'!M26</f>
        <v>130729.37976437979</v>
      </c>
      <c r="L26" s="37">
        <f>'Realisatie 2022'!N26</f>
        <v>92938.998333333337</v>
      </c>
      <c r="M26" s="37">
        <f>'Realisatie 2022'!O26</f>
        <v>0</v>
      </c>
      <c r="N26" s="37">
        <f>'Realisatie 2022'!P26</f>
        <v>959404.53385645198</v>
      </c>
      <c r="O26" s="37">
        <f>'Realisatie 2022'!Q26</f>
        <v>0</v>
      </c>
      <c r="Q26" s="82"/>
      <c r="R26" s="82"/>
      <c r="T26" s="82"/>
    </row>
    <row r="27" spans="2:20">
      <c r="B27" s="52" t="s">
        <v>100</v>
      </c>
      <c r="D27" s="52" t="s">
        <v>69</v>
      </c>
      <c r="H27" s="58">
        <f>SUM(J27:O27)</f>
        <v>9853937.1603643373</v>
      </c>
      <c r="I27" s="54"/>
      <c r="J27" s="37">
        <f>'Realisatie 2022'!L27</f>
        <v>0</v>
      </c>
      <c r="K27" s="37">
        <f>'Realisatie 2022'!M27</f>
        <v>762272.90285714285</v>
      </c>
      <c r="L27" s="37">
        <f>'Realisatie 2022'!N27</f>
        <v>831668.23178858496</v>
      </c>
      <c r="M27" s="37">
        <f>'Realisatie 2022'!O27</f>
        <v>0</v>
      </c>
      <c r="N27" s="37">
        <f>'Realisatie 2022'!P27</f>
        <v>8259996.0257186089</v>
      </c>
      <c r="O27" s="37">
        <f>'Realisatie 2022'!Q27</f>
        <v>0</v>
      </c>
      <c r="Q27" s="82"/>
      <c r="R27" s="82"/>
      <c r="T27" s="82"/>
    </row>
    <row r="28" spans="2:20">
      <c r="H28" s="54"/>
      <c r="I28" s="54"/>
    </row>
    <row r="29" spans="2:20">
      <c r="B29" s="56" t="s">
        <v>104</v>
      </c>
      <c r="H29" s="54"/>
      <c r="I29" s="54"/>
    </row>
    <row r="30" spans="2:20">
      <c r="B30" s="52" t="s">
        <v>98</v>
      </c>
      <c r="D30" s="52" t="s">
        <v>69</v>
      </c>
      <c r="H30" s="58">
        <f>SUM(J30:O30)</f>
        <v>17</v>
      </c>
      <c r="I30" s="54"/>
      <c r="J30" s="37">
        <f>'Realisatie 2022'!L30</f>
        <v>0</v>
      </c>
      <c r="K30" s="37">
        <f>'Realisatie 2022'!M30</f>
        <v>2</v>
      </c>
      <c r="L30" s="37">
        <f>'Realisatie 2022'!N30</f>
        <v>8</v>
      </c>
      <c r="M30" s="37">
        <f>'Realisatie 2022'!O30</f>
        <v>0</v>
      </c>
      <c r="N30" s="37">
        <f>'Realisatie 2022'!P30</f>
        <v>7</v>
      </c>
      <c r="O30" s="37">
        <f>'Realisatie 2022'!Q30</f>
        <v>0</v>
      </c>
    </row>
    <row r="31" spans="2:20">
      <c r="B31" s="52" t="s">
        <v>99</v>
      </c>
      <c r="D31" s="52" t="s">
        <v>69</v>
      </c>
      <c r="H31" s="58">
        <f>SUM(J31:O31)</f>
        <v>155655.35957243358</v>
      </c>
      <c r="I31" s="54"/>
      <c r="J31" s="37">
        <f>'Realisatie 2022'!L31</f>
        <v>0</v>
      </c>
      <c r="K31" s="37">
        <f>'Realisatie 2022'!M31</f>
        <v>26129.991689750696</v>
      </c>
      <c r="L31" s="37">
        <f>'Realisatie 2022'!N31</f>
        <v>77127.674166666679</v>
      </c>
      <c r="M31" s="37">
        <f>'Realisatie 2022'!O31</f>
        <v>0</v>
      </c>
      <c r="N31" s="37">
        <f>'Realisatie 2022'!P31</f>
        <v>52397.69371601622</v>
      </c>
      <c r="O31" s="37">
        <f>'Realisatie 2022'!Q31</f>
        <v>0</v>
      </c>
    </row>
    <row r="32" spans="2:20">
      <c r="B32" s="52" t="s">
        <v>102</v>
      </c>
      <c r="D32" s="52" t="s">
        <v>69</v>
      </c>
      <c r="H32" s="58">
        <f>SUM(J32:O32)</f>
        <v>1971473.3135719218</v>
      </c>
      <c r="I32" s="54"/>
      <c r="J32" s="37">
        <f>'Realisatie 2022'!L32</f>
        <v>0</v>
      </c>
      <c r="K32" s="37">
        <f>'Realisatie 2022'!M32</f>
        <v>237274.57377049184</v>
      </c>
      <c r="L32" s="37">
        <f>'Realisatie 2022'!N32</f>
        <v>1401050.7127035279</v>
      </c>
      <c r="M32" s="37">
        <f>'Realisatie 2022'!O32</f>
        <v>0</v>
      </c>
      <c r="N32" s="37">
        <f>'Realisatie 2022'!P32</f>
        <v>333148.02709790203</v>
      </c>
      <c r="O32" s="37">
        <f>'Realisatie 2022'!Q32</f>
        <v>0</v>
      </c>
    </row>
    <row r="33" spans="2:22">
      <c r="H33" s="54"/>
      <c r="I33" s="54"/>
    </row>
    <row r="34" spans="2:22">
      <c r="B34" s="56" t="s">
        <v>105</v>
      </c>
      <c r="H34" s="54"/>
      <c r="I34" s="54"/>
      <c r="R34" s="82"/>
      <c r="S34" s="82"/>
      <c r="T34" s="82"/>
      <c r="U34" s="82"/>
      <c r="V34" s="82"/>
    </row>
    <row r="35" spans="2:22">
      <c r="B35" s="52" t="s">
        <v>98</v>
      </c>
      <c r="D35" s="52" t="s">
        <v>69</v>
      </c>
      <c r="H35" s="58">
        <f>SUM(J35:O35)</f>
        <v>807.18114130434788</v>
      </c>
      <c r="I35" s="54"/>
      <c r="J35" s="37">
        <f>'Realisatie 2022'!L35</f>
        <v>0</v>
      </c>
      <c r="K35" s="37">
        <f>'Realisatie 2022'!M35</f>
        <v>200.31437681159423</v>
      </c>
      <c r="L35" s="37">
        <f>'Realisatie 2022'!N35</f>
        <v>364.37833333333327</v>
      </c>
      <c r="M35" s="37">
        <f>'Realisatie 2022'!O35</f>
        <v>0</v>
      </c>
      <c r="N35" s="37">
        <f>'Realisatie 2022'!P35</f>
        <v>228.48843115942032</v>
      </c>
      <c r="O35" s="37">
        <f>'Realisatie 2022'!Q35</f>
        <v>14</v>
      </c>
      <c r="R35" s="82"/>
      <c r="S35" s="82"/>
      <c r="T35" s="82"/>
      <c r="U35" s="82"/>
      <c r="V35" s="82"/>
    </row>
    <row r="36" spans="2:22">
      <c r="B36" s="52" t="s">
        <v>99</v>
      </c>
      <c r="D36" s="52" t="s">
        <v>69</v>
      </c>
      <c r="H36" s="58">
        <f>SUM(J36:O36)</f>
        <v>4103251.2280564304</v>
      </c>
      <c r="I36" s="54"/>
      <c r="J36" s="37">
        <f>'Realisatie 2022'!L36</f>
        <v>0</v>
      </c>
      <c r="K36" s="37">
        <f>'Realisatie 2022'!M36</f>
        <v>1270089.1838966203</v>
      </c>
      <c r="L36" s="37">
        <f>'Realisatie 2022'!N36</f>
        <v>1931132.2324999999</v>
      </c>
      <c r="M36" s="37">
        <f>'Realisatie 2022'!O36</f>
        <v>0</v>
      </c>
      <c r="N36" s="37">
        <f>'Realisatie 2022'!P36</f>
        <v>797651.1448639303</v>
      </c>
      <c r="O36" s="37">
        <f>'Realisatie 2022'!Q36</f>
        <v>104378.66679587991</v>
      </c>
    </row>
    <row r="37" spans="2:22">
      <c r="B37" s="52" t="s">
        <v>100</v>
      </c>
      <c r="D37" s="52" t="s">
        <v>69</v>
      </c>
      <c r="H37" s="58">
        <f>SUM(J37:O37)</f>
        <v>33231522.166838359</v>
      </c>
      <c r="I37" s="54"/>
      <c r="J37" s="37">
        <f>'Realisatie 2022'!L37</f>
        <v>0</v>
      </c>
      <c r="K37" s="37">
        <f>'Realisatie 2022'!M37</f>
        <v>11296431.723300971</v>
      </c>
      <c r="L37" s="37">
        <f>'Realisatie 2022'!N37</f>
        <v>14417780.396851415</v>
      </c>
      <c r="M37" s="37">
        <f>'Realisatie 2022'!O37</f>
        <v>0</v>
      </c>
      <c r="N37" s="37">
        <f>'Realisatie 2022'!P37</f>
        <v>6600453.0492391679</v>
      </c>
      <c r="O37" s="37">
        <f>'Realisatie 2022'!Q37</f>
        <v>916856.99744680838</v>
      </c>
    </row>
    <row r="38" spans="2:22">
      <c r="H38" s="54"/>
      <c r="I38" s="54"/>
    </row>
    <row r="39" spans="2:22">
      <c r="B39" s="56" t="s">
        <v>106</v>
      </c>
      <c r="I39" s="54"/>
    </row>
    <row r="40" spans="2:22">
      <c r="B40" s="52" t="s">
        <v>98</v>
      </c>
      <c r="D40" s="52" t="s">
        <v>69</v>
      </c>
      <c r="H40" s="58">
        <f>SUM(J40:O40)</f>
        <v>13.916666666666666</v>
      </c>
      <c r="I40" s="54"/>
      <c r="J40" s="37">
        <f>'Realisatie 2022'!L40</f>
        <v>0</v>
      </c>
      <c r="K40" s="37">
        <f>'Realisatie 2022'!M40</f>
        <v>7</v>
      </c>
      <c r="L40" s="37">
        <f>'Realisatie 2022'!N40</f>
        <v>5</v>
      </c>
      <c r="M40" s="37">
        <f>'Realisatie 2022'!O40</f>
        <v>0</v>
      </c>
      <c r="N40" s="37">
        <f>'Realisatie 2022'!P40</f>
        <v>1.9166666666666665</v>
      </c>
      <c r="O40" s="37">
        <f>'Realisatie 2022'!Q40</f>
        <v>0</v>
      </c>
    </row>
    <row r="41" spans="2:22">
      <c r="B41" s="52" t="s">
        <v>99</v>
      </c>
      <c r="D41" s="52" t="s">
        <v>69</v>
      </c>
      <c r="H41" s="58">
        <f>SUM(J41:O41)</f>
        <v>144162.63144167414</v>
      </c>
      <c r="I41" s="54"/>
      <c r="J41" s="37">
        <f>'Realisatie 2022'!L41</f>
        <v>0</v>
      </c>
      <c r="K41" s="37">
        <f>'Realisatie 2022'!M41</f>
        <v>108353.17992047711</v>
      </c>
      <c r="L41" s="37">
        <f>'Realisatie 2022'!N41</f>
        <v>32626.726666666666</v>
      </c>
      <c r="M41" s="37">
        <f>'Realisatie 2022'!O41</f>
        <v>0</v>
      </c>
      <c r="N41" s="37">
        <f>'Realisatie 2022'!P41</f>
        <v>3182.7248545303446</v>
      </c>
      <c r="O41" s="37">
        <f>'Realisatie 2022'!Q41</f>
        <v>0</v>
      </c>
    </row>
    <row r="42" spans="2:22">
      <c r="B42" s="52" t="s">
        <v>102</v>
      </c>
      <c r="D42" s="52" t="s">
        <v>69</v>
      </c>
      <c r="H42" s="58">
        <f>SUM(J42:O42)</f>
        <v>1575308.1623521789</v>
      </c>
      <c r="I42" s="54"/>
      <c r="J42" s="37">
        <f>'Realisatie 2022'!L42</f>
        <v>0</v>
      </c>
      <c r="K42" s="37">
        <f>'Realisatie 2022'!M42</f>
        <v>1224046.8309859156</v>
      </c>
      <c r="L42" s="37">
        <f>'Realisatie 2022'!N42</f>
        <v>307202.74308922037</v>
      </c>
      <c r="M42" s="37">
        <f>'Realisatie 2022'!O42</f>
        <v>0</v>
      </c>
      <c r="N42" s="37">
        <f>'Realisatie 2022'!P42</f>
        <v>44058.588277043134</v>
      </c>
      <c r="O42" s="37">
        <f>'Realisatie 2022'!Q42</f>
        <v>0</v>
      </c>
    </row>
    <row r="43" spans="2:22">
      <c r="H43" s="54"/>
      <c r="I43" s="54"/>
    </row>
    <row r="44" spans="2:22">
      <c r="H44" s="54"/>
      <c r="I44" s="54"/>
    </row>
    <row r="45" spans="2:22">
      <c r="B45" s="55" t="s">
        <v>107</v>
      </c>
      <c r="H45" s="54"/>
      <c r="I45" s="54"/>
    </row>
    <row r="46" spans="2:22">
      <c r="H46" s="54"/>
      <c r="I46" s="54"/>
      <c r="R46" s="82"/>
      <c r="S46" s="82"/>
      <c r="T46" s="82"/>
      <c r="U46" s="82"/>
    </row>
    <row r="47" spans="2:22">
      <c r="B47" s="56" t="s">
        <v>108</v>
      </c>
      <c r="H47" s="54"/>
      <c r="I47" s="54"/>
      <c r="R47" s="82"/>
      <c r="S47" s="82"/>
      <c r="T47" s="82"/>
      <c r="U47" s="82"/>
    </row>
    <row r="48" spans="2:22">
      <c r="B48" s="52" t="s">
        <v>98</v>
      </c>
      <c r="D48" s="52" t="s">
        <v>69</v>
      </c>
      <c r="H48" s="58">
        <f>SUM(J48:O48)</f>
        <v>344.02306122448982</v>
      </c>
      <c r="I48" s="54"/>
      <c r="J48" s="37">
        <f>'Realisatie 2022'!L48</f>
        <v>0</v>
      </c>
      <c r="K48" s="37">
        <f>'Realisatie 2022'!M48</f>
        <v>339.02306122448982</v>
      </c>
      <c r="L48" s="37">
        <f>'Realisatie 2022'!N48</f>
        <v>0</v>
      </c>
      <c r="M48" s="37">
        <f>'Realisatie 2022'!O48</f>
        <v>5</v>
      </c>
      <c r="N48" s="37">
        <f>'Realisatie 2022'!P48</f>
        <v>0</v>
      </c>
      <c r="O48" s="37">
        <f>'Realisatie 2022'!Q48</f>
        <v>0</v>
      </c>
      <c r="R48" s="82"/>
      <c r="S48" s="82"/>
      <c r="T48" s="82"/>
      <c r="U48" s="82"/>
    </row>
    <row r="49" spans="2:15">
      <c r="B49" s="52" t="s">
        <v>109</v>
      </c>
      <c r="D49" s="52" t="s">
        <v>69</v>
      </c>
      <c r="H49" s="58">
        <f>SUM(J49:O49)</f>
        <v>965790.88726016879</v>
      </c>
      <c r="I49" s="54"/>
      <c r="J49" s="37">
        <f>'Realisatie 2022'!L49</f>
        <v>0</v>
      </c>
      <c r="K49" s="37">
        <f>'Realisatie 2022'!M49</f>
        <v>947956.18726016884</v>
      </c>
      <c r="L49" s="37">
        <f>'Realisatie 2022'!N49</f>
        <v>0</v>
      </c>
      <c r="M49" s="37">
        <f>'Realisatie 2022'!O49</f>
        <v>17834.7</v>
      </c>
      <c r="N49" s="37">
        <f>'Realisatie 2022'!P49</f>
        <v>0</v>
      </c>
      <c r="O49" s="37">
        <f>'Realisatie 2022'!Q49</f>
        <v>0</v>
      </c>
    </row>
    <row r="50" spans="2:15">
      <c r="B50" s="52" t="s">
        <v>100</v>
      </c>
      <c r="D50" s="52" t="s">
        <v>69</v>
      </c>
      <c r="H50" s="58">
        <f>SUM(J50:O50)</f>
        <v>8319497.3285714323</v>
      </c>
      <c r="I50" s="54"/>
      <c r="J50" s="37">
        <f>'Realisatie 2022'!L50</f>
        <v>0</v>
      </c>
      <c r="K50" s="37">
        <f>'Realisatie 2022'!M50</f>
        <v>8152128.3285714323</v>
      </c>
      <c r="L50" s="37">
        <f>'Realisatie 2022'!N50</f>
        <v>0</v>
      </c>
      <c r="M50" s="37">
        <f>'Realisatie 2022'!O50</f>
        <v>167369</v>
      </c>
      <c r="N50" s="37">
        <f>'Realisatie 2022'!P50</f>
        <v>0</v>
      </c>
      <c r="O50" s="37">
        <f>'Realisatie 2022'!Q50</f>
        <v>0</v>
      </c>
    </row>
    <row r="51" spans="2:15">
      <c r="B51" s="52" t="s">
        <v>110</v>
      </c>
      <c r="D51" s="52" t="s">
        <v>69</v>
      </c>
      <c r="H51" s="58">
        <f>SUM(J51:O51)</f>
        <v>3276768719.9420295</v>
      </c>
      <c r="I51" s="54"/>
      <c r="J51" s="37">
        <f>'Realisatie 2022'!L51</f>
        <v>0</v>
      </c>
      <c r="K51" s="37">
        <f>'Realisatie 2022'!M51</f>
        <v>3228318615.9420295</v>
      </c>
      <c r="L51" s="37">
        <f>'Realisatie 2022'!N51</f>
        <v>0</v>
      </c>
      <c r="M51" s="37">
        <f>'Realisatie 2022'!O51</f>
        <v>48450104</v>
      </c>
      <c r="N51" s="37">
        <f>'Realisatie 2022'!P51</f>
        <v>0</v>
      </c>
      <c r="O51" s="37">
        <f>'Realisatie 2022'!Q51</f>
        <v>0</v>
      </c>
    </row>
    <row r="52" spans="2:15">
      <c r="H52" s="54"/>
      <c r="I52" s="54"/>
    </row>
    <row r="53" spans="2:15">
      <c r="B53" s="56" t="s">
        <v>80</v>
      </c>
      <c r="H53" s="54"/>
      <c r="I53" s="54"/>
    </row>
    <row r="54" spans="2:15">
      <c r="B54" s="52" t="s">
        <v>98</v>
      </c>
      <c r="D54" s="52" t="s">
        <v>69</v>
      </c>
      <c r="H54" s="58">
        <f>SUM(J54:O54)</f>
        <v>28511.389523809528</v>
      </c>
      <c r="I54" s="54"/>
      <c r="J54" s="37">
        <f>'Realisatie 2022'!L60</f>
        <v>29</v>
      </c>
      <c r="K54" s="31">
        <f>'Realisatie 2022'!M54</f>
        <v>13967.421179138322</v>
      </c>
      <c r="L54" s="37">
        <f>'Realisatie 2022'!N60</f>
        <v>9508.9168707483004</v>
      </c>
      <c r="M54" s="31">
        <f>'Realisatie 2022'!O54</f>
        <v>16.61</v>
      </c>
      <c r="N54" s="37">
        <f>'Realisatie 2022'!P60</f>
        <v>4681.3130158730155</v>
      </c>
      <c r="O54" s="37">
        <f>'Realisatie 2022'!Q60</f>
        <v>308.1284580498866</v>
      </c>
    </row>
    <row r="55" spans="2:15">
      <c r="B55" s="52" t="s">
        <v>109</v>
      </c>
      <c r="D55" s="52" t="s">
        <v>69</v>
      </c>
      <c r="H55" s="58">
        <f>SUM(J55:O55)</f>
        <v>9813594.5953420047</v>
      </c>
      <c r="I55" s="54"/>
      <c r="J55" s="37">
        <f>'Realisatie 2022'!L61</f>
        <v>46927</v>
      </c>
      <c r="K55" s="31">
        <f>'Realisatie 2022'!M55</f>
        <v>3677461.0559440558</v>
      </c>
      <c r="L55" s="37">
        <f>'Realisatie 2022'!N61</f>
        <v>3661724.3802961432</v>
      </c>
      <c r="M55" s="31">
        <f>'Realisatie 2022'!O55</f>
        <v>17481.5</v>
      </c>
      <c r="N55" s="37">
        <f>'Realisatie 2022'!P61</f>
        <v>1972096.0362400906</v>
      </c>
      <c r="O55" s="37">
        <f>'Realisatie 2022'!Q61</f>
        <v>437904.6228617148</v>
      </c>
    </row>
    <row r="56" spans="2:15">
      <c r="B56" s="52" t="s">
        <v>100</v>
      </c>
      <c r="D56" s="52" t="s">
        <v>69</v>
      </c>
      <c r="H56" s="58">
        <f>SUM(J56:O56)</f>
        <v>74389282.365537047</v>
      </c>
      <c r="I56" s="54"/>
      <c r="J56" s="37">
        <f>'Realisatie 2022'!L62</f>
        <v>360310</v>
      </c>
      <c r="K56" s="31">
        <f>'Realisatie 2022'!M56</f>
        <v>28136205.864705879</v>
      </c>
      <c r="L56" s="37">
        <f>'Realisatie 2022'!N62</f>
        <v>27206108.561008204</v>
      </c>
      <c r="M56" s="31">
        <f>'Realisatie 2022'!O56</f>
        <v>156368</v>
      </c>
      <c r="N56" s="37">
        <f>'Realisatie 2022'!P62</f>
        <v>15313448.266987206</v>
      </c>
      <c r="O56" s="37">
        <f>'Realisatie 2022'!Q62</f>
        <v>3216841.6728357547</v>
      </c>
    </row>
    <row r="57" spans="2:15">
      <c r="B57" s="52" t="s">
        <v>110</v>
      </c>
      <c r="D57" s="52" t="s">
        <v>69</v>
      </c>
      <c r="H57" s="58">
        <f>SUM(J57:O57)</f>
        <v>21381696269.296017</v>
      </c>
      <c r="I57" s="54"/>
      <c r="J57" s="37">
        <f>'Realisatie 2022'!L63</f>
        <v>125838019</v>
      </c>
      <c r="K57" s="31">
        <f>'Realisatie 2022'!M57</f>
        <v>8021906255.8558598</v>
      </c>
      <c r="L57" s="37">
        <f>'Realisatie 2022'!N63</f>
        <v>8144644595.5466862</v>
      </c>
      <c r="M57" s="31">
        <f>'Realisatie 2022'!O57</f>
        <v>58894296</v>
      </c>
      <c r="N57" s="37">
        <f>'Realisatie 2022'!P63</f>
        <v>4547431074.2268038</v>
      </c>
      <c r="O57" s="37">
        <f>'Realisatie 2022'!Q63</f>
        <v>482982028.66666669</v>
      </c>
    </row>
    <row r="58" spans="2:15">
      <c r="H58" s="54"/>
      <c r="I58" s="54"/>
    </row>
    <row r="59" spans="2:15">
      <c r="B59" s="56" t="s">
        <v>111</v>
      </c>
      <c r="H59" s="54"/>
      <c r="I59" s="54"/>
    </row>
    <row r="60" spans="2:15">
      <c r="B60" s="52" t="s">
        <v>98</v>
      </c>
      <c r="D60" s="52" t="s">
        <v>69</v>
      </c>
      <c r="H60" s="58">
        <f>SUM(J60:O60)</f>
        <v>44462.918463718823</v>
      </c>
      <c r="I60" s="54"/>
      <c r="J60" s="37">
        <f>'Realisatie 2022'!L66</f>
        <v>249</v>
      </c>
      <c r="K60" s="37">
        <f>'Realisatie 2022'!M66</f>
        <v>13404.729750566892</v>
      </c>
      <c r="L60" s="37">
        <f>'Realisatie 2022'!N66</f>
        <v>16536.7225</v>
      </c>
      <c r="M60" s="37">
        <f>'Realisatie 2022'!O66</f>
        <v>139.03</v>
      </c>
      <c r="N60" s="37">
        <f>'Realisatie 2022'!P66</f>
        <v>13320.663401360544</v>
      </c>
      <c r="O60" s="37">
        <f>'Realisatie 2022'!Q66</f>
        <v>812.77281179138322</v>
      </c>
    </row>
    <row r="61" spans="2:15">
      <c r="B61" s="52" t="s">
        <v>109</v>
      </c>
      <c r="D61" s="52" t="s">
        <v>69</v>
      </c>
      <c r="H61" s="58">
        <f>SUM(J61:O61)</f>
        <v>3890897.5563556291</v>
      </c>
      <c r="I61" s="54"/>
      <c r="J61" s="37">
        <f>'Realisatie 2022'!L67</f>
        <v>53763</v>
      </c>
      <c r="K61" s="37">
        <f>'Realisatie 2022'!M67</f>
        <v>1086960.8959966982</v>
      </c>
      <c r="L61" s="37">
        <f>'Realisatie 2022'!N67</f>
        <v>1378514.6258333332</v>
      </c>
      <c r="M61" s="37">
        <f>'Realisatie 2022'!O67</f>
        <v>25763.5</v>
      </c>
      <c r="N61" s="37">
        <f>'Realisatie 2022'!P67</f>
        <v>1183760.343684606</v>
      </c>
      <c r="O61" s="37">
        <f>'Realisatie 2022'!Q67</f>
        <v>162135.19084099136</v>
      </c>
    </row>
    <row r="62" spans="2:15">
      <c r="B62" s="52" t="s">
        <v>100</v>
      </c>
      <c r="D62" s="52" t="s">
        <v>69</v>
      </c>
      <c r="H62" s="58">
        <f>SUM(J62:O62)</f>
        <v>28222330.79539321</v>
      </c>
      <c r="I62" s="54"/>
      <c r="J62" s="37">
        <f>'Realisatie 2022'!L68</f>
        <v>418171</v>
      </c>
      <c r="K62" s="37">
        <f>'Realisatie 2022'!M68</f>
        <v>7817150.2705882359</v>
      </c>
      <c r="L62" s="37">
        <f>'Realisatie 2022'!N68</f>
        <v>9883497.0444166046</v>
      </c>
      <c r="M62" s="37">
        <f>'Realisatie 2022'!O68</f>
        <v>204240</v>
      </c>
      <c r="N62" s="37">
        <f>'Realisatie 2022'!P68</f>
        <v>8714953.4582348969</v>
      </c>
      <c r="O62" s="37">
        <f>'Realisatie 2022'!Q68</f>
        <v>1184319.0221534721</v>
      </c>
    </row>
    <row r="63" spans="2:15">
      <c r="B63" s="52" t="s">
        <v>110</v>
      </c>
      <c r="D63" s="52" t="s">
        <v>69</v>
      </c>
      <c r="H63" s="58">
        <f>SUM(J63:O63)</f>
        <v>6767787204.1953268</v>
      </c>
      <c r="I63" s="54"/>
      <c r="J63" s="37">
        <f>'Realisatie 2022'!L69</f>
        <v>113570372</v>
      </c>
      <c r="K63" s="37">
        <f>'Realisatie 2022'!M69</f>
        <v>1785431538.7387381</v>
      </c>
      <c r="L63" s="37">
        <f>'Realisatie 2022'!N69</f>
        <v>2391666630.6232553</v>
      </c>
      <c r="M63" s="37">
        <f>'Realisatie 2022'!O69</f>
        <v>55509348</v>
      </c>
      <c r="N63" s="37">
        <f>'Realisatie 2022'!P69</f>
        <v>2151850200</v>
      </c>
      <c r="O63" s="37">
        <f>'Realisatie 2022'!Q69</f>
        <v>269759114.83333337</v>
      </c>
    </row>
    <row r="64" spans="2:15">
      <c r="H64" s="54"/>
      <c r="I64" s="54"/>
    </row>
    <row r="65" spans="2:15">
      <c r="H65" s="54"/>
      <c r="I65" s="54"/>
    </row>
    <row r="66" spans="2:15">
      <c r="B66" s="55" t="s">
        <v>112</v>
      </c>
      <c r="H66" s="54"/>
      <c r="I66" s="54"/>
    </row>
    <row r="67" spans="2:15">
      <c r="H67" s="54"/>
      <c r="I67" s="54"/>
    </row>
    <row r="68" spans="2:15">
      <c r="B68" s="56" t="s">
        <v>113</v>
      </c>
      <c r="H68" s="54"/>
      <c r="I68" s="54"/>
    </row>
    <row r="69" spans="2:15">
      <c r="B69" s="52" t="s">
        <v>98</v>
      </c>
      <c r="D69" s="52" t="s">
        <v>69</v>
      </c>
      <c r="H69" s="58">
        <f>SUM(J69:O69)</f>
        <v>23626.368888888886</v>
      </c>
      <c r="I69" s="54"/>
      <c r="J69" s="37">
        <f>'Realisatie 2022'!L75</f>
        <v>366</v>
      </c>
      <c r="K69" s="37">
        <f>'Realisatie 2022'!M75</f>
        <v>7348.5077777777769</v>
      </c>
      <c r="L69" s="37">
        <f>'Realisatie 2022'!N75</f>
        <v>8387.36</v>
      </c>
      <c r="M69" s="37">
        <f>'Realisatie 2022'!O75</f>
        <v>168.67</v>
      </c>
      <c r="N69" s="37">
        <f>'Realisatie 2022'!P75</f>
        <v>7142.7955555555554</v>
      </c>
      <c r="O69" s="37">
        <f>'Realisatie 2022'!Q75</f>
        <v>213.03555555555556</v>
      </c>
    </row>
    <row r="70" spans="2:15">
      <c r="B70" s="52" t="s">
        <v>109</v>
      </c>
      <c r="D70" s="52" t="s">
        <v>69</v>
      </c>
      <c r="H70" s="58">
        <f>SUM(J70:O70)</f>
        <v>900975.47096618102</v>
      </c>
      <c r="I70" s="54"/>
      <c r="J70" s="37">
        <f>'Realisatie 2022'!L76</f>
        <v>25812</v>
      </c>
      <c r="K70" s="37">
        <f>'Realisatie 2022'!M76</f>
        <v>211616.92316784864</v>
      </c>
      <c r="L70" s="37">
        <f>'Realisatie 2022'!N76</f>
        <v>260220.70250000001</v>
      </c>
      <c r="M70" s="37">
        <f>'Realisatie 2022'!O76</f>
        <v>10969</v>
      </c>
      <c r="N70" s="37">
        <f>'Realisatie 2022'!P76</f>
        <v>385678.74422484584</v>
      </c>
      <c r="O70" s="37">
        <f>'Realisatie 2022'!Q76</f>
        <v>6678.1010734864622</v>
      </c>
    </row>
    <row r="71" spans="2:15">
      <c r="B71" s="52" t="s">
        <v>114</v>
      </c>
      <c r="D71" s="52" t="s">
        <v>69</v>
      </c>
      <c r="H71" s="58">
        <f>SUM(J71:O71)</f>
        <v>541169081.50445187</v>
      </c>
      <c r="I71" s="54"/>
      <c r="J71" s="37">
        <f>'Realisatie 2022'!L77</f>
        <v>12368749</v>
      </c>
      <c r="K71" s="37">
        <f>'Realisatie 2022'!M77</f>
        <v>117516194.32989688</v>
      </c>
      <c r="L71" s="37">
        <f>'Realisatie 2022'!N77</f>
        <v>155651145.87469721</v>
      </c>
      <c r="M71" s="37">
        <f>'Realisatie 2022'!O77</f>
        <v>7560028</v>
      </c>
      <c r="N71" s="37">
        <f>'Realisatie 2022'!P77</f>
        <v>243760373.88889894</v>
      </c>
      <c r="O71" s="37">
        <f>'Realisatie 2022'!Q77</f>
        <v>4312590.4109589048</v>
      </c>
    </row>
    <row r="72" spans="2:15">
      <c r="B72" s="52" t="s">
        <v>110</v>
      </c>
      <c r="D72" s="52" t="s">
        <v>69</v>
      </c>
      <c r="H72" s="58">
        <f>SUM(J72:O72)</f>
        <v>749365449.54911685</v>
      </c>
      <c r="I72" s="54"/>
      <c r="J72" s="37">
        <f>'Realisatie 2022'!L78</f>
        <v>21598577</v>
      </c>
      <c r="K72" s="37">
        <f>'Realisatie 2022'!M78</f>
        <v>154806145.55256063</v>
      </c>
      <c r="L72" s="37">
        <f>'Realisatie 2022'!N78</f>
        <v>209683978.59280664</v>
      </c>
      <c r="M72" s="37">
        <f>'Realisatie 2022'!O78</f>
        <v>11765477</v>
      </c>
      <c r="N72" s="37">
        <f>'Realisatie 2022'!P78</f>
        <v>346065251.07278037</v>
      </c>
      <c r="O72" s="37">
        <f>'Realisatie 2022'!Q78</f>
        <v>5446020.3309692666</v>
      </c>
    </row>
    <row r="73" spans="2:15">
      <c r="H73" s="54"/>
      <c r="I73" s="54"/>
    </row>
    <row r="74" spans="2:15">
      <c r="B74" s="56" t="s">
        <v>115</v>
      </c>
      <c r="H74" s="54"/>
      <c r="I74" s="54"/>
    </row>
    <row r="75" spans="2:15">
      <c r="B75" s="52" t="s">
        <v>116</v>
      </c>
      <c r="D75" s="52" t="s">
        <v>69</v>
      </c>
      <c r="H75" s="58">
        <f>SUM(J75:O75)</f>
        <v>2795785.9160836344</v>
      </c>
      <c r="I75" s="54"/>
      <c r="J75" s="37">
        <f>'Realisatie 2022'!L81</f>
        <v>25460</v>
      </c>
      <c r="K75" s="37">
        <f>'Realisatie 2022'!M81</f>
        <v>1247161.4376996807</v>
      </c>
      <c r="L75" s="37">
        <f>'Realisatie 2022'!N81</f>
        <v>798695.21354370518</v>
      </c>
      <c r="M75" s="37">
        <f>'Realisatie 2022'!O81</f>
        <v>18998</v>
      </c>
      <c r="N75" s="37">
        <f>'Realisatie 2022'!P81</f>
        <v>676770.22113401489</v>
      </c>
      <c r="O75" s="37">
        <f>'Realisatie 2022'!Q81</f>
        <v>28701.04370623342</v>
      </c>
    </row>
    <row r="76" spans="2:15">
      <c r="B76" s="52" t="s">
        <v>117</v>
      </c>
      <c r="D76" s="52" t="s">
        <v>69</v>
      </c>
      <c r="H76" s="58">
        <f>SUM(J76:O76)</f>
        <v>8564468.6893148571</v>
      </c>
      <c r="I76" s="54"/>
      <c r="J76" s="37">
        <f>'Realisatie 2022'!L82</f>
        <v>54285</v>
      </c>
      <c r="K76" s="37">
        <f>'Realisatie 2022'!M82</f>
        <v>2814157.3708985434</v>
      </c>
      <c r="L76" s="37">
        <f>'Realisatie 2022'!N82</f>
        <v>3265559.7887782152</v>
      </c>
      <c r="M76" s="37">
        <f>'Realisatie 2022'!O82</f>
        <v>33277.199999999997</v>
      </c>
      <c r="N76" s="37">
        <f>'Realisatie 2022'!P82</f>
        <v>2334822.439762508</v>
      </c>
      <c r="O76" s="37">
        <f>'Realisatie 2022'!Q82</f>
        <v>62366.889875589972</v>
      </c>
    </row>
    <row r="77" spans="2:15">
      <c r="H77" s="54"/>
      <c r="I77" s="54"/>
    </row>
    <row r="78" spans="2:15">
      <c r="B78" s="56" t="s">
        <v>118</v>
      </c>
      <c r="H78" s="54"/>
      <c r="I78" s="54"/>
    </row>
    <row r="79" spans="2:15">
      <c r="B79" s="52" t="s">
        <v>119</v>
      </c>
      <c r="D79" s="52" t="s">
        <v>69</v>
      </c>
      <c r="H79" s="58">
        <f t="shared" ref="H79:H85" si="0">SUM(J79:O79)</f>
        <v>62903.061979793485</v>
      </c>
      <c r="I79" s="54"/>
      <c r="J79" s="37">
        <f>'Realisatie 2022'!L85</f>
        <v>297</v>
      </c>
      <c r="K79" s="37">
        <f>'Realisatie 2022'!M85</f>
        <v>24545.259185303468</v>
      </c>
      <c r="L79" s="37">
        <f>'Realisatie 2022'!N85</f>
        <v>24475.149726027394</v>
      </c>
      <c r="M79" s="37">
        <f>'Realisatie 2022'!O85</f>
        <v>198.8</v>
      </c>
      <c r="N79" s="37">
        <f>'Realisatie 2022'!P85</f>
        <v>12759.479851409515</v>
      </c>
      <c r="O79" s="37">
        <f>'Realisatie 2022'!Q85</f>
        <v>627.37321705310808</v>
      </c>
    </row>
    <row r="80" spans="2:15">
      <c r="B80" s="52" t="s">
        <v>120</v>
      </c>
      <c r="D80" s="52" t="s">
        <v>69</v>
      </c>
      <c r="H80" s="58">
        <f t="shared" si="0"/>
        <v>63262.536352500982</v>
      </c>
      <c r="I80" s="54"/>
      <c r="J80" s="37">
        <f>'Realisatie 2022'!L86</f>
        <v>340</v>
      </c>
      <c r="K80" s="37">
        <f>'Realisatie 2022'!M86</f>
        <v>22890.733379925477</v>
      </c>
      <c r="L80" s="37">
        <f>'Realisatie 2022'!N86</f>
        <v>22924.390022831045</v>
      </c>
      <c r="M80" s="37">
        <f>'Realisatie 2022'!O86</f>
        <v>223.6</v>
      </c>
      <c r="N80" s="37">
        <f>'Realisatie 2022'!P86</f>
        <v>16364.197346844887</v>
      </c>
      <c r="O80" s="37">
        <f>'Realisatie 2022'!Q86</f>
        <v>519.6156028995722</v>
      </c>
    </row>
    <row r="81" spans="2:18">
      <c r="B81" s="52" t="s">
        <v>121</v>
      </c>
      <c r="D81" s="52" t="s">
        <v>69</v>
      </c>
      <c r="H81" s="58">
        <f t="shared" si="0"/>
        <v>72084.267546459087</v>
      </c>
      <c r="I81" s="54"/>
      <c r="J81" s="37">
        <f>'Realisatie 2022'!L87</f>
        <v>417</v>
      </c>
      <c r="K81" s="37">
        <f>'Realisatie 2022'!M87</f>
        <v>25891.882747603824</v>
      </c>
      <c r="L81" s="37">
        <f>'Realisatie 2022'!N87</f>
        <v>27576.351632420086</v>
      </c>
      <c r="M81" s="37">
        <f>'Realisatie 2022'!O87</f>
        <v>288</v>
      </c>
      <c r="N81" s="37">
        <f>'Realisatie 2022'!P87</f>
        <v>17143.878436413001</v>
      </c>
      <c r="O81" s="37">
        <f>'Realisatie 2022'!Q87</f>
        <v>767.15473002216731</v>
      </c>
    </row>
    <row r="82" spans="2:18">
      <c r="B82" s="52" t="s">
        <v>122</v>
      </c>
      <c r="D82" s="52" t="s">
        <v>69</v>
      </c>
      <c r="H82" s="58">
        <f t="shared" si="0"/>
        <v>184537.7076792712</v>
      </c>
      <c r="I82" s="54"/>
      <c r="J82" s="37">
        <f>'Realisatie 2022'!L88</f>
        <v>1103</v>
      </c>
      <c r="K82" s="37">
        <f>'Realisatie 2022'!M88</f>
        <v>67182.244129392871</v>
      </c>
      <c r="L82" s="37">
        <f>'Realisatie 2022'!N88</f>
        <v>67309.567111872137</v>
      </c>
      <c r="M82" s="37">
        <f>'Realisatie 2022'!O88</f>
        <v>617.75</v>
      </c>
      <c r="N82" s="37">
        <f>'Realisatie 2022'!P88</f>
        <v>46678.392018960942</v>
      </c>
      <c r="O82" s="37">
        <f>'Realisatie 2022'!Q88</f>
        <v>1646.7544190452518</v>
      </c>
    </row>
    <row r="83" spans="2:18">
      <c r="B83" s="52" t="s">
        <v>147</v>
      </c>
      <c r="D83" s="52" t="s">
        <v>69</v>
      </c>
      <c r="H83" s="58">
        <f t="shared" si="0"/>
        <v>8163875.1208624374</v>
      </c>
      <c r="I83" s="54"/>
      <c r="J83" s="37">
        <f>'Realisatie 2022'!L89</f>
        <v>52126</v>
      </c>
      <c r="K83" s="37">
        <f>'Realisatie 2022'!M89</f>
        <v>2667197.4453540812</v>
      </c>
      <c r="L83" s="37">
        <f>'Realisatie 2022'!N89</f>
        <v>3113788.5654807203</v>
      </c>
      <c r="M83" s="37">
        <f>'Realisatie 2022'!O89</f>
        <v>31936.6</v>
      </c>
      <c r="N83" s="37">
        <f>'Realisatie 2022'!P89</f>
        <v>2240022.5176952118</v>
      </c>
      <c r="O83" s="37">
        <f>'Realisatie 2022'!Q89</f>
        <v>58803.992332424299</v>
      </c>
    </row>
    <row r="84" spans="2:18">
      <c r="B84" s="5" t="s">
        <v>148</v>
      </c>
      <c r="D84" s="52" t="s">
        <v>69</v>
      </c>
      <c r="H84" s="58">
        <f t="shared" si="0"/>
        <v>17215.78362731541</v>
      </c>
      <c r="I84" s="54"/>
      <c r="J84" s="37">
        <f>'Realisatie 2022'!L90</f>
        <v>2</v>
      </c>
      <c r="K84" s="37">
        <f>'Realisatie 2022'!M90</f>
        <v>6188.1027689030907</v>
      </c>
      <c r="L84" s="37">
        <f>'Realisatie 2022'!N90</f>
        <v>9158.3065449010646</v>
      </c>
      <c r="M84" s="37">
        <f>'Realisatie 2022'!O90</f>
        <v>12.4</v>
      </c>
      <c r="N84" s="37">
        <f>'Realisatie 2022'!P90</f>
        <v>1853.9744136681672</v>
      </c>
      <c r="O84" s="37">
        <f>'Realisatie 2022'!Q90</f>
        <v>0.99989984308750368</v>
      </c>
      <c r="R84" s="52" t="s">
        <v>124</v>
      </c>
    </row>
    <row r="85" spans="2:18">
      <c r="B85" s="5" t="s">
        <v>123</v>
      </c>
      <c r="D85" s="52" t="s">
        <v>69</v>
      </c>
      <c r="H85" s="58">
        <f t="shared" si="0"/>
        <v>2795785.7877948759</v>
      </c>
      <c r="I85" s="54"/>
      <c r="J85" s="37">
        <f>'Realisatie 2022'!L91</f>
        <v>25460</v>
      </c>
      <c r="K85" s="37">
        <f>'Realisatie 2022'!M91</f>
        <v>1247161.4376996807</v>
      </c>
      <c r="L85" s="37">
        <f>'Realisatie 2022'!N91</f>
        <v>798695.08525494672</v>
      </c>
      <c r="M85" s="37">
        <f>'Realisatie 2022'!O91</f>
        <v>18998</v>
      </c>
      <c r="N85" s="37">
        <f>'Realisatie 2022'!P91</f>
        <v>676770.22113401489</v>
      </c>
      <c r="O85" s="37">
        <f>'Realisatie 2022'!Q91</f>
        <v>28701.04370623342</v>
      </c>
    </row>
    <row r="86" spans="2:18">
      <c r="H86" s="54"/>
      <c r="I86" s="54"/>
    </row>
    <row r="87" spans="2:18">
      <c r="H87" s="54"/>
      <c r="I87" s="54"/>
    </row>
    <row r="88" spans="2:18">
      <c r="B88" s="55" t="s">
        <v>125</v>
      </c>
      <c r="H88" s="54"/>
      <c r="I88" s="54"/>
    </row>
    <row r="89" spans="2:18">
      <c r="H89" s="54"/>
      <c r="I89" s="54"/>
    </row>
    <row r="90" spans="2:18">
      <c r="B90" s="52" t="s">
        <v>126</v>
      </c>
      <c r="D90" s="52" t="s">
        <v>69</v>
      </c>
      <c r="H90" s="58">
        <f>SUM(J90:O90)</f>
        <v>853706387.7369324</v>
      </c>
      <c r="I90" s="54"/>
      <c r="J90" s="37">
        <f>'Realisatie 2022'!L96</f>
        <v>3881317</v>
      </c>
      <c r="K90" s="37">
        <f>'Realisatie 2022'!M96</f>
        <v>213043061.36363634</v>
      </c>
      <c r="L90" s="37">
        <f>'Realisatie 2022'!N96</f>
        <v>376466598</v>
      </c>
      <c r="M90" s="37">
        <f>'Realisatie 2022'!O96</f>
        <v>10590026</v>
      </c>
      <c r="N90" s="37">
        <f>'Realisatie 2022'!P96</f>
        <v>249725385.37329599</v>
      </c>
      <c r="O90" s="37">
        <f>'Realisatie 2022'!Q96</f>
        <v>0</v>
      </c>
    </row>
    <row r="91" spans="2:18">
      <c r="B91" s="52" t="s">
        <v>127</v>
      </c>
      <c r="D91" s="52" t="s">
        <v>69</v>
      </c>
      <c r="H91" s="58">
        <f>SUM(J91:O91)</f>
        <v>63681206.124082819</v>
      </c>
      <c r="I91" s="54"/>
      <c r="J91" s="37">
        <f>'Realisatie 2022'!L97</f>
        <v>28151</v>
      </c>
      <c r="K91" s="37">
        <f>'Realisatie 2022'!M97</f>
        <v>17229250</v>
      </c>
      <c r="L91" s="37">
        <f>'Realisatie 2022'!N97</f>
        <v>19196729</v>
      </c>
      <c r="M91" s="37">
        <f>'Realisatie 2022'!O97</f>
        <v>182588</v>
      </c>
      <c r="N91" s="37">
        <f>'Realisatie 2022'!P97</f>
        <v>27044488.124082822</v>
      </c>
      <c r="O91" s="37">
        <f>'Realisatie 2022'!Q97</f>
        <v>0</v>
      </c>
    </row>
    <row r="92" spans="2:18">
      <c r="O92" s="82"/>
    </row>
    <row r="93" spans="2:18" s="11" customFormat="1">
      <c r="B93" s="11" t="s">
        <v>156</v>
      </c>
    </row>
    <row r="95" spans="2:18">
      <c r="B95" s="55" t="s">
        <v>96</v>
      </c>
      <c r="L95" s="76"/>
    </row>
    <row r="96" spans="2:18">
      <c r="B96" s="56"/>
      <c r="H96" s="54"/>
      <c r="I96" s="54"/>
    </row>
    <row r="97" spans="2:17">
      <c r="B97" s="57" t="s">
        <v>97</v>
      </c>
      <c r="H97" s="54"/>
      <c r="I97" s="54"/>
    </row>
    <row r="98" spans="2:17">
      <c r="B98" s="52" t="s">
        <v>98</v>
      </c>
      <c r="D98" s="52" t="s">
        <v>161</v>
      </c>
      <c r="H98" s="54"/>
      <c r="I98" s="54"/>
      <c r="J98" s="41">
        <f>'Realisatie 2022'!L165</f>
        <v>0</v>
      </c>
      <c r="K98" s="41">
        <f>'Realisatie 2022'!M165</f>
        <v>0</v>
      </c>
      <c r="L98" s="41">
        <f>'Realisatie 2022'!N165</f>
        <v>2760</v>
      </c>
      <c r="M98" s="41">
        <f>'Realisatie 2022'!O165</f>
        <v>0</v>
      </c>
      <c r="N98" s="41">
        <f>'Realisatie 2022'!P165</f>
        <v>0</v>
      </c>
      <c r="O98" s="41">
        <f>'Realisatie 2022'!Q165</f>
        <v>0</v>
      </c>
      <c r="Q98" s="76"/>
    </row>
    <row r="99" spans="2:17">
      <c r="B99" s="52" t="s">
        <v>99</v>
      </c>
      <c r="D99" s="52" t="s">
        <v>161</v>
      </c>
      <c r="H99" s="54"/>
      <c r="I99" s="54"/>
      <c r="J99" s="41">
        <f>'Realisatie 2022'!L166</f>
        <v>0</v>
      </c>
      <c r="K99" s="41">
        <f>'Realisatie 2022'!M166</f>
        <v>0</v>
      </c>
      <c r="L99" s="41">
        <f>'Realisatie 2022'!N166</f>
        <v>12</v>
      </c>
      <c r="M99" s="41">
        <f>'Realisatie 2022'!O166</f>
        <v>0</v>
      </c>
      <c r="N99" s="41">
        <f>'Realisatie 2022'!P166</f>
        <v>0</v>
      </c>
      <c r="O99" s="41">
        <f>'Realisatie 2022'!Q166</f>
        <v>0</v>
      </c>
    </row>
    <row r="100" spans="2:17">
      <c r="B100" s="52" t="s">
        <v>100</v>
      </c>
      <c r="D100" s="52" t="s">
        <v>161</v>
      </c>
      <c r="H100" s="54"/>
      <c r="I100" s="54"/>
      <c r="J100" s="41">
        <f>'Realisatie 2022'!L167</f>
        <v>0</v>
      </c>
      <c r="K100" s="41">
        <f>'Realisatie 2022'!M167</f>
        <v>0</v>
      </c>
      <c r="L100" s="41">
        <f>'Realisatie 2022'!N167</f>
        <v>1.24</v>
      </c>
      <c r="M100" s="41">
        <f>'Realisatie 2022'!O167</f>
        <v>0</v>
      </c>
      <c r="N100" s="41">
        <f>'Realisatie 2022'!P167</f>
        <v>0</v>
      </c>
      <c r="O100" s="41">
        <f>'Realisatie 2022'!Q167</f>
        <v>0</v>
      </c>
    </row>
    <row r="101" spans="2:17">
      <c r="H101" s="54"/>
      <c r="I101" s="54"/>
      <c r="J101" s="75"/>
      <c r="K101" s="75"/>
      <c r="L101" s="75"/>
      <c r="M101" s="75"/>
      <c r="N101" s="75"/>
      <c r="O101" s="75"/>
    </row>
    <row r="102" spans="2:17">
      <c r="B102" s="56" t="s">
        <v>101</v>
      </c>
      <c r="H102" s="54"/>
      <c r="I102" s="54"/>
      <c r="J102" s="75"/>
      <c r="K102" s="75"/>
      <c r="L102" s="75"/>
      <c r="M102" s="75"/>
      <c r="N102" s="75"/>
      <c r="O102" s="75"/>
    </row>
    <row r="103" spans="2:17">
      <c r="B103" s="52" t="s">
        <v>98</v>
      </c>
      <c r="D103" s="52" t="s">
        <v>161</v>
      </c>
      <c r="H103" s="54"/>
      <c r="I103" s="54"/>
      <c r="J103" s="41">
        <f>'Realisatie 2022'!L170</f>
        <v>0</v>
      </c>
      <c r="K103" s="41">
        <f>'Realisatie 2022'!M170</f>
        <v>0</v>
      </c>
      <c r="L103" s="41">
        <f>'Realisatie 2022'!N170</f>
        <v>2760</v>
      </c>
      <c r="M103" s="41">
        <f>'Realisatie 2022'!O170</f>
        <v>0</v>
      </c>
      <c r="N103" s="41">
        <f>'Realisatie 2022'!P170</f>
        <v>0</v>
      </c>
      <c r="O103" s="41">
        <f>'Realisatie 2022'!Q170</f>
        <v>0</v>
      </c>
    </row>
    <row r="104" spans="2:17">
      <c r="B104" s="52" t="s">
        <v>99</v>
      </c>
      <c r="D104" s="52" t="s">
        <v>161</v>
      </c>
      <c r="H104" s="54"/>
      <c r="I104" s="54"/>
      <c r="J104" s="41">
        <f>'Realisatie 2022'!L171</f>
        <v>0</v>
      </c>
      <c r="K104" s="41">
        <f>'Realisatie 2022'!M171</f>
        <v>0</v>
      </c>
      <c r="L104" s="41">
        <f>'Realisatie 2022'!N171</f>
        <v>6</v>
      </c>
      <c r="M104" s="41">
        <f>'Realisatie 2022'!O171</f>
        <v>0</v>
      </c>
      <c r="N104" s="41">
        <f>'Realisatie 2022'!P171</f>
        <v>0</v>
      </c>
      <c r="O104" s="41">
        <f>'Realisatie 2022'!Q171</f>
        <v>0</v>
      </c>
    </row>
    <row r="105" spans="2:17">
      <c r="B105" s="52" t="s">
        <v>102</v>
      </c>
      <c r="D105" s="52" t="s">
        <v>161</v>
      </c>
      <c r="H105" s="54"/>
      <c r="I105" s="54"/>
      <c r="J105" s="41">
        <f>'Realisatie 2022'!L172</f>
        <v>0</v>
      </c>
      <c r="K105" s="41">
        <f>'Realisatie 2022'!M172</f>
        <v>0</v>
      </c>
      <c r="L105" s="41">
        <f>'Realisatie 2022'!N172</f>
        <v>0.42920000000000003</v>
      </c>
      <c r="M105" s="41">
        <f>'Realisatie 2022'!O172</f>
        <v>0</v>
      </c>
      <c r="N105" s="41">
        <f>'Realisatie 2022'!P172</f>
        <v>0</v>
      </c>
      <c r="O105" s="41">
        <f>'Realisatie 2022'!Q172</f>
        <v>0</v>
      </c>
    </row>
    <row r="106" spans="2:17">
      <c r="H106" s="54"/>
      <c r="I106" s="54"/>
      <c r="J106" s="75"/>
      <c r="K106" s="75"/>
      <c r="L106" s="75"/>
      <c r="M106" s="75"/>
      <c r="N106" s="75"/>
      <c r="O106" s="75"/>
    </row>
    <row r="107" spans="2:17">
      <c r="B107" s="56" t="s">
        <v>103</v>
      </c>
      <c r="H107" s="54"/>
      <c r="I107" s="54"/>
      <c r="J107" s="75"/>
      <c r="K107" s="75"/>
      <c r="L107" s="75"/>
      <c r="M107" s="75"/>
      <c r="N107" s="75"/>
      <c r="O107" s="75"/>
    </row>
    <row r="108" spans="2:17">
      <c r="B108" s="52" t="s">
        <v>98</v>
      </c>
      <c r="D108" s="52" t="s">
        <v>161</v>
      </c>
      <c r="H108" s="54"/>
      <c r="I108" s="54"/>
      <c r="J108" s="41">
        <f>'Realisatie 2022'!L175</f>
        <v>0</v>
      </c>
      <c r="K108" s="41">
        <f>'Realisatie 2022'!M175</f>
        <v>2760</v>
      </c>
      <c r="L108" s="41">
        <f>'Realisatie 2022'!N175</f>
        <v>2760</v>
      </c>
      <c r="M108" s="41">
        <f>'Realisatie 2022'!O175</f>
        <v>0</v>
      </c>
      <c r="N108" s="41">
        <f>'Realisatie 2022'!P175</f>
        <v>2760</v>
      </c>
      <c r="O108" s="41">
        <f>'Realisatie 2022'!Q175</f>
        <v>0</v>
      </c>
    </row>
    <row r="109" spans="2:17">
      <c r="B109" s="52" t="s">
        <v>99</v>
      </c>
      <c r="D109" s="52" t="s">
        <v>161</v>
      </c>
      <c r="H109" s="54"/>
      <c r="I109" s="54"/>
      <c r="J109" s="41">
        <f>'Realisatie 2022'!L176</f>
        <v>0</v>
      </c>
      <c r="K109" s="41">
        <f>'Realisatie 2022'!M176</f>
        <v>14.43</v>
      </c>
      <c r="L109" s="41">
        <f>'Realisatie 2022'!N176</f>
        <v>23.16</v>
      </c>
      <c r="M109" s="41">
        <f>'Realisatie 2022'!O176</f>
        <v>0</v>
      </c>
      <c r="N109" s="41">
        <f>'Realisatie 2022'!P176</f>
        <v>23.245200000000001</v>
      </c>
      <c r="O109" s="41">
        <f>'Realisatie 2022'!Q176</f>
        <v>0</v>
      </c>
    </row>
    <row r="110" spans="2:17">
      <c r="B110" s="52" t="s">
        <v>100</v>
      </c>
      <c r="D110" s="52" t="s">
        <v>161</v>
      </c>
      <c r="H110" s="54"/>
      <c r="I110" s="54"/>
      <c r="J110" s="41">
        <f>'Realisatie 2022'!L177</f>
        <v>0</v>
      </c>
      <c r="K110" s="41">
        <f>'Realisatie 2022'!M177</f>
        <v>1.75</v>
      </c>
      <c r="L110" s="41">
        <f>'Realisatie 2022'!N177</f>
        <v>2.5</v>
      </c>
      <c r="M110" s="41">
        <f>'Realisatie 2022'!O177</f>
        <v>0</v>
      </c>
      <c r="N110" s="41">
        <f>'Realisatie 2022'!P177</f>
        <v>2.6440000000000001</v>
      </c>
      <c r="O110" s="41">
        <f>'Realisatie 2022'!Q177</f>
        <v>0</v>
      </c>
    </row>
    <row r="111" spans="2:17">
      <c r="H111" s="54"/>
      <c r="I111" s="54"/>
      <c r="J111" s="75"/>
      <c r="K111" s="75"/>
      <c r="L111" s="75"/>
      <c r="M111" s="75"/>
      <c r="N111" s="75"/>
      <c r="O111" s="75"/>
    </row>
    <row r="112" spans="2:17">
      <c r="B112" s="56" t="s">
        <v>104</v>
      </c>
      <c r="H112" s="54"/>
      <c r="I112" s="54"/>
      <c r="J112" s="75"/>
      <c r="K112" s="75"/>
      <c r="L112" s="75"/>
      <c r="M112" s="75"/>
      <c r="N112" s="75"/>
      <c r="O112" s="75"/>
    </row>
    <row r="113" spans="2:15">
      <c r="B113" s="52" t="s">
        <v>98</v>
      </c>
      <c r="D113" s="52" t="s">
        <v>161</v>
      </c>
      <c r="H113" s="54"/>
      <c r="I113" s="54"/>
      <c r="J113" s="41">
        <f>'Realisatie 2022'!L180</f>
        <v>0</v>
      </c>
      <c r="K113" s="41">
        <f>'Realisatie 2022'!M180</f>
        <v>2760</v>
      </c>
      <c r="L113" s="41">
        <f>'Realisatie 2022'!N180</f>
        <v>2760</v>
      </c>
      <c r="M113" s="41">
        <f>'Realisatie 2022'!O180</f>
        <v>0</v>
      </c>
      <c r="N113" s="41">
        <f>'Realisatie 2022'!P180</f>
        <v>2760</v>
      </c>
      <c r="O113" s="41">
        <f>'Realisatie 2022'!Q180</f>
        <v>0</v>
      </c>
    </row>
    <row r="114" spans="2:15">
      <c r="B114" s="52" t="s">
        <v>99</v>
      </c>
      <c r="D114" s="52" t="s">
        <v>161</v>
      </c>
      <c r="H114" s="54"/>
      <c r="I114" s="54"/>
      <c r="J114" s="41">
        <f>'Realisatie 2022'!L181</f>
        <v>0</v>
      </c>
      <c r="K114" s="41">
        <f>'Realisatie 2022'!M181</f>
        <v>7.22</v>
      </c>
      <c r="L114" s="41">
        <f>'Realisatie 2022'!N181</f>
        <v>11.58</v>
      </c>
      <c r="M114" s="41">
        <f>'Realisatie 2022'!O181</f>
        <v>0</v>
      </c>
      <c r="N114" s="41">
        <f>'Realisatie 2022'!P181</f>
        <v>11.6226</v>
      </c>
      <c r="O114" s="41">
        <f>'Realisatie 2022'!Q181</f>
        <v>0</v>
      </c>
    </row>
    <row r="115" spans="2:15">
      <c r="B115" s="52" t="s">
        <v>102</v>
      </c>
      <c r="D115" s="52" t="s">
        <v>161</v>
      </c>
      <c r="H115" s="54"/>
      <c r="I115" s="54"/>
      <c r="J115" s="41">
        <f>'Realisatie 2022'!L182</f>
        <v>0</v>
      </c>
      <c r="K115" s="41">
        <f>'Realisatie 2022'!M182</f>
        <v>0.61</v>
      </c>
      <c r="L115" s="41">
        <f>'Realisatie 2022'!N182</f>
        <v>0.86529999999999996</v>
      </c>
      <c r="M115" s="41">
        <f>'Realisatie 2022'!O182</f>
        <v>0</v>
      </c>
      <c r="N115" s="41">
        <f>'Realisatie 2022'!P182</f>
        <v>0.91520000000000001</v>
      </c>
      <c r="O115" s="41">
        <f>'Realisatie 2022'!Q182</f>
        <v>0</v>
      </c>
    </row>
    <row r="116" spans="2:15">
      <c r="H116" s="54"/>
      <c r="I116" s="54"/>
      <c r="J116" s="75"/>
      <c r="K116" s="75"/>
      <c r="L116" s="75"/>
      <c r="M116" s="75"/>
      <c r="N116" s="75"/>
      <c r="O116" s="75"/>
    </row>
    <row r="117" spans="2:15">
      <c r="B117" s="56" t="s">
        <v>105</v>
      </c>
      <c r="H117" s="54"/>
      <c r="I117" s="54"/>
      <c r="J117" s="75"/>
      <c r="K117" s="75"/>
      <c r="L117" s="75"/>
      <c r="M117" s="75"/>
      <c r="N117" s="75"/>
      <c r="O117" s="75"/>
    </row>
    <row r="118" spans="2:15">
      <c r="B118" s="52" t="s">
        <v>98</v>
      </c>
      <c r="D118" s="52" t="s">
        <v>161</v>
      </c>
      <c r="H118" s="54"/>
      <c r="I118" s="54"/>
      <c r="J118" s="41">
        <f>'Realisatie 2022'!L185</f>
        <v>0</v>
      </c>
      <c r="K118" s="41">
        <f>'Realisatie 2022'!M185</f>
        <v>2760</v>
      </c>
      <c r="L118" s="41">
        <f>'Realisatie 2022'!N185</f>
        <v>2760</v>
      </c>
      <c r="M118" s="41">
        <f>'Realisatie 2022'!O185</f>
        <v>0</v>
      </c>
      <c r="N118" s="41">
        <f>'Realisatie 2022'!P185</f>
        <v>2760.0000000000005</v>
      </c>
      <c r="O118" s="41">
        <f>'Realisatie 2022'!Q185</f>
        <v>2760</v>
      </c>
    </row>
    <row r="119" spans="2:15">
      <c r="B119" s="52" t="s">
        <v>99</v>
      </c>
      <c r="D119" s="52" t="s">
        <v>161</v>
      </c>
      <c r="H119" s="54"/>
      <c r="I119" s="54"/>
      <c r="J119" s="41">
        <f>'Realisatie 2022'!L186</f>
        <v>0</v>
      </c>
      <c r="K119" s="41">
        <f>'Realisatie 2022'!M186</f>
        <v>20.12</v>
      </c>
      <c r="L119" s="41">
        <f>'Realisatie 2022'!N186</f>
        <v>23.28</v>
      </c>
      <c r="M119" s="41">
        <f>'Realisatie 2022'!O186</f>
        <v>0</v>
      </c>
      <c r="N119" s="41">
        <f>'Realisatie 2022'!P186</f>
        <v>24.0608</v>
      </c>
      <c r="O119" s="41">
        <f>'Realisatie 2022'!Q186</f>
        <v>21.669600000000003</v>
      </c>
    </row>
    <row r="120" spans="2:15">
      <c r="B120" s="52" t="s">
        <v>100</v>
      </c>
      <c r="D120" s="52" t="s">
        <v>161</v>
      </c>
      <c r="H120" s="54"/>
      <c r="I120" s="54"/>
      <c r="J120" s="41">
        <f>'Realisatie 2022'!L187</f>
        <v>0</v>
      </c>
      <c r="K120" s="41">
        <f>'Realisatie 2022'!M187</f>
        <v>2.06</v>
      </c>
      <c r="L120" s="41">
        <f>'Realisatie 2022'!N187</f>
        <v>2.7</v>
      </c>
      <c r="M120" s="41">
        <f>'Realisatie 2022'!O187</f>
        <v>0</v>
      </c>
      <c r="N120" s="41">
        <f>'Realisatie 2022'!P187</f>
        <v>2.6747000000000001</v>
      </c>
      <c r="O120" s="41">
        <f>'Realisatie 2022'!Q187</f>
        <v>2.35</v>
      </c>
    </row>
    <row r="121" spans="2:15">
      <c r="H121" s="54"/>
      <c r="I121" s="54"/>
      <c r="J121" s="75"/>
      <c r="K121" s="75"/>
      <c r="L121" s="75"/>
      <c r="M121" s="75"/>
      <c r="N121" s="75"/>
      <c r="O121" s="75"/>
    </row>
    <row r="122" spans="2:15">
      <c r="B122" s="56" t="s">
        <v>106</v>
      </c>
      <c r="H122" s="54"/>
      <c r="I122" s="54"/>
      <c r="J122" s="75"/>
      <c r="K122" s="75"/>
      <c r="L122" s="75"/>
      <c r="M122" s="75"/>
      <c r="N122" s="75"/>
      <c r="O122" s="75"/>
    </row>
    <row r="123" spans="2:15">
      <c r="B123" s="52" t="s">
        <v>98</v>
      </c>
      <c r="D123" s="52" t="s">
        <v>161</v>
      </c>
      <c r="H123" s="54"/>
      <c r="I123" s="54"/>
      <c r="J123" s="41">
        <f>'Realisatie 2022'!L190</f>
        <v>0</v>
      </c>
      <c r="K123" s="41">
        <f>'Realisatie 2022'!M190</f>
        <v>2760</v>
      </c>
      <c r="L123" s="41">
        <f>'Realisatie 2022'!N190</f>
        <v>2760</v>
      </c>
      <c r="M123" s="41">
        <f>'Realisatie 2022'!O190</f>
        <v>0</v>
      </c>
      <c r="N123" s="41">
        <f>'Realisatie 2022'!P190</f>
        <v>2760</v>
      </c>
      <c r="O123" s="41">
        <f>'Realisatie 2022'!Q190</f>
        <v>0</v>
      </c>
    </row>
    <row r="124" spans="2:15">
      <c r="B124" s="52" t="s">
        <v>99</v>
      </c>
      <c r="D124" s="52" t="s">
        <v>161</v>
      </c>
      <c r="H124" s="54"/>
      <c r="I124" s="54"/>
      <c r="J124" s="41">
        <f>'Realisatie 2022'!L191</f>
        <v>0</v>
      </c>
      <c r="K124" s="41">
        <f>'Realisatie 2022'!M191</f>
        <v>10.06</v>
      </c>
      <c r="L124" s="41">
        <f>'Realisatie 2022'!N191</f>
        <v>11.64</v>
      </c>
      <c r="M124" s="41">
        <f>'Realisatie 2022'!O191</f>
        <v>0</v>
      </c>
      <c r="N124" s="41">
        <f>'Realisatie 2022'!P191</f>
        <v>12.0304</v>
      </c>
      <c r="O124" s="41">
        <f>'Realisatie 2022'!Q191</f>
        <v>0</v>
      </c>
    </row>
    <row r="125" spans="2:15">
      <c r="B125" s="52" t="s">
        <v>102</v>
      </c>
      <c r="D125" s="52" t="s">
        <v>161</v>
      </c>
      <c r="H125" s="54"/>
      <c r="I125" s="54"/>
      <c r="J125" s="41">
        <f>'Realisatie 2022'!L192</f>
        <v>0</v>
      </c>
      <c r="K125" s="41">
        <f>'Realisatie 2022'!M192</f>
        <v>0.71</v>
      </c>
      <c r="L125" s="41">
        <f>'Realisatie 2022'!N192</f>
        <v>0.93459999999999999</v>
      </c>
      <c r="M125" s="41">
        <f>'Realisatie 2022'!O192</f>
        <v>0</v>
      </c>
      <c r="N125" s="41">
        <f>'Realisatie 2022'!P192</f>
        <v>0.92589999999999995</v>
      </c>
      <c r="O125" s="41">
        <f>'Realisatie 2022'!Q192</f>
        <v>0</v>
      </c>
    </row>
    <row r="126" spans="2:15">
      <c r="H126" s="54"/>
      <c r="I126" s="54"/>
      <c r="J126" s="75"/>
      <c r="K126" s="75"/>
      <c r="L126" s="75"/>
      <c r="M126" s="75"/>
      <c r="N126" s="75"/>
      <c r="O126" s="75"/>
    </row>
    <row r="127" spans="2:15">
      <c r="H127" s="54"/>
      <c r="I127" s="54"/>
      <c r="J127" s="75"/>
      <c r="K127" s="75"/>
      <c r="L127" s="75"/>
      <c r="M127" s="75"/>
      <c r="N127" s="75"/>
      <c r="O127" s="75"/>
    </row>
    <row r="128" spans="2:15">
      <c r="B128" s="55" t="s">
        <v>107</v>
      </c>
      <c r="H128" s="54"/>
      <c r="I128" s="54"/>
      <c r="J128" s="75"/>
      <c r="K128" s="75"/>
      <c r="L128" s="75"/>
      <c r="M128" s="75"/>
      <c r="N128" s="75"/>
      <c r="O128" s="75"/>
    </row>
    <row r="129" spans="2:15">
      <c r="H129" s="54"/>
      <c r="I129" s="54"/>
      <c r="J129" s="75"/>
      <c r="K129" s="75"/>
      <c r="L129" s="75"/>
      <c r="M129" s="75"/>
      <c r="N129" s="75"/>
      <c r="O129" s="75"/>
    </row>
    <row r="130" spans="2:15">
      <c r="B130" s="56" t="s">
        <v>108</v>
      </c>
      <c r="H130" s="54"/>
      <c r="I130" s="54"/>
      <c r="J130" s="75"/>
      <c r="K130" s="75"/>
      <c r="L130" s="75"/>
      <c r="M130" s="75"/>
      <c r="N130" s="75"/>
      <c r="O130" s="75"/>
    </row>
    <row r="131" spans="2:15">
      <c r="B131" s="52" t="s">
        <v>98</v>
      </c>
      <c r="D131" s="52" t="s">
        <v>161</v>
      </c>
      <c r="G131" s="59"/>
      <c r="H131" s="54"/>
      <c r="I131" s="54"/>
      <c r="J131" s="41">
        <f>'Realisatie 2022'!L198</f>
        <v>0</v>
      </c>
      <c r="K131" s="41">
        <f>'Realisatie 2022'!M198</f>
        <v>441</v>
      </c>
      <c r="L131" s="41">
        <f>'Realisatie 2022'!N198</f>
        <v>0</v>
      </c>
      <c r="M131" s="41">
        <f>'Realisatie 2022'!O198</f>
        <v>441</v>
      </c>
      <c r="N131" s="41">
        <f>'Realisatie 2022'!P198</f>
        <v>0</v>
      </c>
      <c r="O131" s="41">
        <f>'Realisatie 2022'!Q198</f>
        <v>0</v>
      </c>
    </row>
    <row r="132" spans="2:15">
      <c r="B132" s="52" t="s">
        <v>109</v>
      </c>
      <c r="D132" s="52" t="s">
        <v>161</v>
      </c>
      <c r="G132" s="59"/>
      <c r="H132" s="54"/>
      <c r="I132" s="54"/>
      <c r="J132" s="41">
        <f>'Realisatie 2022'!L199</f>
        <v>0</v>
      </c>
      <c r="K132" s="41">
        <f>'Realisatie 2022'!M199</f>
        <v>13.03</v>
      </c>
      <c r="L132" s="41">
        <f>'Realisatie 2022'!N199</f>
        <v>0</v>
      </c>
      <c r="M132" s="41">
        <f>'Realisatie 2022'!O199</f>
        <v>10.199999999999999</v>
      </c>
      <c r="N132" s="41">
        <f>'Realisatie 2022'!P199</f>
        <v>0</v>
      </c>
      <c r="O132" s="41">
        <f>'Realisatie 2022'!Q199</f>
        <v>0</v>
      </c>
    </row>
    <row r="133" spans="2:15">
      <c r="B133" s="52" t="s">
        <v>100</v>
      </c>
      <c r="D133" s="52" t="s">
        <v>161</v>
      </c>
      <c r="G133" s="59"/>
      <c r="H133" s="54"/>
      <c r="I133" s="54"/>
      <c r="J133" s="41">
        <f>'Realisatie 2022'!L200</f>
        <v>0</v>
      </c>
      <c r="K133" s="41">
        <f>'Realisatie 2022'!M200</f>
        <v>1.4</v>
      </c>
      <c r="L133" s="41">
        <f>'Realisatie 2022'!N200</f>
        <v>0</v>
      </c>
      <c r="M133" s="41">
        <f>'Realisatie 2022'!O200</f>
        <v>1.04</v>
      </c>
      <c r="N133" s="41">
        <f>'Realisatie 2022'!P200</f>
        <v>0</v>
      </c>
      <c r="O133" s="41">
        <f>'Realisatie 2022'!Q200</f>
        <v>0</v>
      </c>
    </row>
    <row r="134" spans="2:15">
      <c r="B134" s="52" t="s">
        <v>110</v>
      </c>
      <c r="D134" s="52" t="s">
        <v>161</v>
      </c>
      <c r="G134" s="59"/>
      <c r="H134" s="54"/>
      <c r="I134" s="54"/>
      <c r="J134" s="41">
        <f>'Realisatie 2022'!L201</f>
        <v>0</v>
      </c>
      <c r="K134" s="41">
        <f>'Realisatie 2022'!M201</f>
        <v>6.8999999999999999E-3</v>
      </c>
      <c r="L134" s="41">
        <f>'Realisatie 2022'!N201</f>
        <v>0</v>
      </c>
      <c r="M134" s="41">
        <f>'Realisatie 2022'!O201</f>
        <v>6.4000000000000003E-3</v>
      </c>
      <c r="N134" s="41">
        <f>'Realisatie 2022'!P201</f>
        <v>0</v>
      </c>
      <c r="O134" s="41">
        <f>'Realisatie 2022'!Q201</f>
        <v>0</v>
      </c>
    </row>
    <row r="135" spans="2:15">
      <c r="G135" s="59"/>
      <c r="H135" s="54"/>
      <c r="I135" s="54"/>
      <c r="J135" s="75"/>
      <c r="K135" s="75"/>
      <c r="L135" s="75"/>
      <c r="M135" s="75"/>
      <c r="N135" s="75"/>
      <c r="O135" s="75"/>
    </row>
    <row r="136" spans="2:15">
      <c r="B136" s="56" t="s">
        <v>80</v>
      </c>
      <c r="G136" s="59"/>
      <c r="H136" s="54"/>
      <c r="I136" s="54"/>
      <c r="J136" s="75"/>
      <c r="K136" s="75"/>
      <c r="L136" s="75"/>
      <c r="M136" s="75"/>
      <c r="N136" s="75"/>
      <c r="O136" s="75"/>
    </row>
    <row r="137" spans="2:15">
      <c r="B137" s="52" t="s">
        <v>98</v>
      </c>
      <c r="D137" s="52" t="s">
        <v>161</v>
      </c>
      <c r="G137" s="59"/>
      <c r="H137" s="54"/>
      <c r="I137" s="54"/>
      <c r="J137" s="41">
        <f>'Realisatie 2022'!L204</f>
        <v>441</v>
      </c>
      <c r="K137" s="41">
        <f>'Realisatie 2022'!M204</f>
        <v>441</v>
      </c>
      <c r="L137" s="41">
        <f>'Realisatie 2022'!N204</f>
        <v>441</v>
      </c>
      <c r="M137" s="41">
        <f>'Realisatie 2022'!O204</f>
        <v>441</v>
      </c>
      <c r="N137" s="41">
        <f>'Realisatie 2022'!P204</f>
        <v>441.00000000000006</v>
      </c>
      <c r="O137" s="41">
        <f>'Realisatie 2022'!Q204</f>
        <v>441</v>
      </c>
    </row>
    <row r="138" spans="2:15">
      <c r="B138" s="52" t="s">
        <v>109</v>
      </c>
      <c r="D138" s="52" t="s">
        <v>161</v>
      </c>
      <c r="G138" s="59"/>
      <c r="H138" s="54"/>
      <c r="I138" s="54"/>
      <c r="J138" s="41">
        <f>'Realisatie 2022'!L205</f>
        <v>10.771000000000001</v>
      </c>
      <c r="K138" s="41">
        <f>'Realisatie 2022'!M205</f>
        <v>14.3</v>
      </c>
      <c r="L138" s="41">
        <f>'Realisatie 2022'!N205</f>
        <v>14.52</v>
      </c>
      <c r="M138" s="41">
        <f>'Realisatie 2022'!O205</f>
        <v>14.65</v>
      </c>
      <c r="N138" s="41">
        <f>'Realisatie 2022'!P205</f>
        <v>12.715400000000001</v>
      </c>
      <c r="O138" s="41">
        <f>'Realisatie 2022'!Q205</f>
        <v>15.123100000000001</v>
      </c>
    </row>
    <row r="139" spans="2:15">
      <c r="B139" s="52" t="s">
        <v>100</v>
      </c>
      <c r="D139" s="52" t="s">
        <v>161</v>
      </c>
      <c r="G139" s="59"/>
      <c r="H139" s="54"/>
      <c r="I139" s="54"/>
      <c r="J139" s="41">
        <f>'Realisatie 2022'!L206</f>
        <v>1.3317000000000001</v>
      </c>
      <c r="K139" s="41">
        <f>'Realisatie 2022'!M206</f>
        <v>1.7</v>
      </c>
      <c r="L139" s="41">
        <f>'Realisatie 2022'!N206</f>
        <v>1.73</v>
      </c>
      <c r="M139" s="41">
        <f>'Realisatie 2022'!O206</f>
        <v>1.55</v>
      </c>
      <c r="N139" s="41">
        <f>'Realisatie 2022'!P206</f>
        <v>1.5966</v>
      </c>
      <c r="O139" s="41">
        <f>'Realisatie 2022'!Q206</f>
        <v>1.8101</v>
      </c>
    </row>
    <row r="140" spans="2:15">
      <c r="B140" s="52" t="s">
        <v>110</v>
      </c>
      <c r="D140" s="52" t="s">
        <v>161</v>
      </c>
      <c r="G140" s="59"/>
      <c r="H140" s="54"/>
      <c r="I140" s="54"/>
      <c r="J140" s="41">
        <f>'Realisatie 2022'!L207</f>
        <v>7.3000000000000001E-3</v>
      </c>
      <c r="K140" s="41">
        <f>'Realisatie 2022'!M207</f>
        <v>1.11E-2</v>
      </c>
      <c r="L140" s="41">
        <f>'Realisatie 2022'!N207</f>
        <v>1.0699999999999999E-2</v>
      </c>
      <c r="M140" s="41">
        <f>'Realisatie 2022'!O207</f>
        <v>7.3000000000000001E-3</v>
      </c>
      <c r="N140" s="41">
        <f>'Realisatie 2022'!P207</f>
        <v>9.7000000000000003E-3</v>
      </c>
      <c r="O140" s="41">
        <f>'Realisatie 2022'!Q207</f>
        <v>1.2E-2</v>
      </c>
    </row>
    <row r="141" spans="2:15">
      <c r="G141" s="59"/>
      <c r="H141" s="54"/>
      <c r="I141" s="54"/>
      <c r="J141" s="75"/>
      <c r="K141" s="75"/>
      <c r="L141" s="75"/>
      <c r="M141" s="75"/>
      <c r="N141" s="75"/>
      <c r="O141" s="75"/>
    </row>
    <row r="142" spans="2:15">
      <c r="B142" s="56" t="s">
        <v>111</v>
      </c>
      <c r="G142" s="59"/>
      <c r="H142" s="54"/>
      <c r="I142" s="54"/>
      <c r="J142" s="75"/>
      <c r="K142" s="75"/>
      <c r="L142" s="75"/>
      <c r="M142" s="75"/>
      <c r="N142" s="75"/>
      <c r="O142" s="75"/>
    </row>
    <row r="143" spans="2:15">
      <c r="B143" s="52" t="s">
        <v>98</v>
      </c>
      <c r="D143" s="52" t="s">
        <v>161</v>
      </c>
      <c r="G143" s="59"/>
      <c r="H143" s="54"/>
      <c r="I143" s="54"/>
      <c r="J143" s="41">
        <f>'Realisatie 2022'!L210</f>
        <v>441</v>
      </c>
      <c r="K143" s="41">
        <f>'Realisatie 2022'!M210</f>
        <v>441</v>
      </c>
      <c r="L143" s="41">
        <f>'Realisatie 2022'!N210</f>
        <v>441</v>
      </c>
      <c r="M143" s="41">
        <f>'Realisatie 2022'!O210</f>
        <v>441</v>
      </c>
      <c r="N143" s="41">
        <f>'Realisatie 2022'!P210</f>
        <v>441</v>
      </c>
      <c r="O143" s="41">
        <f>'Realisatie 2022'!Q210</f>
        <v>441</v>
      </c>
    </row>
    <row r="144" spans="2:15">
      <c r="B144" s="52" t="s">
        <v>109</v>
      </c>
      <c r="D144" s="52" t="s">
        <v>161</v>
      </c>
      <c r="G144" s="59"/>
      <c r="H144" s="54"/>
      <c r="I144" s="54"/>
      <c r="J144" s="41">
        <f>'Realisatie 2022'!L211</f>
        <v>13.2255</v>
      </c>
      <c r="K144" s="41">
        <f>'Realisatie 2022'!M211</f>
        <v>24.23</v>
      </c>
      <c r="L144" s="41">
        <f>'Realisatie 2022'!N211</f>
        <v>23.04</v>
      </c>
      <c r="M144" s="41">
        <f>'Realisatie 2022'!O211</f>
        <v>18.100000000000001</v>
      </c>
      <c r="N144" s="41">
        <f>'Realisatie 2022'!P211</f>
        <v>25.040800000000001</v>
      </c>
      <c r="O144" s="41">
        <f>'Realisatie 2022'!Q211</f>
        <v>29.435499999999998</v>
      </c>
    </row>
    <row r="145" spans="2:15">
      <c r="B145" s="52" t="s">
        <v>100</v>
      </c>
      <c r="D145" s="52" t="s">
        <v>161</v>
      </c>
      <c r="G145" s="59"/>
      <c r="H145" s="54"/>
      <c r="I145" s="54"/>
      <c r="J145" s="41">
        <f>'Realisatie 2022'!L212</f>
        <v>1.3317000000000001</v>
      </c>
      <c r="K145" s="41">
        <f>'Realisatie 2022'!M212</f>
        <v>1.7</v>
      </c>
      <c r="L145" s="41">
        <f>'Realisatie 2022'!N212</f>
        <v>1.73</v>
      </c>
      <c r="M145" s="41">
        <f>'Realisatie 2022'!O212</f>
        <v>1.55</v>
      </c>
      <c r="N145" s="41">
        <f>'Realisatie 2022'!P212</f>
        <v>1.5966</v>
      </c>
      <c r="O145" s="41">
        <f>'Realisatie 2022'!Q212</f>
        <v>1.8101</v>
      </c>
    </row>
    <row r="146" spans="2:15">
      <c r="B146" s="52" t="s">
        <v>110</v>
      </c>
      <c r="D146" s="52" t="s">
        <v>161</v>
      </c>
      <c r="G146" s="59"/>
      <c r="H146" s="54"/>
      <c r="I146" s="54"/>
      <c r="J146" s="41">
        <f>'Realisatie 2022'!L213</f>
        <v>7.3000000000000001E-3</v>
      </c>
      <c r="K146" s="41">
        <f>'Realisatie 2022'!M213</f>
        <v>1.11E-2</v>
      </c>
      <c r="L146" s="41">
        <f>'Realisatie 2022'!N213</f>
        <v>1.0699999999999999E-2</v>
      </c>
      <c r="M146" s="41">
        <f>'Realisatie 2022'!O213</f>
        <v>7.3000000000000001E-3</v>
      </c>
      <c r="N146" s="41">
        <f>'Realisatie 2022'!P213</f>
        <v>9.7000000000000003E-3</v>
      </c>
      <c r="O146" s="41">
        <f>'Realisatie 2022'!Q213</f>
        <v>1.2E-2</v>
      </c>
    </row>
    <row r="147" spans="2:15">
      <c r="G147" s="59"/>
      <c r="H147" s="54"/>
      <c r="I147" s="54"/>
      <c r="J147" s="75"/>
      <c r="K147" s="75"/>
      <c r="L147" s="75"/>
      <c r="M147" s="75"/>
      <c r="N147" s="75"/>
      <c r="O147" s="75"/>
    </row>
    <row r="148" spans="2:15">
      <c r="G148" s="59"/>
      <c r="H148" s="54"/>
      <c r="I148" s="54"/>
      <c r="J148" s="75"/>
      <c r="K148" s="75"/>
      <c r="L148" s="75"/>
      <c r="M148" s="75"/>
      <c r="N148" s="75"/>
      <c r="O148" s="75"/>
    </row>
    <row r="149" spans="2:15">
      <c r="B149" s="55" t="s">
        <v>112</v>
      </c>
      <c r="G149" s="59"/>
      <c r="H149" s="54"/>
      <c r="I149" s="54"/>
      <c r="J149" s="75"/>
      <c r="K149" s="75"/>
      <c r="L149" s="75"/>
      <c r="M149" s="75"/>
      <c r="N149" s="75"/>
      <c r="O149" s="75"/>
    </row>
    <row r="150" spans="2:15">
      <c r="G150" s="59"/>
      <c r="H150" s="54"/>
      <c r="I150" s="54"/>
      <c r="J150" s="75"/>
      <c r="K150" s="75"/>
      <c r="L150" s="75"/>
      <c r="M150" s="75"/>
      <c r="N150" s="75"/>
      <c r="O150" s="75"/>
    </row>
    <row r="151" spans="2:15">
      <c r="B151" s="56" t="s">
        <v>113</v>
      </c>
      <c r="G151" s="59"/>
      <c r="H151" s="54"/>
      <c r="I151" s="54"/>
      <c r="J151" s="75"/>
      <c r="K151" s="75"/>
      <c r="L151" s="75"/>
      <c r="M151" s="75"/>
      <c r="N151" s="75"/>
      <c r="O151" s="75"/>
    </row>
    <row r="152" spans="2:15">
      <c r="B152" s="52" t="s">
        <v>98</v>
      </c>
      <c r="D152" s="52" t="s">
        <v>161</v>
      </c>
      <c r="G152" s="59"/>
      <c r="H152" s="54"/>
      <c r="I152" s="54"/>
      <c r="J152" s="41">
        <f>'Realisatie 2022'!L219</f>
        <v>18</v>
      </c>
      <c r="K152" s="41">
        <f>'Realisatie 2022'!M219</f>
        <v>18</v>
      </c>
      <c r="L152" s="41">
        <f>'Realisatie 2022'!N219</f>
        <v>18</v>
      </c>
      <c r="M152" s="41">
        <f>'Realisatie 2022'!O219</f>
        <v>18</v>
      </c>
      <c r="N152" s="41">
        <f>'Realisatie 2022'!P219</f>
        <v>18</v>
      </c>
      <c r="O152" s="41">
        <f>'Realisatie 2022'!Q219</f>
        <v>18</v>
      </c>
    </row>
    <row r="153" spans="2:15">
      <c r="B153" s="52" t="s">
        <v>109</v>
      </c>
      <c r="D153" s="52" t="s">
        <v>161</v>
      </c>
      <c r="G153" s="59"/>
      <c r="H153" s="54"/>
      <c r="I153" s="54"/>
      <c r="J153" s="41">
        <f>'Realisatie 2022'!L220</f>
        <v>7.6344000000000003</v>
      </c>
      <c r="K153" s="41">
        <f>'Realisatie 2022'!M220</f>
        <v>8.4600000000000009</v>
      </c>
      <c r="L153" s="41">
        <f>'Realisatie 2022'!N220</f>
        <v>8.64</v>
      </c>
      <c r="M153" s="41">
        <f>'Realisatie 2022'!O220</f>
        <v>8.52</v>
      </c>
      <c r="N153" s="41">
        <f>'Realisatie 2022'!P220</f>
        <v>9.3498000000000001</v>
      </c>
      <c r="O153" s="41">
        <f>'Realisatie 2022'!Q220</f>
        <v>10.135200000000001</v>
      </c>
    </row>
    <row r="154" spans="2:15">
      <c r="B154" s="52" t="s">
        <v>114</v>
      </c>
      <c r="D154" s="52" t="s">
        <v>161</v>
      </c>
      <c r="G154" s="59"/>
      <c r="H154" s="54"/>
      <c r="I154" s="54"/>
      <c r="J154" s="41">
        <f>'Realisatie 2022'!L221</f>
        <v>1.34E-2</v>
      </c>
      <c r="K154" s="41">
        <f>'Realisatie 2022'!M221</f>
        <v>1.9400000000000001E-2</v>
      </c>
      <c r="L154" s="41">
        <f>'Realisatie 2022'!N221</f>
        <v>1.9100000000000002E-2</v>
      </c>
      <c r="M154" s="41">
        <f>'Realisatie 2022'!O221</f>
        <v>1.46E-2</v>
      </c>
      <c r="N154" s="41">
        <f>'Realisatie 2022'!P221</f>
        <v>2.35E-2</v>
      </c>
      <c r="O154" s="41">
        <f>'Realisatie 2022'!Q221</f>
        <v>2.1899999999999999E-2</v>
      </c>
    </row>
    <row r="155" spans="2:15">
      <c r="B155" s="52" t="s">
        <v>110</v>
      </c>
      <c r="D155" s="52" t="s">
        <v>161</v>
      </c>
      <c r="G155" s="59"/>
      <c r="H155" s="54"/>
      <c r="I155" s="54"/>
      <c r="J155" s="41">
        <f>'Realisatie 2022'!L222</f>
        <v>3.3799999999999997E-2</v>
      </c>
      <c r="K155" s="41">
        <f>'Realisatie 2022'!M222</f>
        <v>3.7100000000000001E-2</v>
      </c>
      <c r="L155" s="41">
        <f>'Realisatie 2022'!N222</f>
        <v>3.6299999999999999E-2</v>
      </c>
      <c r="M155" s="41">
        <f>'Realisatie 2022'!O222</f>
        <v>2.7400000000000001E-2</v>
      </c>
      <c r="N155" s="41">
        <f>'Realisatie 2022'!P222</f>
        <v>3.8100000000000002E-2</v>
      </c>
      <c r="O155" s="41">
        <f>'Realisatie 2022'!Q222</f>
        <v>4.2299999999999997E-2</v>
      </c>
    </row>
    <row r="156" spans="2:15">
      <c r="G156" s="59"/>
      <c r="H156" s="54"/>
      <c r="I156" s="54"/>
      <c r="J156" s="75"/>
      <c r="K156" s="75"/>
      <c r="L156" s="75"/>
      <c r="M156" s="75"/>
      <c r="N156" s="75"/>
      <c r="O156" s="75"/>
    </row>
    <row r="157" spans="2:15">
      <c r="B157" s="56" t="s">
        <v>115</v>
      </c>
      <c r="G157" s="59"/>
      <c r="H157" s="54"/>
      <c r="I157" s="54"/>
      <c r="J157" s="75"/>
      <c r="K157" s="75"/>
      <c r="L157" s="75"/>
      <c r="M157" s="75"/>
      <c r="N157" s="75"/>
      <c r="O157" s="75"/>
    </row>
    <row r="158" spans="2:15">
      <c r="B158" s="52" t="s">
        <v>116</v>
      </c>
      <c r="D158" s="52" t="s">
        <v>161</v>
      </c>
      <c r="G158" s="59"/>
      <c r="H158" s="54"/>
      <c r="I158" s="54"/>
      <c r="J158" s="41">
        <f>'Realisatie 2022'!L225</f>
        <v>0.54</v>
      </c>
      <c r="K158" s="41">
        <f>'Realisatie 2022'!M225</f>
        <v>0.54</v>
      </c>
      <c r="L158" s="41">
        <f>'Realisatie 2022'!N225</f>
        <v>0.51100000000000001</v>
      </c>
      <c r="M158" s="41">
        <f>'Realisatie 2022'!O225</f>
        <v>0.54</v>
      </c>
      <c r="N158" s="41">
        <f>'Realisatie 2022'!P225</f>
        <v>0.54</v>
      </c>
      <c r="O158" s="41">
        <f>'Realisatie 2022'!Q225</f>
        <v>0.54</v>
      </c>
    </row>
    <row r="159" spans="2:15">
      <c r="B159" s="52" t="s">
        <v>117</v>
      </c>
      <c r="D159" s="52" t="s">
        <v>161</v>
      </c>
      <c r="G159" s="59"/>
      <c r="H159" s="54"/>
      <c r="I159" s="54"/>
      <c r="J159" s="41">
        <f>'Realisatie 2022'!L226</f>
        <v>18</v>
      </c>
      <c r="K159" s="41">
        <f>'Realisatie 2022'!M226</f>
        <v>18</v>
      </c>
      <c r="L159" s="41">
        <f>'Realisatie 2022'!N226</f>
        <v>17.994499999999999</v>
      </c>
      <c r="M159" s="41">
        <f>'Realisatie 2022'!O226</f>
        <v>18</v>
      </c>
      <c r="N159" s="41">
        <f>'Realisatie 2022'!P226</f>
        <v>18.000000000000004</v>
      </c>
      <c r="O159" s="41">
        <f>'Realisatie 2022'!Q226</f>
        <v>18</v>
      </c>
    </row>
    <row r="160" spans="2:15">
      <c r="G160" s="59"/>
      <c r="H160" s="54"/>
      <c r="I160" s="54"/>
      <c r="J160" s="75"/>
      <c r="K160" s="75"/>
      <c r="L160" s="75"/>
      <c r="M160" s="75"/>
      <c r="N160" s="75"/>
      <c r="O160" s="75"/>
    </row>
    <row r="161" spans="2:18">
      <c r="B161" s="56" t="s">
        <v>118</v>
      </c>
      <c r="G161" s="59"/>
      <c r="H161" s="54"/>
      <c r="I161" s="54"/>
      <c r="J161" s="75"/>
      <c r="K161" s="75"/>
      <c r="L161" s="75"/>
      <c r="M161" s="75"/>
      <c r="N161" s="75"/>
      <c r="O161" s="75"/>
    </row>
    <row r="162" spans="2:18">
      <c r="B162" s="52" t="s">
        <v>119</v>
      </c>
      <c r="D162" s="52" t="s">
        <v>161</v>
      </c>
      <c r="G162" s="59"/>
      <c r="H162" s="54"/>
      <c r="I162" s="54"/>
      <c r="J162" s="41">
        <f>'Realisatie 2022'!L229</f>
        <v>1580.7</v>
      </c>
      <c r="K162" s="41">
        <f>'Realisatie 2022'!M229</f>
        <v>1878</v>
      </c>
      <c r="L162" s="41">
        <f>'Realisatie 2022'!N229</f>
        <v>1971</v>
      </c>
      <c r="M162" s="41">
        <f>'Realisatie 2022'!O229</f>
        <v>1372</v>
      </c>
      <c r="N162" s="41">
        <f>'Realisatie 2022'!P229</f>
        <v>1870</v>
      </c>
      <c r="O162" s="41">
        <f>'Realisatie 2022'!Q229</f>
        <v>2246.6</v>
      </c>
    </row>
    <row r="163" spans="2:18">
      <c r="B163" s="52" t="s">
        <v>120</v>
      </c>
      <c r="D163" s="52" t="s">
        <v>161</v>
      </c>
      <c r="G163" s="59"/>
      <c r="H163" s="54"/>
      <c r="I163" s="54"/>
      <c r="J163" s="41">
        <f>'Realisatie 2022'!L230</f>
        <v>1264.56</v>
      </c>
      <c r="K163" s="41">
        <f>'Realisatie 2022'!M230</f>
        <v>1502.4</v>
      </c>
      <c r="L163" s="41">
        <f>'Realisatie 2022'!N230</f>
        <v>1576.8000000000002</v>
      </c>
      <c r="M163" s="41">
        <f>'Realisatie 2022'!O230</f>
        <v>1097.6000000000001</v>
      </c>
      <c r="N163" s="41">
        <f>'Realisatie 2022'!P230</f>
        <v>1496</v>
      </c>
      <c r="O163" s="41">
        <f>'Realisatie 2022'!Q230</f>
        <v>1797.2800000000002</v>
      </c>
    </row>
    <row r="164" spans="2:18">
      <c r="B164" s="52" t="s">
        <v>121</v>
      </c>
      <c r="D164" s="52" t="s">
        <v>161</v>
      </c>
      <c r="G164" s="59"/>
      <c r="H164" s="54"/>
      <c r="I164" s="54"/>
      <c r="J164" s="41">
        <f>'Realisatie 2022'!L231</f>
        <v>948.42000000000007</v>
      </c>
      <c r="K164" s="41">
        <f>'Realisatie 2022'!M231</f>
        <v>1126.8000000000002</v>
      </c>
      <c r="L164" s="41">
        <f>'Realisatie 2022'!N231</f>
        <v>1182.6000000000001</v>
      </c>
      <c r="M164" s="41">
        <f>'Realisatie 2022'!O231</f>
        <v>823.2</v>
      </c>
      <c r="N164" s="41">
        <f>'Realisatie 2022'!P231</f>
        <v>1122</v>
      </c>
      <c r="O164" s="41">
        <f>'Realisatie 2022'!Q231</f>
        <v>1347.96</v>
      </c>
    </row>
    <row r="165" spans="2:18">
      <c r="B165" s="52" t="s">
        <v>122</v>
      </c>
      <c r="D165" s="52" t="s">
        <v>161</v>
      </c>
      <c r="G165" s="59"/>
      <c r="H165" s="54"/>
      <c r="I165" s="54"/>
      <c r="J165" s="41">
        <f>'Realisatie 2022'!L232</f>
        <v>632.28</v>
      </c>
      <c r="K165" s="41">
        <f>'Realisatie 2022'!M232</f>
        <v>751.2</v>
      </c>
      <c r="L165" s="41">
        <f>'Realisatie 2022'!N232</f>
        <v>788.40000000000009</v>
      </c>
      <c r="M165" s="41">
        <f>'Realisatie 2022'!O232</f>
        <v>548.80000000000007</v>
      </c>
      <c r="N165" s="41">
        <f>'Realisatie 2022'!P232</f>
        <v>748</v>
      </c>
      <c r="O165" s="41">
        <f>'Realisatie 2022'!Q232</f>
        <v>898.6400000000001</v>
      </c>
    </row>
    <row r="166" spans="2:18">
      <c r="B166" s="52" t="s">
        <v>147</v>
      </c>
      <c r="D166" s="52" t="s">
        <v>161</v>
      </c>
      <c r="G166" s="59"/>
      <c r="H166" s="54"/>
      <c r="I166" s="54"/>
      <c r="J166" s="41">
        <f>'Realisatie 2022'!L233</f>
        <v>126.456</v>
      </c>
      <c r="K166" s="41">
        <f>'Realisatie 2022'!M233</f>
        <v>150.24</v>
      </c>
      <c r="L166" s="41">
        <f>'Realisatie 2022'!N233</f>
        <v>157.68</v>
      </c>
      <c r="M166" s="41">
        <f>'Realisatie 2022'!O233</f>
        <v>109.76</v>
      </c>
      <c r="N166" s="41">
        <f>'Realisatie 2022'!P233</f>
        <v>149.6</v>
      </c>
      <c r="O166" s="41">
        <f>'Realisatie 2022'!Q233</f>
        <v>179.72800000000001</v>
      </c>
    </row>
    <row r="167" spans="2:18">
      <c r="B167" s="52" t="s">
        <v>148</v>
      </c>
      <c r="D167" s="52" t="s">
        <v>161</v>
      </c>
      <c r="G167" s="59"/>
      <c r="H167" s="54"/>
      <c r="I167" s="54"/>
      <c r="J167" s="41">
        <f>'Realisatie 2022'!L234</f>
        <v>15.807</v>
      </c>
      <c r="K167" s="41">
        <f>'Realisatie 2022'!M234</f>
        <v>18.78</v>
      </c>
      <c r="L167" s="41">
        <f>'Realisatie 2022'!N234</f>
        <v>19.71</v>
      </c>
      <c r="M167" s="41">
        <f>'Realisatie 2022'!O234</f>
        <v>13.72</v>
      </c>
      <c r="N167" s="41">
        <f>'Realisatie 2022'!P234</f>
        <v>18.7</v>
      </c>
      <c r="O167" s="41">
        <f>'Realisatie 2022'!Q234</f>
        <v>22.466000000000001</v>
      </c>
      <c r="R167" s="52" t="s">
        <v>124</v>
      </c>
    </row>
    <row r="168" spans="2:18">
      <c r="B168" s="52" t="s">
        <v>123</v>
      </c>
      <c r="D168" s="52" t="s">
        <v>161</v>
      </c>
      <c r="G168" s="59"/>
      <c r="H168" s="54"/>
      <c r="I168" s="54"/>
      <c r="J168" s="41">
        <f>'Realisatie 2022'!L235</f>
        <v>1.5807000000000002</v>
      </c>
      <c r="K168" s="41">
        <f>'Realisatie 2022'!M235</f>
        <v>1.8780000000000001</v>
      </c>
      <c r="L168" s="41">
        <f>'Realisatie 2022'!N235</f>
        <v>1.9710000000000001</v>
      </c>
      <c r="M168" s="41">
        <f>'Realisatie 2022'!O235</f>
        <v>1.3720000000000001</v>
      </c>
      <c r="N168" s="41">
        <f>'Realisatie 2022'!P235</f>
        <v>1.87</v>
      </c>
      <c r="O168" s="41">
        <f>'Realisatie 2022'!Q235</f>
        <v>2.2466000000000004</v>
      </c>
    </row>
    <row r="169" spans="2:18">
      <c r="B169" s="76"/>
      <c r="G169" s="59"/>
      <c r="H169" s="54"/>
      <c r="I169" s="54"/>
    </row>
    <row r="170" spans="2:18">
      <c r="G170" s="59"/>
      <c r="H170" s="54"/>
      <c r="I170" s="54"/>
    </row>
    <row r="171" spans="2:18">
      <c r="B171" s="55" t="s">
        <v>125</v>
      </c>
      <c r="G171" s="59"/>
      <c r="H171" s="54"/>
      <c r="I171" s="54"/>
    </row>
    <row r="172" spans="2:18">
      <c r="G172" s="59"/>
      <c r="H172" s="54"/>
      <c r="I172" s="54"/>
    </row>
    <row r="173" spans="2:18">
      <c r="B173" s="52" t="s">
        <v>126</v>
      </c>
      <c r="D173" s="52" t="s">
        <v>161</v>
      </c>
      <c r="G173" s="59"/>
      <c r="H173" s="54"/>
      <c r="I173" s="54"/>
      <c r="J173" s="41">
        <f>'Realisatie 2022'!L240</f>
        <v>1.15E-2</v>
      </c>
      <c r="K173" s="41">
        <f>'Realisatie 2022'!M240</f>
        <v>8.8000000000000005E-3</v>
      </c>
      <c r="L173" s="41">
        <f>'Realisatie 2022'!N240</f>
        <v>0</v>
      </c>
      <c r="M173" s="41">
        <f>'Realisatie 2022'!O240</f>
        <v>7.7999999999999996E-3</v>
      </c>
      <c r="N173" s="41">
        <f>'Realisatie 2022'!P240</f>
        <v>8.8000000000000005E-3</v>
      </c>
      <c r="O173" s="41">
        <f>'Realisatie 2022'!Q240</f>
        <v>0</v>
      </c>
    </row>
    <row r="174" spans="2:18">
      <c r="B174" s="52" t="s">
        <v>127</v>
      </c>
      <c r="D174" s="52" t="s">
        <v>161</v>
      </c>
      <c r="G174" s="59"/>
      <c r="H174" s="54"/>
      <c r="I174" s="54"/>
      <c r="J174" s="41">
        <f>'Realisatie 2022'!L241</f>
        <v>1.7100000000000001E-2</v>
      </c>
      <c r="K174" s="41">
        <f>'Realisatie 2022'!M241</f>
        <v>8.8000000000000005E-3</v>
      </c>
      <c r="L174" s="41">
        <f>'Realisatie 2022'!N241</f>
        <v>0</v>
      </c>
      <c r="M174" s="41">
        <f>'Realisatie 2022'!O241</f>
        <v>1.18E-2</v>
      </c>
      <c r="N174" s="41">
        <f>'Realisatie 2022'!P241</f>
        <v>8.8000000000000005E-3</v>
      </c>
      <c r="O174" s="41">
        <f>'Realisatie 2022'!Q241</f>
        <v>0</v>
      </c>
    </row>
    <row r="176" spans="2:18" s="96" customFormat="1">
      <c r="B176" s="96" t="s">
        <v>250</v>
      </c>
    </row>
    <row r="178" spans="2:27">
      <c r="B178" s="52" t="s">
        <v>251</v>
      </c>
      <c r="D178" s="52" t="s">
        <v>161</v>
      </c>
      <c r="F178"/>
      <c r="J178" s="111">
        <f>'Realisatie 2022'!L245</f>
        <v>1130680.0708000003</v>
      </c>
      <c r="K178" s="111">
        <f>'Realisatie 2022'!M245</f>
        <v>87556179.404506519</v>
      </c>
      <c r="L178" s="111">
        <f>'Realisatie 2022'!N245</f>
        <v>96973031.748762503</v>
      </c>
      <c r="M178" s="111">
        <f>'Realisatie 2022'!O245</f>
        <v>970545.37210000004</v>
      </c>
      <c r="N178" s="111">
        <f>'Realisatie 2022'!P245</f>
        <v>69351372.333833337</v>
      </c>
      <c r="O178" s="111">
        <f>'Realisatie 2022'!Q245</f>
        <v>2622434.1911530788</v>
      </c>
    </row>
    <row r="179" spans="2:27">
      <c r="J179" s="54"/>
    </row>
    <row r="180" spans="2:27" s="11" customFormat="1">
      <c r="B180" s="11" t="s">
        <v>128</v>
      </c>
    </row>
    <row r="182" spans="2:27">
      <c r="B182" s="53" t="s">
        <v>130</v>
      </c>
    </row>
    <row r="183" spans="2:27">
      <c r="B183" s="60" t="s">
        <v>157</v>
      </c>
      <c r="D183" s="52" t="s">
        <v>161</v>
      </c>
      <c r="J183" s="37">
        <f>'Realisatie 2022'!L250</f>
        <v>-1589.2174598135769</v>
      </c>
      <c r="K183" s="37">
        <f>'Realisatie 2022'!M250</f>
        <v>740268.87252175051</v>
      </c>
      <c r="L183" s="37">
        <f>'Realisatie 2022'!N250</f>
        <v>39137904.255905978</v>
      </c>
      <c r="M183" s="37">
        <f>'Realisatie 2022'!O250</f>
        <v>-895337.1756867877</v>
      </c>
      <c r="N183" s="37">
        <f>'Realisatie 2022'!P250</f>
        <v>22948383.125507765</v>
      </c>
      <c r="O183" s="37">
        <f>'Realisatie 2022'!Q250</f>
        <v>-16828.546972896329</v>
      </c>
    </row>
    <row r="184" spans="2:27">
      <c r="B184" s="62" t="s">
        <v>158</v>
      </c>
      <c r="D184" s="52" t="s">
        <v>161</v>
      </c>
      <c r="J184" s="37">
        <f>'Realisatie 2022'!L251</f>
        <v>-807899.93752657296</v>
      </c>
      <c r="K184" s="37">
        <f>'Realisatie 2022'!M251</f>
        <v>50966553.703541659</v>
      </c>
      <c r="L184" s="37">
        <f>'Realisatie 2022'!N251</f>
        <v>56659158.201894619</v>
      </c>
      <c r="M184" s="37">
        <f>'Realisatie 2022'!O251</f>
        <v>-456290.78644955665</v>
      </c>
      <c r="N184" s="37">
        <f>'Realisatie 2022'!P251</f>
        <v>37918008.271429673</v>
      </c>
      <c r="O184" s="37">
        <f>'Realisatie 2022'!Q251</f>
        <v>1429423.3997540609</v>
      </c>
    </row>
    <row r="185" spans="2:27">
      <c r="B185" s="62" t="s">
        <v>159</v>
      </c>
      <c r="D185" s="52" t="s">
        <v>161</v>
      </c>
      <c r="J185" s="37">
        <f>'Realisatie 2022'!L252</f>
        <v>0</v>
      </c>
      <c r="K185" s="37">
        <f>'Realisatie 2022'!M252</f>
        <v>0</v>
      </c>
      <c r="L185" s="37">
        <f>'Realisatie 2022'!N252</f>
        <v>0</v>
      </c>
      <c r="M185" s="37">
        <f>'Realisatie 2022'!O252</f>
        <v>759859.71928811888</v>
      </c>
      <c r="N185" s="37">
        <f>'Realisatie 2022'!P252</f>
        <v>0</v>
      </c>
      <c r="O185" s="37">
        <f>'Realisatie 2022'!Q252</f>
        <v>0</v>
      </c>
    </row>
    <row r="186" spans="2:27">
      <c r="B186" s="5" t="s">
        <v>249</v>
      </c>
      <c r="D186" s="52" t="s">
        <v>161</v>
      </c>
      <c r="J186" s="37">
        <f>'Realisatie 2022'!L253</f>
        <v>53497.799303793247</v>
      </c>
      <c r="K186" s="37">
        <f>'Realisatie 2022'!M253</f>
        <v>2923967.2752856151</v>
      </c>
      <c r="L186" s="37">
        <f>'Realisatie 2022'!N253</f>
        <v>3208804.688872966</v>
      </c>
      <c r="M186" s="37">
        <f>'Realisatie 2022'!O253</f>
        <v>32960.369645666557</v>
      </c>
      <c r="N186" s="37">
        <f>'Realisatie 2022'!P253</f>
        <v>2311349.3027581051</v>
      </c>
      <c r="O186" s="37">
        <f>'Realisatie 2022'!Q253</f>
        <v>142606.41800408953</v>
      </c>
    </row>
    <row r="187" spans="2:27">
      <c r="B187" s="62" t="s">
        <v>129</v>
      </c>
      <c r="D187" t="s">
        <v>161</v>
      </c>
      <c r="F187"/>
      <c r="J187" s="65">
        <f>SUM(J183:J186)</f>
        <v>-755991.3556825933</v>
      </c>
      <c r="K187" s="65">
        <f t="shared" ref="K187:O187" si="1">SUM(K183:K186)</f>
        <v>54630789.851349026</v>
      </c>
      <c r="L187" s="65">
        <f t="shared" si="1"/>
        <v>99005867.14667356</v>
      </c>
      <c r="M187" s="65">
        <f t="shared" si="1"/>
        <v>-558807.87320255884</v>
      </c>
      <c r="N187" s="65">
        <f t="shared" si="1"/>
        <v>63177740.699695542</v>
      </c>
      <c r="O187" s="65">
        <f t="shared" si="1"/>
        <v>1555201.270785254</v>
      </c>
    </row>
    <row r="189" spans="2:27">
      <c r="B189" s="56" t="s">
        <v>131</v>
      </c>
    </row>
    <row r="190" spans="2:27">
      <c r="B190" s="60" t="s">
        <v>129</v>
      </c>
      <c r="D190" s="52" t="s">
        <v>161</v>
      </c>
      <c r="H190" s="83"/>
      <c r="J190" s="65">
        <f t="shared" ref="J190:O190" si="2">SUMPRODUCT(J15:J91,J98:J174)</f>
        <v>14883126.847100001</v>
      </c>
      <c r="K190" s="65">
        <f t="shared" si="2"/>
        <v>988706123.58252883</v>
      </c>
      <c r="L190" s="65">
        <f t="shared" si="2"/>
        <v>1123002589.770431</v>
      </c>
      <c r="M190" s="65">
        <f t="shared" si="2"/>
        <v>8702536.9715999998</v>
      </c>
      <c r="N190" s="65">
        <f t="shared" si="2"/>
        <v>755238696.8747797</v>
      </c>
      <c r="O190" s="65">
        <f t="shared" si="2"/>
        <v>50368800.215046607</v>
      </c>
      <c r="R190" s="82"/>
      <c r="S190" s="82"/>
      <c r="T190" s="82"/>
      <c r="U190" s="82"/>
      <c r="V190" s="82"/>
      <c r="W190" s="82"/>
      <c r="X190" s="82"/>
      <c r="Y190" s="82"/>
      <c r="Z190" s="82"/>
      <c r="AA190" s="82"/>
    </row>
    <row r="191" spans="2:27">
      <c r="B191" s="60" t="s">
        <v>132</v>
      </c>
      <c r="D191" s="52" t="s">
        <v>161</v>
      </c>
      <c r="J191" s="65">
        <f t="shared" ref="J191:O191" si="3">J15*J98+J20*J103+J25*J108+J30*J113+J35*J118+J40*J123</f>
        <v>0</v>
      </c>
      <c r="K191" s="65">
        <f t="shared" si="3"/>
        <v>592783.07000000007</v>
      </c>
      <c r="L191" s="65">
        <f t="shared" si="3"/>
        <v>1073650.8799999999</v>
      </c>
      <c r="M191" s="65">
        <f t="shared" si="3"/>
        <v>0</v>
      </c>
      <c r="N191" s="65">
        <f t="shared" si="3"/>
        <v>879028.07000000018</v>
      </c>
      <c r="O191" s="65">
        <f t="shared" si="3"/>
        <v>38640</v>
      </c>
      <c r="R191" s="82"/>
      <c r="S191" s="82"/>
      <c r="T191" s="82"/>
      <c r="U191" s="82"/>
      <c r="V191" s="82"/>
      <c r="W191" s="82"/>
      <c r="X191" s="82"/>
      <c r="Y191" s="82"/>
      <c r="Z191" s="82"/>
      <c r="AA191" s="82"/>
    </row>
    <row r="192" spans="2:27">
      <c r="B192" s="60" t="s">
        <v>133</v>
      </c>
      <c r="D192" s="52" t="s">
        <v>161</v>
      </c>
      <c r="H192" s="83"/>
      <c r="J192" s="65">
        <f t="shared" ref="J192:O192" si="4">J48*J131+J54*J137+J60*J143</f>
        <v>122598</v>
      </c>
      <c r="K192" s="65">
        <f t="shared" si="4"/>
        <v>12220627.73</v>
      </c>
      <c r="L192" s="65">
        <f t="shared" si="4"/>
        <v>11486126.9625</v>
      </c>
      <c r="M192" s="65">
        <f t="shared" si="4"/>
        <v>70842.240000000005</v>
      </c>
      <c r="N192" s="65">
        <f t="shared" si="4"/>
        <v>7938871.5999999996</v>
      </c>
      <c r="O192" s="65">
        <f t="shared" si="4"/>
        <v>494317.45999999996</v>
      </c>
      <c r="R192" s="82"/>
      <c r="S192" s="82"/>
      <c r="T192" s="82"/>
      <c r="U192" s="82"/>
      <c r="V192" s="82"/>
      <c r="W192" s="82"/>
      <c r="X192" s="82"/>
      <c r="Y192" s="82"/>
      <c r="Z192" s="82"/>
      <c r="AA192" s="82"/>
    </row>
    <row r="193" spans="2:27">
      <c r="B193" s="60" t="s">
        <v>134</v>
      </c>
      <c r="D193" s="52" t="s">
        <v>161</v>
      </c>
      <c r="J193" s="65">
        <f t="shared" ref="J193:O193" si="5">J$69*J$152+J$75*J$158+J$76*J$159</f>
        <v>997466.4</v>
      </c>
      <c r="K193" s="65">
        <f t="shared" si="5"/>
        <v>51460572.992531613</v>
      </c>
      <c r="L193" s="65">
        <f t="shared" si="5"/>
        <v>59321221.353290416</v>
      </c>
      <c r="M193" s="65">
        <f t="shared" si="5"/>
        <v>612284.57999999996</v>
      </c>
      <c r="N193" s="65">
        <f t="shared" si="5"/>
        <v>42520830.155137517</v>
      </c>
      <c r="O193" s="65">
        <f t="shared" si="5"/>
        <v>1141937.2213619857</v>
      </c>
      <c r="R193" s="82"/>
      <c r="S193" s="82"/>
      <c r="T193" s="82"/>
      <c r="U193" s="82"/>
      <c r="V193" s="82"/>
      <c r="W193" s="82"/>
      <c r="X193" s="82"/>
      <c r="Y193" s="82"/>
      <c r="Z193" s="82"/>
      <c r="AA193" s="82"/>
    </row>
    <row r="194" spans="2:27">
      <c r="B194" s="60" t="s">
        <v>135</v>
      </c>
      <c r="D194" t="s">
        <v>161</v>
      </c>
      <c r="F194"/>
      <c r="J194" s="65">
        <f>J190-J191-J192-J193</f>
        <v>13763062.4471</v>
      </c>
      <c r="K194" s="65">
        <f t="shared" ref="K194:O194" si="6">K190-K191-K192-K193</f>
        <v>924432139.7899971</v>
      </c>
      <c r="L194" s="65">
        <f t="shared" si="6"/>
        <v>1051121590.5746404</v>
      </c>
      <c r="M194" s="65">
        <f t="shared" si="6"/>
        <v>8019410.1515999995</v>
      </c>
      <c r="N194" s="65">
        <f t="shared" si="6"/>
        <v>703899967.04964209</v>
      </c>
      <c r="O194" s="65">
        <f t="shared" si="6"/>
        <v>48693905.533684619</v>
      </c>
      <c r="R194" s="82"/>
      <c r="S194" s="82"/>
      <c r="T194" s="82"/>
      <c r="U194" s="82"/>
      <c r="V194" s="82"/>
      <c r="W194" s="82"/>
      <c r="X194" s="82"/>
      <c r="Y194" s="82"/>
      <c r="Z194" s="82"/>
      <c r="AA194" s="82"/>
    </row>
    <row r="195" spans="2:27">
      <c r="B195"/>
    </row>
    <row r="196" spans="2:27">
      <c r="B196" s="56" t="s">
        <v>136</v>
      </c>
    </row>
    <row r="197" spans="2:27">
      <c r="B197" s="66" t="s">
        <v>137</v>
      </c>
      <c r="D197" t="s">
        <v>161</v>
      </c>
      <c r="F197"/>
      <c r="J197" s="63">
        <f>J178</f>
        <v>1130680.0708000003</v>
      </c>
      <c r="K197" s="63">
        <f t="shared" ref="K197:O197" si="7">K178</f>
        <v>87556179.404506519</v>
      </c>
      <c r="L197" s="63">
        <f t="shared" si="7"/>
        <v>96973031.748762503</v>
      </c>
      <c r="M197" s="63">
        <f t="shared" si="7"/>
        <v>970545.37210000004</v>
      </c>
      <c r="N197" s="63">
        <f t="shared" si="7"/>
        <v>69351372.333833337</v>
      </c>
      <c r="O197" s="63">
        <f t="shared" si="7"/>
        <v>2622434.1911530788</v>
      </c>
    </row>
    <row r="198" spans="2:27">
      <c r="B198" s="52" t="s">
        <v>189</v>
      </c>
      <c r="D198" s="52" t="s">
        <v>83</v>
      </c>
      <c r="J198" s="93">
        <f>J197/(J190+J197)</f>
        <v>7.0606575725359999E-2</v>
      </c>
      <c r="K198" s="93">
        <f t="shared" ref="K198:O198" si="8">K197/(K190+K197)</f>
        <v>8.1352082258669633E-2</v>
      </c>
      <c r="L198" s="93">
        <f t="shared" si="8"/>
        <v>7.948767994888728E-2</v>
      </c>
      <c r="M198" s="93">
        <f t="shared" si="8"/>
        <v>0.10033465421000044</v>
      </c>
      <c r="N198" s="93">
        <f t="shared" si="8"/>
        <v>8.410405960914881E-2</v>
      </c>
      <c r="O198" s="93">
        <f t="shared" si="8"/>
        <v>4.9488075160715038E-2</v>
      </c>
      <c r="Q198" s="61"/>
    </row>
    <row r="200" spans="2:27">
      <c r="B200" s="53" t="s">
        <v>258</v>
      </c>
    </row>
    <row r="201" spans="2:27">
      <c r="B201" s="52" t="s">
        <v>138</v>
      </c>
      <c r="D201" s="52" t="s">
        <v>83</v>
      </c>
      <c r="J201" s="93">
        <f>((1-J198)*J187)/J194</f>
        <v>-5.1050658055244065E-2</v>
      </c>
      <c r="K201" s="93">
        <f>((1-K198)*K187)/K194</f>
        <v>5.4288962035554958E-2</v>
      </c>
      <c r="L201" s="93">
        <f t="shared" ref="L201:O201" si="9">((1-L198)*L187)/L194</f>
        <v>8.6703689928044642E-2</v>
      </c>
      <c r="M201" s="93">
        <f t="shared" si="9"/>
        <v>-6.2690406023770934E-2</v>
      </c>
      <c r="N201" s="94">
        <f>((1-N198)*N187)/N194</f>
        <v>8.2205198094342527E-2</v>
      </c>
      <c r="O201" s="93">
        <f t="shared" si="9"/>
        <v>3.0357748823084327E-2</v>
      </c>
    </row>
    <row r="204" spans="2:27" s="11" customFormat="1">
      <c r="B204" s="11" t="s">
        <v>150</v>
      </c>
    </row>
    <row r="206" spans="2:27">
      <c r="B206" s="55" t="s">
        <v>96</v>
      </c>
    </row>
    <row r="207" spans="2:27">
      <c r="B207" s="56"/>
      <c r="H207" s="54"/>
      <c r="I207" s="54"/>
    </row>
    <row r="208" spans="2:27">
      <c r="B208" s="57" t="s">
        <v>97</v>
      </c>
      <c r="H208" s="54"/>
      <c r="I208" s="54"/>
    </row>
    <row r="209" spans="2:27">
      <c r="B209" s="52" t="s">
        <v>98</v>
      </c>
      <c r="D209" s="52" t="s">
        <v>161</v>
      </c>
      <c r="H209" s="54"/>
      <c r="I209" s="54"/>
      <c r="J209" s="67">
        <f t="shared" ref="J209:O209" si="10">J98</f>
        <v>0</v>
      </c>
      <c r="K209" s="67">
        <f t="shared" si="10"/>
        <v>0</v>
      </c>
      <c r="L209" s="67">
        <f t="shared" si="10"/>
        <v>2760</v>
      </c>
      <c r="M209" s="67">
        <f t="shared" si="10"/>
        <v>0</v>
      </c>
      <c r="N209" s="67">
        <f t="shared" si="10"/>
        <v>0</v>
      </c>
      <c r="O209" s="67">
        <f t="shared" si="10"/>
        <v>0</v>
      </c>
      <c r="R209" s="84"/>
      <c r="S209" s="84"/>
      <c r="T209" s="84"/>
      <c r="U209" s="84"/>
      <c r="V209" s="84"/>
      <c r="W209" s="84"/>
      <c r="X209" s="84"/>
      <c r="Y209" s="84"/>
      <c r="Z209" s="84"/>
      <c r="AA209" s="84"/>
    </row>
    <row r="210" spans="2:27">
      <c r="B210" s="52" t="s">
        <v>99</v>
      </c>
      <c r="D210" s="52" t="s">
        <v>161</v>
      </c>
      <c r="H210" s="54"/>
      <c r="I210" s="54"/>
      <c r="J210" s="68">
        <f t="shared" ref="J210:O211" si="11">J99*(1-J$201)</f>
        <v>0</v>
      </c>
      <c r="K210" s="68">
        <f t="shared" si="11"/>
        <v>0</v>
      </c>
      <c r="L210" s="68">
        <f t="shared" si="11"/>
        <v>10.959555720863463</v>
      </c>
      <c r="M210" s="68">
        <f t="shared" si="11"/>
        <v>0</v>
      </c>
      <c r="N210" s="68">
        <f t="shared" si="11"/>
        <v>0</v>
      </c>
      <c r="O210" s="68">
        <f t="shared" si="11"/>
        <v>0</v>
      </c>
      <c r="Q210" s="61"/>
      <c r="R210" s="84"/>
      <c r="S210" s="84"/>
      <c r="T210" s="84"/>
      <c r="U210" s="84"/>
      <c r="V210" s="84"/>
      <c r="W210" s="84"/>
      <c r="X210" s="84"/>
      <c r="Y210" s="84"/>
      <c r="Z210" s="84"/>
      <c r="AA210" s="84"/>
    </row>
    <row r="211" spans="2:27">
      <c r="B211" s="52" t="s">
        <v>100</v>
      </c>
      <c r="D211" s="52" t="s">
        <v>161</v>
      </c>
      <c r="H211" s="54"/>
      <c r="I211" s="54"/>
      <c r="J211" s="68">
        <f t="shared" si="11"/>
        <v>0</v>
      </c>
      <c r="K211" s="68">
        <f t="shared" si="11"/>
        <v>0</v>
      </c>
      <c r="L211" s="68">
        <f t="shared" si="11"/>
        <v>1.1324874244892247</v>
      </c>
      <c r="M211" s="68">
        <f t="shared" si="11"/>
        <v>0</v>
      </c>
      <c r="N211" s="68">
        <f t="shared" si="11"/>
        <v>0</v>
      </c>
      <c r="O211" s="68">
        <f t="shared" si="11"/>
        <v>0</v>
      </c>
      <c r="R211" s="84"/>
      <c r="S211" s="84"/>
      <c r="T211" s="84"/>
      <c r="U211" s="84"/>
      <c r="V211" s="84"/>
      <c r="W211" s="84"/>
      <c r="X211" s="84"/>
      <c r="Y211" s="84"/>
      <c r="Z211" s="84"/>
      <c r="AA211" s="84"/>
    </row>
    <row r="212" spans="2:27">
      <c r="H212" s="54"/>
      <c r="I212" s="54"/>
      <c r="J212" s="69"/>
      <c r="K212" s="69"/>
      <c r="L212" s="69"/>
      <c r="M212" s="69"/>
      <c r="N212" s="69"/>
      <c r="O212" s="69"/>
      <c r="R212" s="84"/>
      <c r="S212" s="84"/>
      <c r="T212" s="84"/>
      <c r="U212" s="84"/>
      <c r="V212" s="84"/>
      <c r="W212" s="84"/>
      <c r="X212" s="84"/>
      <c r="Y212" s="84"/>
      <c r="Z212" s="84"/>
      <c r="AA212" s="84"/>
    </row>
    <row r="213" spans="2:27">
      <c r="B213" s="56" t="s">
        <v>101</v>
      </c>
      <c r="H213" s="54"/>
      <c r="I213" s="54"/>
      <c r="J213" s="69"/>
      <c r="K213" s="69"/>
      <c r="L213" s="69"/>
      <c r="M213" s="69"/>
      <c r="N213" s="69"/>
      <c r="O213" s="69"/>
      <c r="R213" s="84"/>
      <c r="S213" s="84"/>
      <c r="T213" s="84"/>
      <c r="U213" s="84"/>
      <c r="V213" s="84"/>
      <c r="W213" s="84"/>
      <c r="X213" s="84"/>
      <c r="Y213" s="84"/>
      <c r="Z213" s="84"/>
      <c r="AA213" s="84"/>
    </row>
    <row r="214" spans="2:27">
      <c r="B214" s="52" t="s">
        <v>98</v>
      </c>
      <c r="D214" s="52" t="s">
        <v>161</v>
      </c>
      <c r="H214" s="54"/>
      <c r="I214" s="54"/>
      <c r="J214" s="67">
        <f t="shared" ref="J214:O214" si="12">J103</f>
        <v>0</v>
      </c>
      <c r="K214" s="67">
        <f t="shared" si="12"/>
        <v>0</v>
      </c>
      <c r="L214" s="67">
        <f t="shared" si="12"/>
        <v>2760</v>
      </c>
      <c r="M214" s="67">
        <f t="shared" si="12"/>
        <v>0</v>
      </c>
      <c r="N214" s="67">
        <f t="shared" si="12"/>
        <v>0</v>
      </c>
      <c r="O214" s="67">
        <f t="shared" si="12"/>
        <v>0</v>
      </c>
      <c r="R214" s="84"/>
      <c r="S214" s="84"/>
      <c r="T214" s="84"/>
      <c r="U214" s="84"/>
      <c r="V214" s="84"/>
      <c r="W214" s="84"/>
      <c r="X214" s="84"/>
      <c r="Y214" s="84"/>
      <c r="Z214" s="84"/>
      <c r="AA214" s="84"/>
    </row>
    <row r="215" spans="2:27">
      <c r="B215" s="52" t="s">
        <v>99</v>
      </c>
      <c r="D215" s="52" t="s">
        <v>161</v>
      </c>
      <c r="H215" s="54"/>
      <c r="I215" s="54"/>
      <c r="J215" s="68">
        <f t="shared" ref="J215:O216" si="13">J104*(1-J$201)</f>
        <v>0</v>
      </c>
      <c r="K215" s="68">
        <f t="shared" si="13"/>
        <v>0</v>
      </c>
      <c r="L215" s="68">
        <f t="shared" si="13"/>
        <v>5.4797778604317315</v>
      </c>
      <c r="M215" s="68">
        <f t="shared" si="13"/>
        <v>0</v>
      </c>
      <c r="N215" s="68">
        <f t="shared" si="13"/>
        <v>0</v>
      </c>
      <c r="O215" s="68">
        <f t="shared" si="13"/>
        <v>0</v>
      </c>
      <c r="R215" s="84"/>
      <c r="S215" s="84"/>
      <c r="T215" s="84"/>
      <c r="U215" s="84"/>
      <c r="V215" s="84"/>
      <c r="W215" s="84"/>
      <c r="X215" s="84"/>
      <c r="Y215" s="84"/>
      <c r="Z215" s="84"/>
      <c r="AA215" s="84"/>
    </row>
    <row r="216" spans="2:27">
      <c r="B216" s="52" t="s">
        <v>102</v>
      </c>
      <c r="D216" s="52" t="s">
        <v>161</v>
      </c>
      <c r="H216" s="54"/>
      <c r="I216" s="54"/>
      <c r="J216" s="68">
        <f t="shared" si="13"/>
        <v>0</v>
      </c>
      <c r="K216" s="68">
        <f t="shared" si="13"/>
        <v>0</v>
      </c>
      <c r="L216" s="68">
        <f t="shared" si="13"/>
        <v>0.39198677628288325</v>
      </c>
      <c r="M216" s="68">
        <f t="shared" si="13"/>
        <v>0</v>
      </c>
      <c r="N216" s="68">
        <f t="shared" si="13"/>
        <v>0</v>
      </c>
      <c r="O216" s="68">
        <f t="shared" si="13"/>
        <v>0</v>
      </c>
      <c r="R216" s="84"/>
      <c r="S216" s="84"/>
      <c r="T216" s="84"/>
      <c r="U216" s="84"/>
      <c r="V216" s="84"/>
      <c r="W216" s="84"/>
      <c r="X216" s="84"/>
      <c r="Y216" s="84"/>
      <c r="Z216" s="84"/>
      <c r="AA216" s="84"/>
    </row>
    <row r="217" spans="2:27">
      <c r="H217" s="54"/>
      <c r="I217" s="54"/>
      <c r="J217" s="69"/>
      <c r="K217" s="69"/>
      <c r="L217" s="69"/>
      <c r="M217" s="69"/>
      <c r="N217" s="69"/>
      <c r="O217" s="69"/>
      <c r="R217" s="84"/>
      <c r="S217" s="84"/>
      <c r="T217" s="84"/>
      <c r="U217" s="84"/>
      <c r="V217" s="84"/>
      <c r="W217" s="84"/>
      <c r="X217" s="84"/>
      <c r="Y217" s="84"/>
      <c r="Z217" s="84"/>
      <c r="AA217" s="84"/>
    </row>
    <row r="218" spans="2:27">
      <c r="B218" s="56" t="s">
        <v>103</v>
      </c>
      <c r="H218" s="54"/>
      <c r="I218" s="54"/>
      <c r="J218" s="69"/>
      <c r="K218" s="69"/>
      <c r="L218" s="69"/>
      <c r="M218" s="69"/>
      <c r="N218" s="69"/>
      <c r="O218" s="69"/>
      <c r="R218" s="84"/>
      <c r="S218" s="84"/>
      <c r="T218" s="84"/>
      <c r="U218" s="84"/>
      <c r="V218" s="84"/>
      <c r="W218" s="84"/>
      <c r="X218" s="84"/>
      <c r="Y218" s="84"/>
      <c r="Z218" s="84"/>
      <c r="AA218" s="84"/>
    </row>
    <row r="219" spans="2:27">
      <c r="B219" s="52" t="s">
        <v>98</v>
      </c>
      <c r="D219" s="52" t="s">
        <v>161</v>
      </c>
      <c r="H219" s="54"/>
      <c r="I219" s="54"/>
      <c r="J219" s="67">
        <f t="shared" ref="J219:O219" si="14">J108</f>
        <v>0</v>
      </c>
      <c r="K219" s="67">
        <f t="shared" si="14"/>
        <v>2760</v>
      </c>
      <c r="L219" s="67">
        <f t="shared" si="14"/>
        <v>2760</v>
      </c>
      <c r="M219" s="67">
        <f t="shared" si="14"/>
        <v>0</v>
      </c>
      <c r="N219" s="67">
        <f t="shared" si="14"/>
        <v>2760</v>
      </c>
      <c r="O219" s="67">
        <f t="shared" si="14"/>
        <v>0</v>
      </c>
      <c r="R219" s="84"/>
      <c r="S219" s="84"/>
      <c r="T219" s="84"/>
      <c r="U219" s="84"/>
      <c r="V219" s="84"/>
      <c r="W219" s="84"/>
      <c r="X219" s="84"/>
      <c r="Y219" s="84"/>
      <c r="Z219" s="84"/>
      <c r="AA219" s="84"/>
    </row>
    <row r="220" spans="2:27">
      <c r="B220" s="52" t="s">
        <v>99</v>
      </c>
      <c r="D220" s="52" t="s">
        <v>161</v>
      </c>
      <c r="H220" s="54"/>
      <c r="I220" s="54"/>
      <c r="J220" s="68">
        <f t="shared" ref="J220:O221" si="15">J109*(1-J$201)</f>
        <v>0</v>
      </c>
      <c r="K220" s="68">
        <f t="shared" si="15"/>
        <v>13.646610277826941</v>
      </c>
      <c r="L220" s="68">
        <f t="shared" si="15"/>
        <v>21.151942541266486</v>
      </c>
      <c r="M220" s="68">
        <f t="shared" si="15"/>
        <v>0</v>
      </c>
      <c r="N220" s="68">
        <f t="shared" si="15"/>
        <v>21.334323729257388</v>
      </c>
      <c r="O220" s="68">
        <f t="shared" si="15"/>
        <v>0</v>
      </c>
      <c r="R220" s="84"/>
      <c r="S220" s="84"/>
      <c r="T220" s="84"/>
      <c r="U220" s="84"/>
      <c r="V220" s="84"/>
      <c r="W220" s="84"/>
      <c r="X220" s="84"/>
      <c r="Y220" s="84"/>
      <c r="Z220" s="84"/>
      <c r="AA220" s="84"/>
    </row>
    <row r="221" spans="2:27">
      <c r="B221" s="52" t="s">
        <v>100</v>
      </c>
      <c r="D221" s="52" t="s">
        <v>161</v>
      </c>
      <c r="H221" s="54"/>
      <c r="I221" s="54"/>
      <c r="J221" s="68">
        <f t="shared" si="15"/>
        <v>0</v>
      </c>
      <c r="K221" s="68">
        <f t="shared" si="15"/>
        <v>1.6549943164377787</v>
      </c>
      <c r="L221" s="68">
        <f t="shared" si="15"/>
        <v>2.2832407751798884</v>
      </c>
      <c r="M221" s="68">
        <f t="shared" si="15"/>
        <v>0</v>
      </c>
      <c r="N221" s="68">
        <f t="shared" si="15"/>
        <v>2.4266494562385583</v>
      </c>
      <c r="O221" s="68">
        <f t="shared" si="15"/>
        <v>0</v>
      </c>
      <c r="R221" s="84"/>
      <c r="S221" s="84"/>
      <c r="T221" s="84"/>
      <c r="U221" s="84"/>
      <c r="V221" s="84"/>
      <c r="W221" s="84"/>
      <c r="X221" s="84"/>
      <c r="Y221" s="84"/>
      <c r="Z221" s="84"/>
      <c r="AA221" s="84"/>
    </row>
    <row r="222" spans="2:27">
      <c r="H222" s="54"/>
      <c r="I222" s="54"/>
      <c r="J222" s="69"/>
      <c r="K222" s="69"/>
      <c r="L222" s="69"/>
      <c r="M222" s="69"/>
      <c r="N222" s="69"/>
      <c r="O222" s="69"/>
      <c r="R222" s="84"/>
      <c r="S222" s="84"/>
      <c r="T222" s="84"/>
      <c r="U222" s="84"/>
      <c r="V222" s="84"/>
      <c r="W222" s="84"/>
      <c r="X222" s="84"/>
      <c r="Y222" s="84"/>
      <c r="Z222" s="84"/>
      <c r="AA222" s="84"/>
    </row>
    <row r="223" spans="2:27">
      <c r="B223" s="56" t="s">
        <v>104</v>
      </c>
      <c r="H223" s="54"/>
      <c r="I223" s="54"/>
      <c r="J223" s="69"/>
      <c r="K223" s="69"/>
      <c r="L223" s="69"/>
      <c r="M223" s="69"/>
      <c r="N223" s="69"/>
      <c r="O223" s="69"/>
      <c r="R223" s="84"/>
      <c r="S223" s="84"/>
      <c r="T223" s="84"/>
      <c r="U223" s="84"/>
      <c r="V223" s="84"/>
      <c r="W223" s="84"/>
      <c r="X223" s="84"/>
      <c r="Y223" s="84"/>
      <c r="Z223" s="84"/>
      <c r="AA223" s="84"/>
    </row>
    <row r="224" spans="2:27">
      <c r="B224" s="52" t="s">
        <v>98</v>
      </c>
      <c r="D224" s="52" t="s">
        <v>161</v>
      </c>
      <c r="H224" s="54"/>
      <c r="I224" s="54"/>
      <c r="J224" s="67">
        <f t="shared" ref="J224:O224" si="16">J113</f>
        <v>0</v>
      </c>
      <c r="K224" s="67">
        <f t="shared" si="16"/>
        <v>2760</v>
      </c>
      <c r="L224" s="67">
        <f t="shared" si="16"/>
        <v>2760</v>
      </c>
      <c r="M224" s="67">
        <f t="shared" si="16"/>
        <v>0</v>
      </c>
      <c r="N224" s="67">
        <f t="shared" si="16"/>
        <v>2760</v>
      </c>
      <c r="O224" s="67">
        <f t="shared" si="16"/>
        <v>0</v>
      </c>
      <c r="R224" s="84"/>
      <c r="S224" s="84"/>
      <c r="T224" s="84"/>
      <c r="U224" s="84"/>
      <c r="V224" s="84"/>
      <c r="W224" s="84"/>
      <c r="X224" s="84"/>
      <c r="Y224" s="84"/>
      <c r="Z224" s="84"/>
      <c r="AA224" s="84"/>
    </row>
    <row r="225" spans="2:27">
      <c r="B225" s="52" t="s">
        <v>99</v>
      </c>
      <c r="D225" s="52" t="s">
        <v>161</v>
      </c>
      <c r="H225" s="54"/>
      <c r="I225" s="54"/>
      <c r="J225" s="68">
        <f t="shared" ref="J225:O226" si="17">J114*(1-J$201)</f>
        <v>0</v>
      </c>
      <c r="K225" s="68">
        <f t="shared" si="17"/>
        <v>6.8280336941032926</v>
      </c>
      <c r="L225" s="68">
        <f t="shared" si="17"/>
        <v>10.575971270633243</v>
      </c>
      <c r="M225" s="68">
        <f t="shared" si="17"/>
        <v>0</v>
      </c>
      <c r="N225" s="68">
        <f t="shared" si="17"/>
        <v>10.667161864628694</v>
      </c>
      <c r="O225" s="68">
        <f t="shared" si="17"/>
        <v>0</v>
      </c>
      <c r="R225" s="84"/>
      <c r="S225" s="84"/>
      <c r="T225" s="84"/>
      <c r="U225" s="84"/>
      <c r="V225" s="84"/>
      <c r="W225" s="84"/>
      <c r="X225" s="84"/>
      <c r="Y225" s="84"/>
      <c r="Z225" s="84"/>
      <c r="AA225" s="84"/>
    </row>
    <row r="226" spans="2:27">
      <c r="B226" s="52" t="s">
        <v>102</v>
      </c>
      <c r="D226" s="52" t="s">
        <v>161</v>
      </c>
      <c r="H226" s="54"/>
      <c r="I226" s="54"/>
      <c r="J226" s="68">
        <f t="shared" si="17"/>
        <v>0</v>
      </c>
      <c r="K226" s="68">
        <f t="shared" si="17"/>
        <v>0.57688373315831143</v>
      </c>
      <c r="L226" s="68">
        <f t="shared" si="17"/>
        <v>0.7902752971052629</v>
      </c>
      <c r="M226" s="68">
        <f t="shared" si="17"/>
        <v>0</v>
      </c>
      <c r="N226" s="68">
        <f t="shared" si="17"/>
        <v>0.83996580270405774</v>
      </c>
      <c r="O226" s="68">
        <f t="shared" si="17"/>
        <v>0</v>
      </c>
      <c r="R226" s="84"/>
      <c r="S226" s="84"/>
      <c r="T226" s="84"/>
      <c r="U226" s="84"/>
      <c r="V226" s="84"/>
      <c r="W226" s="84"/>
      <c r="X226" s="84"/>
      <c r="Y226" s="84"/>
      <c r="Z226" s="84"/>
      <c r="AA226" s="84"/>
    </row>
    <row r="227" spans="2:27">
      <c r="H227" s="54"/>
      <c r="I227" s="54"/>
      <c r="J227" s="69"/>
      <c r="K227" s="69"/>
      <c r="L227" s="69"/>
      <c r="M227" s="69"/>
      <c r="N227" s="69"/>
      <c r="O227" s="69"/>
      <c r="R227" s="84"/>
      <c r="S227" s="84"/>
      <c r="T227" s="84"/>
      <c r="U227" s="84"/>
      <c r="V227" s="84"/>
      <c r="W227" s="84"/>
      <c r="X227" s="84"/>
      <c r="Y227" s="84"/>
      <c r="Z227" s="84"/>
      <c r="AA227" s="84"/>
    </row>
    <row r="228" spans="2:27">
      <c r="B228" s="56" t="s">
        <v>105</v>
      </c>
      <c r="H228" s="54"/>
      <c r="I228" s="54"/>
      <c r="J228" s="69"/>
      <c r="K228" s="69"/>
      <c r="L228" s="69"/>
      <c r="M228" s="69"/>
      <c r="N228" s="69"/>
      <c r="O228" s="69"/>
      <c r="R228" s="84"/>
      <c r="S228" s="84"/>
      <c r="T228" s="84"/>
      <c r="U228" s="84"/>
      <c r="V228" s="84"/>
      <c r="W228" s="84"/>
      <c r="X228" s="84"/>
      <c r="Y228" s="84"/>
      <c r="Z228" s="84"/>
      <c r="AA228" s="84"/>
    </row>
    <row r="229" spans="2:27">
      <c r="B229" s="52" t="s">
        <v>98</v>
      </c>
      <c r="D229" s="52" t="s">
        <v>161</v>
      </c>
      <c r="H229" s="54"/>
      <c r="I229" s="54"/>
      <c r="J229" s="67">
        <f t="shared" ref="J229:O229" si="18">J118</f>
        <v>0</v>
      </c>
      <c r="K229" s="67">
        <f t="shared" si="18"/>
        <v>2760</v>
      </c>
      <c r="L229" s="67">
        <f t="shared" si="18"/>
        <v>2760</v>
      </c>
      <c r="M229" s="67">
        <f t="shared" si="18"/>
        <v>0</v>
      </c>
      <c r="N229" s="67">
        <f t="shared" si="18"/>
        <v>2760.0000000000005</v>
      </c>
      <c r="O229" s="67">
        <f t="shared" si="18"/>
        <v>2760</v>
      </c>
      <c r="R229" s="84"/>
      <c r="S229" s="84"/>
      <c r="T229" s="84"/>
      <c r="U229" s="84"/>
      <c r="V229" s="84"/>
      <c r="W229" s="84"/>
      <c r="X229" s="84"/>
      <c r="Y229" s="84"/>
      <c r="Z229" s="84"/>
      <c r="AA229" s="84"/>
    </row>
    <row r="230" spans="2:27">
      <c r="B230" s="52" t="s">
        <v>99</v>
      </c>
      <c r="D230" s="52" t="s">
        <v>161</v>
      </c>
      <c r="H230" s="54"/>
      <c r="I230" s="54"/>
      <c r="J230" s="68">
        <f t="shared" ref="J230:O231" si="19">J119*(1-J$201)</f>
        <v>0</v>
      </c>
      <c r="K230" s="68">
        <f t="shared" si="19"/>
        <v>19.027706083844635</v>
      </c>
      <c r="L230" s="68">
        <f t="shared" si="19"/>
        <v>21.261538098475121</v>
      </c>
      <c r="M230" s="68">
        <f t="shared" si="19"/>
        <v>0</v>
      </c>
      <c r="N230" s="68">
        <f t="shared" si="19"/>
        <v>22.082877169691642</v>
      </c>
      <c r="O230" s="68">
        <f t="shared" si="19"/>
        <v>21.011759726103296</v>
      </c>
      <c r="R230" s="84"/>
      <c r="S230" s="84"/>
      <c r="T230" s="84"/>
      <c r="U230" s="84"/>
      <c r="V230" s="84"/>
      <c r="W230" s="84"/>
      <c r="X230" s="84"/>
      <c r="Y230" s="84"/>
      <c r="Z230" s="84"/>
      <c r="AA230" s="84"/>
    </row>
    <row r="231" spans="2:27">
      <c r="B231" s="52" t="s">
        <v>100</v>
      </c>
      <c r="D231" s="52" t="s">
        <v>161</v>
      </c>
      <c r="H231" s="54"/>
      <c r="I231" s="54"/>
      <c r="J231" s="68">
        <f t="shared" si="19"/>
        <v>0</v>
      </c>
      <c r="K231" s="68">
        <f t="shared" si="19"/>
        <v>1.9481647382067568</v>
      </c>
      <c r="L231" s="68">
        <f t="shared" si="19"/>
        <v>2.4659000371942796</v>
      </c>
      <c r="M231" s="68">
        <f t="shared" si="19"/>
        <v>0</v>
      </c>
      <c r="N231" s="68">
        <f t="shared" si="19"/>
        <v>2.4548257566570619</v>
      </c>
      <c r="O231" s="68">
        <f t="shared" si="19"/>
        <v>2.2786592902657521</v>
      </c>
      <c r="R231" s="84"/>
      <c r="S231" s="84"/>
      <c r="T231" s="84"/>
      <c r="U231" s="84"/>
      <c r="V231" s="84"/>
      <c r="W231" s="84"/>
      <c r="X231" s="84"/>
      <c r="Y231" s="84"/>
      <c r="Z231" s="84"/>
      <c r="AA231" s="84"/>
    </row>
    <row r="232" spans="2:27">
      <c r="H232" s="54"/>
      <c r="I232" s="54"/>
      <c r="J232" s="69"/>
      <c r="K232" s="69"/>
      <c r="L232" s="69"/>
      <c r="M232" s="69"/>
      <c r="N232" s="69"/>
      <c r="O232" s="69"/>
      <c r="R232" s="84"/>
      <c r="S232" s="84"/>
      <c r="T232" s="84"/>
      <c r="U232" s="84"/>
      <c r="V232" s="84"/>
      <c r="W232" s="84"/>
      <c r="X232" s="84"/>
      <c r="Y232" s="84"/>
      <c r="Z232" s="84"/>
      <c r="AA232" s="84"/>
    </row>
    <row r="233" spans="2:27">
      <c r="B233" s="56" t="s">
        <v>106</v>
      </c>
      <c r="H233" s="54"/>
      <c r="I233" s="54"/>
      <c r="J233" s="69"/>
      <c r="K233" s="69"/>
      <c r="L233" s="69"/>
      <c r="M233" s="69"/>
      <c r="N233" s="69"/>
      <c r="O233" s="69"/>
      <c r="R233" s="84"/>
      <c r="S233" s="84"/>
      <c r="T233" s="84"/>
      <c r="U233" s="84"/>
      <c r="V233" s="84"/>
      <c r="W233" s="84"/>
      <c r="X233" s="84"/>
      <c r="Y233" s="84"/>
      <c r="Z233" s="84"/>
      <c r="AA233" s="84"/>
    </row>
    <row r="234" spans="2:27">
      <c r="B234" s="52" t="s">
        <v>98</v>
      </c>
      <c r="D234" s="52" t="s">
        <v>161</v>
      </c>
      <c r="H234" s="54"/>
      <c r="I234" s="54"/>
      <c r="J234" s="67">
        <f t="shared" ref="J234:O234" si="20">J123</f>
        <v>0</v>
      </c>
      <c r="K234" s="67">
        <f t="shared" si="20"/>
        <v>2760</v>
      </c>
      <c r="L234" s="67">
        <f t="shared" si="20"/>
        <v>2760</v>
      </c>
      <c r="M234" s="67">
        <f t="shared" si="20"/>
        <v>0</v>
      </c>
      <c r="N234" s="67">
        <f t="shared" si="20"/>
        <v>2760</v>
      </c>
      <c r="O234" s="67">
        <f t="shared" si="20"/>
        <v>0</v>
      </c>
      <c r="R234" s="84"/>
      <c r="S234" s="84"/>
      <c r="T234" s="84"/>
      <c r="U234" s="84"/>
      <c r="V234" s="84"/>
      <c r="W234" s="84"/>
      <c r="X234" s="84"/>
      <c r="Y234" s="84"/>
      <c r="Z234" s="84"/>
      <c r="AA234" s="84"/>
    </row>
    <row r="235" spans="2:27">
      <c r="B235" s="52" t="s">
        <v>99</v>
      </c>
      <c r="D235" s="52" t="s">
        <v>161</v>
      </c>
      <c r="H235" s="54"/>
      <c r="I235" s="54"/>
      <c r="J235" s="68">
        <f t="shared" ref="J235:O236" si="21">J124*(1-J$201)</f>
        <v>0</v>
      </c>
      <c r="K235" s="68">
        <f t="shared" si="21"/>
        <v>9.5138530419223173</v>
      </c>
      <c r="L235" s="68">
        <f t="shared" si="21"/>
        <v>10.630769049237561</v>
      </c>
      <c r="M235" s="68">
        <f t="shared" si="21"/>
        <v>0</v>
      </c>
      <c r="N235" s="68">
        <f t="shared" si="21"/>
        <v>11.041438584845821</v>
      </c>
      <c r="O235" s="68">
        <f t="shared" si="21"/>
        <v>0</v>
      </c>
      <c r="R235" s="84"/>
      <c r="S235" s="84"/>
      <c r="T235" s="84"/>
      <c r="U235" s="84"/>
      <c r="V235" s="84"/>
      <c r="W235" s="84"/>
      <c r="X235" s="84"/>
      <c r="Y235" s="84"/>
      <c r="Z235" s="84"/>
      <c r="AA235" s="84"/>
    </row>
    <row r="236" spans="2:27">
      <c r="B236" s="52" t="s">
        <v>102</v>
      </c>
      <c r="D236" s="52" t="s">
        <v>161</v>
      </c>
      <c r="H236" s="54"/>
      <c r="I236" s="54"/>
      <c r="J236" s="68">
        <f t="shared" si="21"/>
        <v>0</v>
      </c>
      <c r="K236" s="68">
        <f t="shared" si="21"/>
        <v>0.67145483695475594</v>
      </c>
      <c r="L236" s="68">
        <f t="shared" si="21"/>
        <v>0.85356673139324946</v>
      </c>
      <c r="M236" s="68">
        <f t="shared" si="21"/>
        <v>0</v>
      </c>
      <c r="N236" s="68">
        <f t="shared" si="21"/>
        <v>0.84978620708444819</v>
      </c>
      <c r="O236" s="68">
        <f t="shared" si="21"/>
        <v>0</v>
      </c>
      <c r="R236" s="84"/>
      <c r="S236" s="84"/>
      <c r="T236" s="84"/>
      <c r="U236" s="84"/>
      <c r="V236" s="84"/>
      <c r="W236" s="84"/>
      <c r="X236" s="84"/>
      <c r="Y236" s="84"/>
      <c r="Z236" s="84"/>
      <c r="AA236" s="84"/>
    </row>
    <row r="237" spans="2:27">
      <c r="H237" s="54"/>
      <c r="I237" s="54"/>
      <c r="J237" s="69"/>
      <c r="K237" s="69"/>
      <c r="L237" s="69"/>
      <c r="M237" s="69"/>
      <c r="N237" s="69"/>
      <c r="O237" s="69"/>
      <c r="R237" s="84"/>
      <c r="S237" s="84"/>
      <c r="T237" s="84"/>
      <c r="U237" s="84"/>
      <c r="V237" s="84"/>
      <c r="W237" s="84"/>
      <c r="X237" s="84"/>
      <c r="Y237" s="84"/>
      <c r="Z237" s="84"/>
      <c r="AA237" s="84"/>
    </row>
    <row r="238" spans="2:27">
      <c r="H238" s="54"/>
      <c r="I238" s="54"/>
      <c r="J238" s="69"/>
      <c r="K238" s="69"/>
      <c r="L238" s="69"/>
      <c r="M238" s="69"/>
      <c r="N238" s="69"/>
      <c r="O238" s="69"/>
      <c r="R238" s="84"/>
      <c r="S238" s="84"/>
      <c r="T238" s="84"/>
      <c r="U238" s="84"/>
      <c r="V238" s="84"/>
      <c r="W238" s="84"/>
      <c r="X238" s="84"/>
      <c r="Y238" s="84"/>
      <c r="Z238" s="84"/>
      <c r="AA238" s="84"/>
    </row>
    <row r="239" spans="2:27">
      <c r="B239" s="55" t="s">
        <v>107</v>
      </c>
      <c r="H239" s="54"/>
      <c r="I239" s="54"/>
      <c r="J239" s="69"/>
      <c r="K239" s="69"/>
      <c r="L239" s="69"/>
      <c r="M239" s="69"/>
      <c r="N239" s="69"/>
      <c r="O239" s="69"/>
      <c r="R239" s="84"/>
      <c r="S239" s="84"/>
      <c r="T239" s="84"/>
      <c r="U239" s="84"/>
      <c r="V239" s="84"/>
      <c r="W239" s="84"/>
      <c r="X239" s="84"/>
      <c r="Y239" s="84"/>
      <c r="Z239" s="84"/>
      <c r="AA239" s="84"/>
    </row>
    <row r="240" spans="2:27">
      <c r="H240" s="54"/>
      <c r="I240" s="54"/>
      <c r="J240" s="69"/>
      <c r="K240" s="69"/>
      <c r="L240" s="69"/>
      <c r="M240" s="69"/>
      <c r="N240" s="69"/>
      <c r="O240" s="69"/>
      <c r="R240" s="84"/>
      <c r="S240" s="84"/>
      <c r="T240" s="84"/>
      <c r="U240" s="84"/>
      <c r="V240" s="84"/>
      <c r="W240" s="84"/>
      <c r="X240" s="84"/>
      <c r="Y240" s="84"/>
      <c r="Z240" s="84"/>
      <c r="AA240" s="84"/>
    </row>
    <row r="241" spans="2:27">
      <c r="B241" s="56" t="s">
        <v>108</v>
      </c>
      <c r="H241" s="54"/>
      <c r="I241" s="54"/>
      <c r="J241" s="69"/>
      <c r="K241" s="69"/>
      <c r="L241" s="69"/>
      <c r="M241" s="69"/>
      <c r="N241" s="69"/>
      <c r="O241" s="69"/>
      <c r="R241" s="84"/>
      <c r="S241" s="84"/>
      <c r="T241" s="84"/>
      <c r="U241" s="84"/>
      <c r="V241" s="84"/>
      <c r="W241" s="84"/>
      <c r="X241" s="84"/>
      <c r="Y241" s="84"/>
      <c r="Z241" s="84"/>
      <c r="AA241" s="84"/>
    </row>
    <row r="242" spans="2:27">
      <c r="B242" s="52" t="s">
        <v>98</v>
      </c>
      <c r="D242" s="52" t="s">
        <v>161</v>
      </c>
      <c r="H242" s="54"/>
      <c r="I242" s="54"/>
      <c r="J242" s="67">
        <f t="shared" ref="J242:O242" si="22">J131</f>
        <v>0</v>
      </c>
      <c r="K242" s="67">
        <f t="shared" si="22"/>
        <v>441</v>
      </c>
      <c r="L242" s="67">
        <f t="shared" si="22"/>
        <v>0</v>
      </c>
      <c r="M242" s="67">
        <f t="shared" si="22"/>
        <v>441</v>
      </c>
      <c r="N242" s="67">
        <f t="shared" si="22"/>
        <v>0</v>
      </c>
      <c r="O242" s="67">
        <f t="shared" si="22"/>
        <v>0</v>
      </c>
      <c r="R242" s="84"/>
      <c r="S242" s="84"/>
      <c r="T242" s="84"/>
      <c r="U242" s="84"/>
      <c r="V242" s="84"/>
      <c r="W242" s="84"/>
      <c r="X242" s="84"/>
      <c r="Y242" s="84"/>
      <c r="Z242" s="84"/>
      <c r="AA242" s="84"/>
    </row>
    <row r="243" spans="2:27">
      <c r="B243" s="52" t="s">
        <v>109</v>
      </c>
      <c r="D243" s="52" t="s">
        <v>161</v>
      </c>
      <c r="H243" s="54"/>
      <c r="I243" s="54"/>
      <c r="J243" s="68">
        <f t="shared" ref="J243:O245" si="23">J132*(1-J$201)</f>
        <v>0</v>
      </c>
      <c r="K243" s="68">
        <f t="shared" si="23"/>
        <v>12.322614824676718</v>
      </c>
      <c r="L243" s="68">
        <f t="shared" si="23"/>
        <v>0</v>
      </c>
      <c r="M243" s="68">
        <f t="shared" si="23"/>
        <v>10.839442141442463</v>
      </c>
      <c r="N243" s="68">
        <f t="shared" si="23"/>
        <v>0</v>
      </c>
      <c r="O243" s="68">
        <f t="shared" si="23"/>
        <v>0</v>
      </c>
      <c r="R243" s="84"/>
      <c r="S243" s="84"/>
      <c r="T243" s="84"/>
      <c r="U243" s="84"/>
      <c r="V243" s="84"/>
      <c r="W243" s="84"/>
      <c r="X243" s="84"/>
      <c r="Y243" s="84"/>
      <c r="Z243" s="84"/>
      <c r="AA243" s="84"/>
    </row>
    <row r="244" spans="2:27">
      <c r="B244" s="52" t="s">
        <v>100</v>
      </c>
      <c r="D244" s="52" t="s">
        <v>161</v>
      </c>
      <c r="H244" s="54"/>
      <c r="I244" s="54"/>
      <c r="J244" s="68">
        <f t="shared" si="23"/>
        <v>0</v>
      </c>
      <c r="K244" s="68">
        <f t="shared" si="23"/>
        <v>1.3239954531502229</v>
      </c>
      <c r="L244" s="68">
        <f t="shared" si="23"/>
        <v>0</v>
      </c>
      <c r="M244" s="68">
        <f t="shared" si="23"/>
        <v>1.1051980222647217</v>
      </c>
      <c r="N244" s="68">
        <f t="shared" si="23"/>
        <v>0</v>
      </c>
      <c r="O244" s="68">
        <f t="shared" si="23"/>
        <v>0</v>
      </c>
      <c r="R244" s="84"/>
      <c r="S244" s="84"/>
      <c r="T244" s="84"/>
      <c r="U244" s="84"/>
      <c r="V244" s="84"/>
      <c r="W244" s="84"/>
      <c r="X244" s="84"/>
      <c r="Y244" s="84"/>
      <c r="Z244" s="84"/>
      <c r="AA244" s="84"/>
    </row>
    <row r="245" spans="2:27">
      <c r="B245" s="52" t="s">
        <v>110</v>
      </c>
      <c r="D245" s="52" t="s">
        <v>161</v>
      </c>
      <c r="H245" s="54"/>
      <c r="I245" s="54"/>
      <c r="J245" s="68">
        <f t="shared" si="23"/>
        <v>0</v>
      </c>
      <c r="K245" s="68">
        <f t="shared" si="23"/>
        <v>6.5254061619546702E-3</v>
      </c>
      <c r="L245" s="68">
        <f t="shared" si="23"/>
        <v>0</v>
      </c>
      <c r="M245" s="68">
        <f t="shared" si="23"/>
        <v>6.8012185985521344E-3</v>
      </c>
      <c r="N245" s="68">
        <f t="shared" si="23"/>
        <v>0</v>
      </c>
      <c r="O245" s="68">
        <f t="shared" si="23"/>
        <v>0</v>
      </c>
      <c r="R245" s="84"/>
      <c r="S245" s="84"/>
      <c r="T245" s="84"/>
      <c r="U245" s="84"/>
      <c r="V245" s="84"/>
      <c r="W245" s="84"/>
      <c r="X245" s="84"/>
      <c r="Y245" s="84"/>
      <c r="Z245" s="84"/>
      <c r="AA245" s="84"/>
    </row>
    <row r="246" spans="2:27">
      <c r="H246" s="54"/>
      <c r="I246" s="54"/>
      <c r="J246" s="69"/>
      <c r="K246" s="69"/>
      <c r="L246" s="69"/>
      <c r="M246" s="69"/>
      <c r="N246" s="69"/>
      <c r="O246" s="69"/>
      <c r="R246" s="84"/>
      <c r="S246" s="84"/>
      <c r="T246" s="84"/>
      <c r="U246" s="84"/>
      <c r="V246" s="84"/>
      <c r="W246" s="84"/>
      <c r="X246" s="84"/>
      <c r="Y246" s="84"/>
      <c r="Z246" s="84"/>
      <c r="AA246" s="84"/>
    </row>
    <row r="247" spans="2:27">
      <c r="B247" s="56" t="s">
        <v>80</v>
      </c>
      <c r="H247" s="54"/>
      <c r="I247" s="54"/>
      <c r="J247" s="69"/>
      <c r="K247" s="69"/>
      <c r="L247" s="69"/>
      <c r="M247" s="69"/>
      <c r="N247" s="69"/>
      <c r="O247" s="69"/>
      <c r="R247" s="84"/>
      <c r="S247" s="84"/>
      <c r="T247" s="84"/>
      <c r="U247" s="84"/>
      <c r="V247" s="84"/>
      <c r="W247" s="84"/>
      <c r="X247" s="84"/>
      <c r="Y247" s="84"/>
      <c r="Z247" s="84"/>
      <c r="AA247" s="84"/>
    </row>
    <row r="248" spans="2:27">
      <c r="B248" s="52" t="s">
        <v>98</v>
      </c>
      <c r="D248" s="52" t="s">
        <v>161</v>
      </c>
      <c r="H248" s="54"/>
      <c r="I248" s="54"/>
      <c r="J248" s="67">
        <f t="shared" ref="J248:O248" si="24">J137</f>
        <v>441</v>
      </c>
      <c r="K248" s="67">
        <f t="shared" si="24"/>
        <v>441</v>
      </c>
      <c r="L248" s="67">
        <f t="shared" si="24"/>
        <v>441</v>
      </c>
      <c r="M248" s="67">
        <f t="shared" si="24"/>
        <v>441</v>
      </c>
      <c r="N248" s="67">
        <f t="shared" si="24"/>
        <v>441.00000000000006</v>
      </c>
      <c r="O248" s="67">
        <f t="shared" si="24"/>
        <v>441</v>
      </c>
      <c r="R248" s="84"/>
      <c r="S248" s="84"/>
      <c r="T248" s="84"/>
      <c r="U248" s="84"/>
      <c r="V248" s="84"/>
      <c r="W248" s="84"/>
      <c r="X248" s="84"/>
      <c r="Y248" s="84"/>
      <c r="Z248" s="84"/>
      <c r="AA248" s="84"/>
    </row>
    <row r="249" spans="2:27">
      <c r="B249" s="52" t="s">
        <v>109</v>
      </c>
      <c r="D249" s="52" t="s">
        <v>161</v>
      </c>
      <c r="H249" s="54"/>
      <c r="I249" s="54"/>
      <c r="J249" s="68">
        <f t="shared" ref="J249:O251" si="25">J138*(1-J$201)</f>
        <v>11.320866637913035</v>
      </c>
      <c r="K249" s="68">
        <f t="shared" si="25"/>
        <v>13.523667842891564</v>
      </c>
      <c r="L249" s="68">
        <f t="shared" si="25"/>
        <v>13.261062422244791</v>
      </c>
      <c r="M249" s="68">
        <f t="shared" si="25"/>
        <v>15.568414448248244</v>
      </c>
      <c r="N249" s="68">
        <f t="shared" si="25"/>
        <v>11.670128024151197</v>
      </c>
      <c r="O249" s="68">
        <f t="shared" si="25"/>
        <v>14.663996728773615</v>
      </c>
      <c r="R249" s="84"/>
      <c r="S249" s="84"/>
      <c r="T249" s="84"/>
      <c r="U249" s="84"/>
      <c r="V249" s="84"/>
      <c r="W249" s="84"/>
      <c r="X249" s="84"/>
      <c r="Y249" s="84"/>
      <c r="Z249" s="84"/>
      <c r="AA249" s="84"/>
    </row>
    <row r="250" spans="2:27">
      <c r="B250" s="52" t="s">
        <v>100</v>
      </c>
      <c r="D250" s="52" t="s">
        <v>161</v>
      </c>
      <c r="H250" s="54"/>
      <c r="I250" s="54"/>
      <c r="J250" s="68">
        <f t="shared" si="25"/>
        <v>1.3996841613321687</v>
      </c>
      <c r="K250" s="68">
        <f t="shared" si="25"/>
        <v>1.6077087645395565</v>
      </c>
      <c r="L250" s="68">
        <f t="shared" si="25"/>
        <v>1.5800026164244827</v>
      </c>
      <c r="M250" s="68">
        <f t="shared" si="25"/>
        <v>1.647170129336845</v>
      </c>
      <c r="N250" s="68">
        <f t="shared" si="25"/>
        <v>1.4653511807225728</v>
      </c>
      <c r="O250" s="68">
        <f t="shared" si="25"/>
        <v>1.7551494388553353</v>
      </c>
      <c r="R250" s="84"/>
      <c r="S250" s="84"/>
      <c r="T250" s="84"/>
      <c r="U250" s="84"/>
      <c r="V250" s="84"/>
      <c r="W250" s="84"/>
      <c r="X250" s="84"/>
      <c r="Y250" s="84"/>
      <c r="Z250" s="84"/>
      <c r="AA250" s="84"/>
    </row>
    <row r="251" spans="2:27">
      <c r="B251" s="52" t="s">
        <v>110</v>
      </c>
      <c r="D251" s="52" t="s">
        <v>161</v>
      </c>
      <c r="H251" s="54"/>
      <c r="I251" s="54"/>
      <c r="J251" s="68">
        <f t="shared" si="25"/>
        <v>7.6726698038032818E-3</v>
      </c>
      <c r="K251" s="68">
        <f t="shared" si="25"/>
        <v>1.049739252140534E-2</v>
      </c>
      <c r="L251" s="68">
        <f t="shared" si="25"/>
        <v>9.772270517769922E-3</v>
      </c>
      <c r="M251" s="68">
        <f t="shared" si="25"/>
        <v>7.7576399639735279E-3</v>
      </c>
      <c r="N251" s="68">
        <f t="shared" si="25"/>
        <v>8.9026095784848769E-3</v>
      </c>
      <c r="O251" s="68">
        <f t="shared" si="25"/>
        <v>1.163570701412299E-2</v>
      </c>
      <c r="R251" s="84"/>
      <c r="S251" s="84"/>
      <c r="T251" s="84"/>
      <c r="U251" s="84"/>
      <c r="V251" s="84"/>
      <c r="W251" s="84"/>
      <c r="X251" s="84"/>
      <c r="Y251" s="84"/>
      <c r="Z251" s="84"/>
      <c r="AA251" s="84"/>
    </row>
    <row r="252" spans="2:27">
      <c r="H252" s="54"/>
      <c r="I252" s="54"/>
      <c r="J252" s="69"/>
      <c r="K252" s="69"/>
      <c r="L252" s="69"/>
      <c r="M252" s="69"/>
      <c r="N252" s="69"/>
      <c r="O252" s="69"/>
      <c r="R252" s="84"/>
      <c r="S252" s="84"/>
      <c r="T252" s="84"/>
      <c r="U252" s="84"/>
      <c r="V252" s="84"/>
      <c r="W252" s="84"/>
      <c r="X252" s="84"/>
      <c r="Y252" s="84"/>
      <c r="Z252" s="84"/>
      <c r="AA252" s="84"/>
    </row>
    <row r="253" spans="2:27">
      <c r="B253" s="56" t="s">
        <v>111</v>
      </c>
      <c r="H253" s="54"/>
      <c r="I253" s="54"/>
      <c r="J253" s="69"/>
      <c r="K253" s="69"/>
      <c r="L253" s="69"/>
      <c r="M253" s="69"/>
      <c r="N253" s="69"/>
      <c r="O253" s="69"/>
      <c r="R253" s="84"/>
      <c r="S253" s="84"/>
      <c r="T253" s="84"/>
      <c r="U253" s="84"/>
      <c r="V253" s="84"/>
      <c r="W253" s="84"/>
      <c r="X253" s="84"/>
      <c r="Y253" s="84"/>
      <c r="Z253" s="84"/>
      <c r="AA253" s="84"/>
    </row>
    <row r="254" spans="2:27">
      <c r="B254" s="52" t="s">
        <v>98</v>
      </c>
      <c r="D254" s="52" t="s">
        <v>161</v>
      </c>
      <c r="H254" s="54"/>
      <c r="I254" s="54"/>
      <c r="J254" s="67">
        <f t="shared" ref="J254:O254" si="26">J143</f>
        <v>441</v>
      </c>
      <c r="K254" s="67">
        <f t="shared" si="26"/>
        <v>441</v>
      </c>
      <c r="L254" s="67">
        <f t="shared" si="26"/>
        <v>441</v>
      </c>
      <c r="M254" s="67">
        <f t="shared" si="26"/>
        <v>441</v>
      </c>
      <c r="N254" s="67">
        <f t="shared" si="26"/>
        <v>441</v>
      </c>
      <c r="O254" s="67">
        <f t="shared" si="26"/>
        <v>441</v>
      </c>
      <c r="R254" s="84"/>
      <c r="S254" s="84"/>
      <c r="T254" s="84"/>
      <c r="U254" s="84"/>
      <c r="V254" s="84"/>
      <c r="W254" s="84"/>
      <c r="X254" s="84"/>
      <c r="Y254" s="84"/>
      <c r="Z254" s="84"/>
      <c r="AA254" s="84"/>
    </row>
    <row r="255" spans="2:27">
      <c r="B255" s="52" t="s">
        <v>109</v>
      </c>
      <c r="D255" s="52" t="s">
        <v>161</v>
      </c>
      <c r="H255" s="54"/>
      <c r="I255" s="54"/>
      <c r="J255" s="68">
        <f t="shared" ref="J255:O257" si="27">J144*(1-J$201)</f>
        <v>13.900670478109632</v>
      </c>
      <c r="K255" s="68">
        <f t="shared" si="27"/>
        <v>22.914578449878501</v>
      </c>
      <c r="L255" s="68">
        <f t="shared" si="27"/>
        <v>21.042346984057851</v>
      </c>
      <c r="M255" s="68">
        <f t="shared" si="27"/>
        <v>19.234696349030255</v>
      </c>
      <c r="N255" s="68">
        <f t="shared" si="27"/>
        <v>22.982316075559186</v>
      </c>
      <c r="O255" s="68">
        <f t="shared" si="27"/>
        <v>28.541904484518099</v>
      </c>
      <c r="R255" s="84"/>
      <c r="S255" s="84"/>
      <c r="T255" s="84"/>
      <c r="U255" s="84"/>
      <c r="V255" s="84"/>
      <c r="W255" s="84"/>
      <c r="X255" s="84"/>
      <c r="Y255" s="84"/>
      <c r="Z255" s="84"/>
      <c r="AA255" s="84"/>
    </row>
    <row r="256" spans="2:27">
      <c r="B256" s="52" t="s">
        <v>100</v>
      </c>
      <c r="D256" s="52" t="s">
        <v>161</v>
      </c>
      <c r="H256" s="54"/>
      <c r="I256" s="54"/>
      <c r="J256" s="68">
        <f t="shared" si="27"/>
        <v>1.3996841613321687</v>
      </c>
      <c r="K256" s="68">
        <f t="shared" si="27"/>
        <v>1.6077087645395565</v>
      </c>
      <c r="L256" s="68">
        <f t="shared" si="27"/>
        <v>1.5800026164244827</v>
      </c>
      <c r="M256" s="68">
        <f t="shared" si="27"/>
        <v>1.647170129336845</v>
      </c>
      <c r="N256" s="68">
        <f t="shared" si="27"/>
        <v>1.4653511807225728</v>
      </c>
      <c r="O256" s="68">
        <f t="shared" si="27"/>
        <v>1.7551494388553353</v>
      </c>
      <c r="R256" s="84"/>
      <c r="S256" s="84"/>
      <c r="T256" s="84"/>
      <c r="U256" s="84"/>
      <c r="V256" s="84"/>
      <c r="W256" s="84"/>
      <c r="X256" s="84"/>
      <c r="Y256" s="84"/>
      <c r="Z256" s="84"/>
      <c r="AA256" s="84"/>
    </row>
    <row r="257" spans="2:27">
      <c r="B257" s="52" t="s">
        <v>110</v>
      </c>
      <c r="D257" s="52" t="s">
        <v>161</v>
      </c>
      <c r="H257" s="54"/>
      <c r="I257" s="54"/>
      <c r="J257" s="68">
        <f t="shared" si="27"/>
        <v>7.6726698038032818E-3</v>
      </c>
      <c r="K257" s="68">
        <f t="shared" si="27"/>
        <v>1.049739252140534E-2</v>
      </c>
      <c r="L257" s="68">
        <f t="shared" si="27"/>
        <v>9.772270517769922E-3</v>
      </c>
      <c r="M257" s="68">
        <f t="shared" si="27"/>
        <v>7.7576399639735279E-3</v>
      </c>
      <c r="N257" s="68">
        <f t="shared" si="27"/>
        <v>8.9026095784848769E-3</v>
      </c>
      <c r="O257" s="68">
        <f t="shared" si="27"/>
        <v>1.163570701412299E-2</v>
      </c>
      <c r="R257" s="84"/>
      <c r="S257" s="84"/>
      <c r="T257" s="84"/>
      <c r="U257" s="84"/>
      <c r="V257" s="84"/>
      <c r="W257" s="84"/>
      <c r="X257" s="84"/>
      <c r="Y257" s="84"/>
      <c r="Z257" s="84"/>
      <c r="AA257" s="84"/>
    </row>
    <row r="258" spans="2:27">
      <c r="H258" s="54"/>
      <c r="I258" s="54"/>
      <c r="J258" s="69"/>
      <c r="K258" s="69"/>
      <c r="L258" s="69"/>
      <c r="M258" s="69"/>
      <c r="N258" s="69"/>
      <c r="O258" s="69"/>
      <c r="R258" s="84"/>
      <c r="S258" s="84"/>
      <c r="T258" s="84"/>
      <c r="U258" s="84"/>
      <c r="V258" s="84"/>
      <c r="W258" s="84"/>
      <c r="X258" s="84"/>
      <c r="Y258" s="84"/>
      <c r="Z258" s="84"/>
      <c r="AA258" s="84"/>
    </row>
    <row r="259" spans="2:27">
      <c r="H259" s="54"/>
      <c r="I259" s="54"/>
      <c r="J259" s="69"/>
      <c r="K259" s="69"/>
      <c r="L259" s="69"/>
      <c r="M259" s="69"/>
      <c r="N259" s="69"/>
      <c r="O259" s="69"/>
      <c r="R259" s="84"/>
      <c r="S259" s="84"/>
      <c r="T259" s="84"/>
      <c r="U259" s="84"/>
      <c r="V259" s="84"/>
      <c r="W259" s="84"/>
      <c r="X259" s="84"/>
      <c r="Y259" s="84"/>
      <c r="Z259" s="84"/>
      <c r="AA259" s="84"/>
    </row>
    <row r="260" spans="2:27">
      <c r="B260" s="55" t="s">
        <v>112</v>
      </c>
      <c r="H260" s="54"/>
      <c r="I260" s="54"/>
      <c r="J260" s="69"/>
      <c r="K260" s="69"/>
      <c r="L260" s="69"/>
      <c r="M260" s="69"/>
      <c r="N260" s="69"/>
      <c r="O260" s="69"/>
      <c r="R260" s="84"/>
      <c r="S260" s="84"/>
      <c r="T260" s="84"/>
      <c r="U260" s="84"/>
      <c r="V260" s="84"/>
      <c r="W260" s="84"/>
      <c r="X260" s="84"/>
      <c r="Y260" s="84"/>
      <c r="Z260" s="84"/>
      <c r="AA260" s="84"/>
    </row>
    <row r="261" spans="2:27">
      <c r="H261" s="54"/>
      <c r="I261" s="54"/>
      <c r="J261" s="69"/>
      <c r="K261" s="69"/>
      <c r="L261" s="69"/>
      <c r="M261" s="69"/>
      <c r="N261" s="69"/>
      <c r="O261" s="69"/>
      <c r="R261" s="84"/>
      <c r="S261" s="84"/>
      <c r="T261" s="84"/>
      <c r="U261" s="84"/>
      <c r="V261" s="84"/>
      <c r="W261" s="84"/>
      <c r="X261" s="84"/>
      <c r="Y261" s="84"/>
      <c r="Z261" s="84"/>
      <c r="AA261" s="84"/>
    </row>
    <row r="262" spans="2:27">
      <c r="B262" s="56" t="s">
        <v>113</v>
      </c>
      <c r="H262" s="54"/>
      <c r="I262" s="54"/>
      <c r="J262" s="69"/>
      <c r="K262" s="69"/>
      <c r="L262" s="69"/>
      <c r="M262" s="69"/>
      <c r="N262" s="69"/>
      <c r="O262" s="69"/>
      <c r="R262" s="84"/>
      <c r="S262" s="84"/>
      <c r="T262" s="84"/>
      <c r="U262" s="84"/>
      <c r="V262" s="84"/>
      <c r="W262" s="84"/>
      <c r="X262" s="84"/>
      <c r="Y262" s="84"/>
      <c r="Z262" s="84"/>
      <c r="AA262" s="84"/>
    </row>
    <row r="263" spans="2:27">
      <c r="B263" s="52" t="s">
        <v>98</v>
      </c>
      <c r="D263" s="52" t="s">
        <v>161</v>
      </c>
      <c r="H263" s="54"/>
      <c r="I263" s="54"/>
      <c r="J263" s="67">
        <f t="shared" ref="J263:O263" si="28">J152</f>
        <v>18</v>
      </c>
      <c r="K263" s="67">
        <f t="shared" si="28"/>
        <v>18</v>
      </c>
      <c r="L263" s="67">
        <f t="shared" si="28"/>
        <v>18</v>
      </c>
      <c r="M263" s="67">
        <f t="shared" si="28"/>
        <v>18</v>
      </c>
      <c r="N263" s="67">
        <f t="shared" si="28"/>
        <v>18</v>
      </c>
      <c r="O263" s="67">
        <f t="shared" si="28"/>
        <v>18</v>
      </c>
      <c r="R263" s="84"/>
      <c r="S263" s="84"/>
      <c r="T263" s="84"/>
      <c r="U263" s="84"/>
      <c r="V263" s="84"/>
      <c r="W263" s="84"/>
      <c r="X263" s="84"/>
      <c r="Y263" s="84"/>
      <c r="Z263" s="84"/>
      <c r="AA263" s="84"/>
    </row>
    <row r="264" spans="2:27">
      <c r="B264" s="52" t="s">
        <v>109</v>
      </c>
      <c r="D264" s="52" t="s">
        <v>161</v>
      </c>
      <c r="H264" s="54"/>
      <c r="I264" s="54"/>
      <c r="J264" s="68">
        <f t="shared" ref="J264:O266" si="29">J153*(1-J$201)</f>
        <v>8.0241411438569568</v>
      </c>
      <c r="K264" s="68">
        <f t="shared" si="29"/>
        <v>8.0007153811792051</v>
      </c>
      <c r="L264" s="68">
        <f t="shared" si="29"/>
        <v>7.8908801190216948</v>
      </c>
      <c r="M264" s="68">
        <f t="shared" si="29"/>
        <v>9.0541222593225275</v>
      </c>
      <c r="N264" s="68">
        <f t="shared" si="29"/>
        <v>8.5811978388575163</v>
      </c>
      <c r="O264" s="68">
        <f t="shared" si="29"/>
        <v>9.8275181441282768</v>
      </c>
      <c r="R264" s="84"/>
      <c r="S264" s="84"/>
      <c r="T264" s="84"/>
      <c r="U264" s="84"/>
      <c r="V264" s="84"/>
      <c r="W264" s="84"/>
      <c r="X264" s="84"/>
      <c r="Y264" s="84"/>
      <c r="Z264" s="84"/>
      <c r="AA264" s="84"/>
    </row>
    <row r="265" spans="2:27">
      <c r="B265" s="52" t="s">
        <v>114</v>
      </c>
      <c r="D265" s="52" t="s">
        <v>161</v>
      </c>
      <c r="H265" s="54"/>
      <c r="I265" s="54"/>
      <c r="J265" s="68">
        <f t="shared" si="29"/>
        <v>1.4084078817940271E-2</v>
      </c>
      <c r="K265" s="68">
        <f t="shared" si="29"/>
        <v>1.8346794136510233E-2</v>
      </c>
      <c r="L265" s="68">
        <f t="shared" si="29"/>
        <v>1.7443959522374351E-2</v>
      </c>
      <c r="M265" s="68">
        <f t="shared" si="29"/>
        <v>1.5515279927947056E-2</v>
      </c>
      <c r="N265" s="68">
        <f t="shared" si="29"/>
        <v>2.1568177844782949E-2</v>
      </c>
      <c r="O265" s="68">
        <f t="shared" si="29"/>
        <v>2.1235165300774454E-2</v>
      </c>
      <c r="R265" s="84"/>
      <c r="S265" s="84"/>
      <c r="T265" s="84"/>
      <c r="U265" s="84"/>
      <c r="V265" s="84"/>
      <c r="W265" s="84"/>
      <c r="X265" s="84"/>
      <c r="Y265" s="84"/>
      <c r="Z265" s="84"/>
      <c r="AA265" s="84"/>
    </row>
    <row r="266" spans="2:27">
      <c r="B266" s="52" t="s">
        <v>110</v>
      </c>
      <c r="D266" s="52" t="s">
        <v>161</v>
      </c>
      <c r="H266" s="54"/>
      <c r="I266" s="54"/>
      <c r="J266" s="68">
        <f t="shared" si="29"/>
        <v>3.552551224226725E-2</v>
      </c>
      <c r="K266" s="68">
        <f t="shared" si="29"/>
        <v>3.5085879508480911E-2</v>
      </c>
      <c r="L266" s="68">
        <f t="shared" si="29"/>
        <v>3.3152656055611976E-2</v>
      </c>
      <c r="M266" s="68">
        <f t="shared" si="29"/>
        <v>2.9117717125051325E-2</v>
      </c>
      <c r="N266" s="68">
        <f t="shared" si="29"/>
        <v>3.4967981952605552E-2</v>
      </c>
      <c r="O266" s="68">
        <f t="shared" si="29"/>
        <v>4.101586722478353E-2</v>
      </c>
      <c r="R266" s="84"/>
      <c r="S266" s="84"/>
      <c r="T266" s="84"/>
      <c r="U266" s="84"/>
      <c r="V266" s="84"/>
      <c r="W266" s="84"/>
      <c r="X266" s="84"/>
      <c r="Y266" s="84"/>
      <c r="Z266" s="84"/>
      <c r="AA266" s="84"/>
    </row>
    <row r="267" spans="2:27">
      <c r="H267" s="54"/>
      <c r="I267" s="54"/>
      <c r="J267" s="69"/>
      <c r="K267" s="69"/>
      <c r="L267" s="69"/>
      <c r="M267" s="69"/>
      <c r="N267" s="69"/>
      <c r="O267" s="69"/>
      <c r="R267" s="84"/>
      <c r="S267" s="84"/>
      <c r="T267" s="84"/>
      <c r="U267" s="84"/>
      <c r="V267" s="84"/>
      <c r="W267" s="84"/>
      <c r="X267" s="84"/>
      <c r="Y267" s="84"/>
      <c r="Z267" s="84"/>
      <c r="AA267" s="84"/>
    </row>
    <row r="268" spans="2:27">
      <c r="B268" s="56" t="s">
        <v>115</v>
      </c>
      <c r="H268" s="54"/>
      <c r="I268" s="54"/>
      <c r="J268" s="69"/>
      <c r="K268" s="69"/>
      <c r="L268" s="69"/>
      <c r="M268" s="69"/>
      <c r="N268" s="69"/>
      <c r="O268" s="69"/>
      <c r="R268" s="84"/>
      <c r="S268" s="84"/>
      <c r="T268" s="84"/>
      <c r="U268" s="84"/>
      <c r="V268" s="84"/>
      <c r="W268" s="84"/>
      <c r="X268" s="84"/>
      <c r="Y268" s="84"/>
      <c r="Z268" s="84"/>
      <c r="AA268" s="84"/>
    </row>
    <row r="269" spans="2:27">
      <c r="B269" s="52" t="s">
        <v>116</v>
      </c>
      <c r="D269" s="52" t="s">
        <v>161</v>
      </c>
      <c r="H269" s="54"/>
      <c r="I269" s="54"/>
      <c r="J269" s="67">
        <f t="shared" ref="J269:O270" si="30">J158</f>
        <v>0.54</v>
      </c>
      <c r="K269" s="67">
        <f t="shared" si="30"/>
        <v>0.54</v>
      </c>
      <c r="L269" s="67">
        <f t="shared" si="30"/>
        <v>0.51100000000000001</v>
      </c>
      <c r="M269" s="67">
        <f t="shared" si="30"/>
        <v>0.54</v>
      </c>
      <c r="N269" s="67">
        <f t="shared" si="30"/>
        <v>0.54</v>
      </c>
      <c r="O269" s="67">
        <f t="shared" si="30"/>
        <v>0.54</v>
      </c>
      <c r="R269" s="84"/>
      <c r="S269" s="84"/>
      <c r="T269" s="84"/>
      <c r="U269" s="84"/>
      <c r="V269" s="84"/>
      <c r="W269" s="84"/>
      <c r="X269" s="84"/>
      <c r="Y269" s="84"/>
      <c r="Z269" s="84"/>
      <c r="AA269" s="84"/>
    </row>
    <row r="270" spans="2:27">
      <c r="B270" s="52" t="s">
        <v>117</v>
      </c>
      <c r="D270" s="52" t="s">
        <v>161</v>
      </c>
      <c r="H270" s="54"/>
      <c r="I270" s="54"/>
      <c r="J270" s="67">
        <f t="shared" si="30"/>
        <v>18</v>
      </c>
      <c r="K270" s="67">
        <f t="shared" si="30"/>
        <v>18</v>
      </c>
      <c r="L270" s="67">
        <f t="shared" si="30"/>
        <v>17.994499999999999</v>
      </c>
      <c r="M270" s="67">
        <f t="shared" si="30"/>
        <v>18</v>
      </c>
      <c r="N270" s="67">
        <f t="shared" si="30"/>
        <v>18.000000000000004</v>
      </c>
      <c r="O270" s="67">
        <f t="shared" si="30"/>
        <v>18</v>
      </c>
      <c r="R270" s="84"/>
      <c r="S270" s="84"/>
      <c r="T270" s="84"/>
      <c r="U270" s="84"/>
      <c r="V270" s="84"/>
      <c r="W270" s="84"/>
      <c r="X270" s="84"/>
      <c r="Y270" s="84"/>
      <c r="Z270" s="84"/>
      <c r="AA270" s="84"/>
    </row>
    <row r="271" spans="2:27">
      <c r="H271" s="54"/>
      <c r="I271" s="54"/>
      <c r="J271" s="69"/>
      <c r="K271" s="69"/>
      <c r="L271" s="69"/>
      <c r="M271" s="69"/>
      <c r="N271" s="69"/>
      <c r="O271" s="69"/>
      <c r="R271" s="84"/>
      <c r="S271" s="84"/>
      <c r="T271" s="84"/>
      <c r="U271" s="84"/>
      <c r="V271" s="84"/>
      <c r="W271" s="84"/>
      <c r="X271" s="84"/>
      <c r="Y271" s="84"/>
      <c r="Z271" s="84"/>
      <c r="AA271" s="84"/>
    </row>
    <row r="272" spans="2:27">
      <c r="B272" s="56" t="s">
        <v>118</v>
      </c>
      <c r="H272" s="54"/>
      <c r="I272" s="54"/>
      <c r="J272" s="69"/>
      <c r="K272" s="69"/>
      <c r="L272" s="69"/>
      <c r="M272" s="69"/>
      <c r="N272" s="69"/>
      <c r="O272" s="69"/>
      <c r="R272" s="84"/>
      <c r="S272" s="84"/>
      <c r="T272" s="84"/>
      <c r="U272" s="84"/>
      <c r="V272" s="84"/>
      <c r="W272" s="84"/>
      <c r="X272" s="84"/>
      <c r="Y272" s="84"/>
      <c r="Z272" s="84"/>
      <c r="AA272" s="84"/>
    </row>
    <row r="273" spans="2:28">
      <c r="B273" s="52" t="s">
        <v>119</v>
      </c>
      <c r="D273" s="52" t="s">
        <v>161</v>
      </c>
      <c r="H273" s="54"/>
      <c r="I273" s="54"/>
      <c r="J273" s="68">
        <f t="shared" ref="J273:O279" si="31">J162*(1-J$201)</f>
        <v>1661.3957751879245</v>
      </c>
      <c r="K273" s="68">
        <f t="shared" si="31"/>
        <v>1776.0453292972277</v>
      </c>
      <c r="L273" s="68">
        <f t="shared" si="31"/>
        <v>1800.107027151824</v>
      </c>
      <c r="M273" s="68">
        <f t="shared" si="31"/>
        <v>1458.0112370646139</v>
      </c>
      <c r="N273" s="68">
        <f t="shared" si="31"/>
        <v>1716.2762795635795</v>
      </c>
      <c r="O273" s="68">
        <f t="shared" si="31"/>
        <v>2178.3982814940587</v>
      </c>
      <c r="R273" s="84"/>
      <c r="S273" s="84"/>
      <c r="T273" s="84"/>
      <c r="U273" s="84"/>
      <c r="V273" s="84"/>
      <c r="W273" s="84"/>
      <c r="X273" s="84"/>
      <c r="Y273" s="84"/>
      <c r="Z273" s="84"/>
      <c r="AA273" s="84"/>
    </row>
    <row r="274" spans="2:28">
      <c r="B274" s="52" t="s">
        <v>120</v>
      </c>
      <c r="D274" s="52" t="s">
        <v>161</v>
      </c>
      <c r="H274" s="54"/>
      <c r="I274" s="54"/>
      <c r="J274" s="68">
        <f t="shared" si="31"/>
        <v>1329.1166201503395</v>
      </c>
      <c r="K274" s="68">
        <f t="shared" si="31"/>
        <v>1420.8362634377822</v>
      </c>
      <c r="L274" s="68">
        <f t="shared" si="31"/>
        <v>1440.0856217214593</v>
      </c>
      <c r="M274" s="68">
        <f t="shared" si="31"/>
        <v>1166.4089896516912</v>
      </c>
      <c r="N274" s="68">
        <f t="shared" si="31"/>
        <v>1373.0210236508635</v>
      </c>
      <c r="O274" s="68">
        <f t="shared" si="31"/>
        <v>1742.7186251952473</v>
      </c>
      <c r="R274" s="84"/>
      <c r="S274" s="84"/>
      <c r="T274" s="84"/>
      <c r="U274" s="84"/>
      <c r="V274" s="84"/>
      <c r="W274" s="84"/>
      <c r="X274" s="84"/>
      <c r="Y274" s="84"/>
      <c r="Z274" s="84"/>
      <c r="AA274" s="84"/>
    </row>
    <row r="275" spans="2:28">
      <c r="B275" s="52" t="s">
        <v>121</v>
      </c>
      <c r="D275" s="52" t="s">
        <v>161</v>
      </c>
      <c r="H275" s="54"/>
      <c r="I275" s="54"/>
      <c r="J275" s="68">
        <f t="shared" si="31"/>
        <v>996.83746511275467</v>
      </c>
      <c r="K275" s="68">
        <f t="shared" si="31"/>
        <v>1065.6271975783368</v>
      </c>
      <c r="L275" s="68">
        <f t="shared" si="31"/>
        <v>1080.0642162910945</v>
      </c>
      <c r="M275" s="68">
        <f t="shared" si="31"/>
        <v>874.80674223876827</v>
      </c>
      <c r="N275" s="68">
        <f t="shared" si="31"/>
        <v>1029.7657677381476</v>
      </c>
      <c r="O275" s="68">
        <f t="shared" si="31"/>
        <v>1307.0389688964353</v>
      </c>
      <c r="R275" s="84"/>
      <c r="S275" s="84"/>
      <c r="T275" s="84"/>
      <c r="U275" s="84"/>
      <c r="V275" s="84"/>
      <c r="W275" s="84"/>
      <c r="X275" s="84"/>
      <c r="Y275" s="84"/>
      <c r="Z275" s="84"/>
      <c r="AA275" s="84"/>
    </row>
    <row r="276" spans="2:28">
      <c r="B276" s="52" t="s">
        <v>122</v>
      </c>
      <c r="D276" s="52" t="s">
        <v>161</v>
      </c>
      <c r="H276" s="54"/>
      <c r="I276" s="54"/>
      <c r="J276" s="68">
        <f t="shared" si="31"/>
        <v>664.55831007516974</v>
      </c>
      <c r="K276" s="68">
        <f t="shared" si="31"/>
        <v>710.41813171889112</v>
      </c>
      <c r="L276" s="68">
        <f t="shared" si="31"/>
        <v>720.04281086072967</v>
      </c>
      <c r="M276" s="68">
        <f t="shared" si="31"/>
        <v>583.20449482584559</v>
      </c>
      <c r="N276" s="68">
        <f t="shared" si="31"/>
        <v>686.51051182543176</v>
      </c>
      <c r="O276" s="68">
        <f t="shared" si="31"/>
        <v>871.35931259762367</v>
      </c>
      <c r="R276" s="84"/>
      <c r="S276" s="84"/>
      <c r="T276" s="84"/>
      <c r="U276" s="84"/>
      <c r="V276" s="84"/>
      <c r="W276" s="84"/>
      <c r="X276" s="84"/>
      <c r="Y276" s="84"/>
      <c r="Z276" s="84"/>
      <c r="AA276" s="84"/>
    </row>
    <row r="277" spans="2:28">
      <c r="B277" s="52" t="s">
        <v>147</v>
      </c>
      <c r="D277" s="52" t="s">
        <v>161</v>
      </c>
      <c r="H277" s="54"/>
      <c r="I277" s="54"/>
      <c r="J277" s="68">
        <f t="shared" si="31"/>
        <v>132.91166201503395</v>
      </c>
      <c r="K277" s="68">
        <f t="shared" si="31"/>
        <v>142.08362634377823</v>
      </c>
      <c r="L277" s="68">
        <f t="shared" si="31"/>
        <v>144.00856217214593</v>
      </c>
      <c r="M277" s="68">
        <f t="shared" si="31"/>
        <v>116.6408989651691</v>
      </c>
      <c r="N277" s="68">
        <f t="shared" si="31"/>
        <v>137.30210236508634</v>
      </c>
      <c r="O277" s="68">
        <f t="shared" si="31"/>
        <v>174.27186251952472</v>
      </c>
      <c r="R277" s="84"/>
      <c r="S277" s="84"/>
      <c r="T277" s="84"/>
      <c r="U277" s="84"/>
      <c r="V277" s="84"/>
      <c r="W277" s="84"/>
      <c r="X277" s="84"/>
      <c r="Y277" s="84"/>
      <c r="Z277" s="84"/>
      <c r="AA277" s="84"/>
    </row>
    <row r="278" spans="2:28">
      <c r="B278" s="52" t="s">
        <v>148</v>
      </c>
      <c r="D278" s="52" t="s">
        <v>161</v>
      </c>
      <c r="H278" s="54"/>
      <c r="I278" s="54"/>
      <c r="J278" s="79">
        <f t="shared" si="31"/>
        <v>16.613957751879244</v>
      </c>
      <c r="K278" s="79">
        <f t="shared" si="31"/>
        <v>17.760453292972279</v>
      </c>
      <c r="L278" s="79">
        <f t="shared" si="31"/>
        <v>18.001070271518241</v>
      </c>
      <c r="M278" s="79">
        <f t="shared" si="31"/>
        <v>14.580112370646138</v>
      </c>
      <c r="N278" s="79">
        <f t="shared" si="31"/>
        <v>17.162762795635793</v>
      </c>
      <c r="O278" s="79">
        <f t="shared" si="31"/>
        <v>21.78398281494059</v>
      </c>
      <c r="R278" s="84"/>
      <c r="S278" s="84"/>
      <c r="T278" s="84"/>
      <c r="U278" s="84"/>
      <c r="V278" s="84"/>
      <c r="W278" s="84"/>
      <c r="X278" s="84"/>
      <c r="Y278" s="84"/>
      <c r="Z278" s="84"/>
      <c r="AA278" s="84"/>
    </row>
    <row r="279" spans="2:28">
      <c r="B279" s="52" t="s">
        <v>123</v>
      </c>
      <c r="D279" s="52" t="s">
        <v>161</v>
      </c>
      <c r="H279" s="54"/>
      <c r="I279" s="54"/>
      <c r="J279" s="68">
        <f t="shared" si="31"/>
        <v>1.6613957751879247</v>
      </c>
      <c r="K279" s="68">
        <f t="shared" si="31"/>
        <v>1.7760453292972278</v>
      </c>
      <c r="L279" s="68">
        <f t="shared" si="31"/>
        <v>1.800107027151824</v>
      </c>
      <c r="M279" s="68">
        <f t="shared" si="31"/>
        <v>1.4580112370646139</v>
      </c>
      <c r="N279" s="68">
        <f t="shared" si="31"/>
        <v>1.7162762795635795</v>
      </c>
      <c r="O279" s="68">
        <f t="shared" si="31"/>
        <v>2.1783982814940592</v>
      </c>
      <c r="R279" s="84"/>
      <c r="S279" s="84"/>
      <c r="T279" s="84"/>
      <c r="U279" s="84"/>
      <c r="V279" s="84"/>
      <c r="W279" s="84"/>
      <c r="X279" s="84"/>
      <c r="Y279" s="84"/>
      <c r="Z279" s="84"/>
      <c r="AA279" s="84"/>
    </row>
    <row r="280" spans="2:28">
      <c r="B280" s="52" t="s">
        <v>124</v>
      </c>
      <c r="H280" s="54"/>
      <c r="I280" s="54"/>
      <c r="J280" s="69"/>
      <c r="K280" s="69"/>
      <c r="L280" s="69"/>
      <c r="M280" s="69"/>
      <c r="N280" s="69"/>
      <c r="O280" s="69"/>
      <c r="R280" s="84"/>
      <c r="S280" s="84"/>
      <c r="T280" s="84"/>
      <c r="U280" s="84"/>
      <c r="V280" s="84"/>
      <c r="W280" s="84"/>
      <c r="X280" s="84"/>
      <c r="Y280" s="84"/>
      <c r="Z280" s="84"/>
      <c r="AA280" s="84"/>
    </row>
    <row r="281" spans="2:28">
      <c r="H281" s="54"/>
      <c r="I281" s="54"/>
      <c r="J281" s="69"/>
      <c r="K281" s="69"/>
      <c r="L281" s="69"/>
      <c r="M281" s="69"/>
      <c r="N281" s="69"/>
      <c r="O281" s="69"/>
      <c r="R281" s="84"/>
      <c r="S281" s="84"/>
      <c r="T281" s="84"/>
      <c r="U281" s="84"/>
      <c r="V281" s="84"/>
      <c r="W281" s="84"/>
      <c r="X281" s="84"/>
      <c r="Y281" s="84"/>
      <c r="Z281" s="84"/>
      <c r="AA281" s="84"/>
    </row>
    <row r="282" spans="2:28">
      <c r="H282" s="54"/>
      <c r="I282" s="54"/>
      <c r="J282" s="69"/>
      <c r="K282" s="69"/>
      <c r="L282" s="69"/>
      <c r="M282" s="69"/>
      <c r="N282" s="69"/>
      <c r="O282" s="69"/>
      <c r="R282" s="84"/>
      <c r="S282" s="84"/>
      <c r="T282" s="84"/>
      <c r="U282" s="84"/>
      <c r="V282" s="84"/>
      <c r="W282" s="84"/>
      <c r="X282" s="84"/>
      <c r="Y282" s="84"/>
      <c r="Z282" s="84"/>
      <c r="AA282" s="84"/>
    </row>
    <row r="283" spans="2:28">
      <c r="B283" s="55" t="s">
        <v>125</v>
      </c>
      <c r="H283" s="54"/>
      <c r="I283" s="54"/>
      <c r="J283" s="69"/>
      <c r="K283" s="69"/>
      <c r="L283" s="69"/>
      <c r="M283" s="69"/>
      <c r="N283" s="69"/>
      <c r="O283" s="69"/>
      <c r="R283" s="84"/>
      <c r="S283" s="84"/>
      <c r="T283" s="84"/>
      <c r="U283" s="84"/>
      <c r="V283" s="84"/>
      <c r="W283" s="84"/>
      <c r="X283" s="84"/>
      <c r="Y283" s="84"/>
      <c r="Z283" s="84"/>
      <c r="AA283" s="84"/>
    </row>
    <row r="284" spans="2:28">
      <c r="H284" s="54"/>
      <c r="I284" s="54"/>
      <c r="J284" s="69"/>
      <c r="K284" s="69"/>
      <c r="L284" s="69"/>
      <c r="M284" s="69"/>
      <c r="N284" s="69"/>
      <c r="O284" s="69"/>
      <c r="R284" s="84"/>
      <c r="S284" s="84"/>
      <c r="T284" s="84"/>
      <c r="U284" s="84"/>
      <c r="V284" s="84"/>
      <c r="W284" s="84"/>
      <c r="X284" s="84"/>
      <c r="Y284" s="84"/>
      <c r="Z284" s="84"/>
      <c r="AA284" s="84"/>
      <c r="AB284" s="84"/>
    </row>
    <row r="285" spans="2:28">
      <c r="B285" s="52" t="s">
        <v>126</v>
      </c>
      <c r="D285" s="52" t="s">
        <v>161</v>
      </c>
      <c r="H285" s="54"/>
      <c r="I285" s="54"/>
      <c r="J285" s="68">
        <f t="shared" ref="J285:O286" si="32">J173*(1-J$201)</f>
        <v>1.2087082567635308E-2</v>
      </c>
      <c r="K285" s="68">
        <f t="shared" si="32"/>
        <v>8.322257134087116E-3</v>
      </c>
      <c r="L285" s="68">
        <f t="shared" si="32"/>
        <v>0</v>
      </c>
      <c r="M285" s="68">
        <f t="shared" si="32"/>
        <v>8.2889851669854138E-3</v>
      </c>
      <c r="N285" s="68">
        <f t="shared" si="32"/>
        <v>8.0765942567697854E-3</v>
      </c>
      <c r="O285" s="68">
        <f t="shared" si="32"/>
        <v>0</v>
      </c>
      <c r="R285" s="84"/>
      <c r="S285" s="84"/>
      <c r="T285" s="84"/>
      <c r="U285" s="84"/>
      <c r="V285" s="84"/>
      <c r="W285" s="84"/>
      <c r="X285" s="84"/>
      <c r="Y285" s="84"/>
      <c r="Z285" s="84"/>
      <c r="AA285" s="84"/>
      <c r="AB285" s="84"/>
    </row>
    <row r="286" spans="2:28">
      <c r="B286" s="52" t="s">
        <v>127</v>
      </c>
      <c r="D286" s="52" t="s">
        <v>161</v>
      </c>
      <c r="H286" s="54"/>
      <c r="I286" s="54"/>
      <c r="J286" s="68">
        <f t="shared" si="32"/>
        <v>1.7972966252744676E-2</v>
      </c>
      <c r="K286" s="68">
        <f t="shared" si="32"/>
        <v>8.322257134087116E-3</v>
      </c>
      <c r="L286" s="68">
        <f t="shared" si="32"/>
        <v>0</v>
      </c>
      <c r="M286" s="68">
        <f t="shared" si="32"/>
        <v>1.2539746791080497E-2</v>
      </c>
      <c r="N286" s="68">
        <f t="shared" si="32"/>
        <v>8.0765942567697854E-3</v>
      </c>
      <c r="O286" s="68">
        <f t="shared" si="32"/>
        <v>0</v>
      </c>
      <c r="R286" s="84"/>
      <c r="S286" s="84"/>
      <c r="T286" s="84"/>
      <c r="U286" s="84"/>
      <c r="V286" s="84"/>
      <c r="W286" s="84"/>
      <c r="X286" s="84"/>
      <c r="Y286" s="84"/>
      <c r="Z286" s="84"/>
      <c r="AA286" s="84"/>
    </row>
    <row r="287" spans="2:28">
      <c r="H287" s="54"/>
      <c r="I287" s="54"/>
      <c r="R287" s="84"/>
      <c r="S287" s="84"/>
      <c r="T287" s="84"/>
      <c r="U287" s="84"/>
      <c r="V287" s="84"/>
      <c r="W287" s="84"/>
      <c r="X287" s="84"/>
      <c r="Y287" s="84"/>
      <c r="Z287" s="84"/>
      <c r="AA287" s="84"/>
    </row>
    <row r="289" spans="2:17" s="11" customFormat="1">
      <c r="B289" s="11" t="s">
        <v>160</v>
      </c>
    </row>
    <row r="291" spans="2:17">
      <c r="B291" s="55" t="s">
        <v>96</v>
      </c>
    </row>
    <row r="292" spans="2:17">
      <c r="B292" s="56"/>
    </row>
    <row r="293" spans="2:17">
      <c r="B293" s="57" t="s">
        <v>97</v>
      </c>
      <c r="Q293" s="61"/>
    </row>
    <row r="294" spans="2:17">
      <c r="B294" s="52" t="s">
        <v>98</v>
      </c>
      <c r="D294" t="s">
        <v>161</v>
      </c>
      <c r="F294"/>
      <c r="H294" s="3">
        <f>SUMPRODUCT(J15:O15,J209:O209)/H15</f>
        <v>2760</v>
      </c>
      <c r="J294" s="84"/>
    </row>
    <row r="295" spans="2:17">
      <c r="B295" s="52" t="s">
        <v>99</v>
      </c>
      <c r="D295" t="s">
        <v>161</v>
      </c>
      <c r="F295"/>
      <c r="H295" s="3">
        <f>SUMPRODUCT(J16:O16,J210:O210)/H16</f>
        <v>10.959555720863463</v>
      </c>
      <c r="J295" s="84"/>
    </row>
    <row r="296" spans="2:17">
      <c r="B296" s="52" t="s">
        <v>100</v>
      </c>
      <c r="D296" t="s">
        <v>161</v>
      </c>
      <c r="F296"/>
      <c r="H296" s="3">
        <f>SUMPRODUCT(J17:O17,J211:O211)/H17</f>
        <v>1.1324874244892247</v>
      </c>
      <c r="J296" s="84"/>
    </row>
    <row r="297" spans="2:17">
      <c r="H297" s="77"/>
      <c r="J297" s="84"/>
    </row>
    <row r="298" spans="2:17">
      <c r="B298" s="56" t="s">
        <v>101</v>
      </c>
      <c r="H298" s="77"/>
      <c r="J298" s="84"/>
    </row>
    <row r="299" spans="2:17">
      <c r="B299" s="52" t="s">
        <v>98</v>
      </c>
      <c r="D299" t="s">
        <v>161</v>
      </c>
      <c r="F299"/>
      <c r="H299" s="3">
        <f>SUMPRODUCT(J20:O20,J214:O214)/H20</f>
        <v>2760</v>
      </c>
      <c r="J299" s="84"/>
    </row>
    <row r="300" spans="2:17">
      <c r="B300" s="52" t="s">
        <v>99</v>
      </c>
      <c r="D300" t="s">
        <v>161</v>
      </c>
      <c r="F300"/>
      <c r="H300" s="3">
        <f>SUMPRODUCT(J21:O21,J215:O215)/H21</f>
        <v>5.4797778604317315</v>
      </c>
      <c r="J300" s="84"/>
    </row>
    <row r="301" spans="2:17">
      <c r="B301" s="52" t="s">
        <v>102</v>
      </c>
      <c r="D301" t="s">
        <v>161</v>
      </c>
      <c r="F301"/>
      <c r="H301" s="3">
        <f>SUMPRODUCT(J22:O22,J216:O216)/H22</f>
        <v>0.39198677628288325</v>
      </c>
      <c r="J301" s="84"/>
    </row>
    <row r="302" spans="2:17">
      <c r="H302" s="77"/>
      <c r="J302" s="84"/>
    </row>
    <row r="303" spans="2:17">
      <c r="B303" s="56" t="s">
        <v>103</v>
      </c>
      <c r="H303" s="77"/>
      <c r="J303" s="84"/>
    </row>
    <row r="304" spans="2:17">
      <c r="B304" s="52" t="s">
        <v>98</v>
      </c>
      <c r="D304" t="s">
        <v>161</v>
      </c>
      <c r="F304"/>
      <c r="H304" s="3">
        <f>SUMPRODUCT(J25:O25,J219:O219)/H25</f>
        <v>2760</v>
      </c>
      <c r="J304" s="84"/>
    </row>
    <row r="305" spans="2:10">
      <c r="B305" s="52" t="s">
        <v>99</v>
      </c>
      <c r="D305" t="s">
        <v>161</v>
      </c>
      <c r="F305"/>
      <c r="H305" s="3">
        <f>SUMPRODUCT(J26:O26,J220:O220)/H26</f>
        <v>20.470505171743081</v>
      </c>
      <c r="J305" s="84"/>
    </row>
    <row r="306" spans="2:10">
      <c r="B306" s="52" t="s">
        <v>100</v>
      </c>
      <c r="D306" t="s">
        <v>161</v>
      </c>
      <c r="F306"/>
      <c r="H306" s="3">
        <f>SUMPRODUCT(J27:O27,J221:O221)/H27</f>
        <v>2.3548527483738599</v>
      </c>
      <c r="J306" s="84"/>
    </row>
    <row r="307" spans="2:10">
      <c r="H307" s="77"/>
      <c r="J307" s="84"/>
    </row>
    <row r="308" spans="2:10">
      <c r="B308" s="56" t="s">
        <v>104</v>
      </c>
      <c r="H308" s="77"/>
      <c r="J308" s="84"/>
    </row>
    <row r="309" spans="2:10">
      <c r="B309" s="52" t="s">
        <v>98</v>
      </c>
      <c r="D309" t="s">
        <v>161</v>
      </c>
      <c r="F309"/>
      <c r="H309" s="3">
        <f>SUMPRODUCT(J30:O30,J224:O224)/H30</f>
        <v>2760</v>
      </c>
      <c r="J309" s="84"/>
    </row>
    <row r="310" spans="2:10">
      <c r="B310" s="52" t="s">
        <v>99</v>
      </c>
      <c r="D310" t="s">
        <v>161</v>
      </c>
      <c r="F310"/>
      <c r="H310" s="3">
        <f>SUMPRODUCT(J31:O31,J225:O225)/H31</f>
        <v>9.9774990999970168</v>
      </c>
      <c r="J310" s="84"/>
    </row>
    <row r="311" spans="2:10">
      <c r="B311" s="52" t="s">
        <v>102</v>
      </c>
      <c r="D311" t="s">
        <v>161</v>
      </c>
      <c r="F311"/>
      <c r="H311" s="3">
        <f>SUMPRODUCT(J32:O32,J226:O226)/H32</f>
        <v>0.77298969742638468</v>
      </c>
      <c r="J311" s="84"/>
    </row>
    <row r="312" spans="2:10">
      <c r="H312" s="77"/>
      <c r="J312" s="84"/>
    </row>
    <row r="313" spans="2:10">
      <c r="B313" s="56" t="s">
        <v>105</v>
      </c>
      <c r="H313" s="77"/>
      <c r="J313" s="84"/>
    </row>
    <row r="314" spans="2:10">
      <c r="B314" s="52" t="s">
        <v>98</v>
      </c>
      <c r="D314" t="s">
        <v>161</v>
      </c>
      <c r="F314"/>
      <c r="H314" s="3">
        <f>SUMPRODUCT(J35:O35,J229:O229)/H35</f>
        <v>2760</v>
      </c>
      <c r="J314" s="84"/>
    </row>
    <row r="315" spans="2:10">
      <c r="B315" s="52" t="s">
        <v>99</v>
      </c>
      <c r="D315" t="s">
        <v>161</v>
      </c>
      <c r="F315"/>
      <c r="H315" s="3">
        <f>SUMPRODUCT(J36:O36,J230:O230)/H36</f>
        <v>20.723404983848514</v>
      </c>
      <c r="J315" s="84"/>
    </row>
    <row r="316" spans="2:10">
      <c r="B316" s="52" t="s">
        <v>100</v>
      </c>
      <c r="D316" t="s">
        <v>161</v>
      </c>
      <c r="F316"/>
      <c r="H316" s="3">
        <f>SUMPRODUCT(J37:O37,J231:O231)/H37</f>
        <v>2.2825401031252808</v>
      </c>
      <c r="J316" s="84"/>
    </row>
    <row r="317" spans="2:10">
      <c r="H317" s="77"/>
      <c r="J317" s="84"/>
    </row>
    <row r="318" spans="2:10">
      <c r="B318" s="56" t="s">
        <v>106</v>
      </c>
      <c r="H318" s="77"/>
      <c r="J318" s="84"/>
    </row>
    <row r="319" spans="2:10">
      <c r="B319" s="52" t="s">
        <v>98</v>
      </c>
      <c r="D319" t="s">
        <v>161</v>
      </c>
      <c r="F319"/>
      <c r="H319" s="3">
        <f>SUMPRODUCT(J40:O40,J234:O234)/H40</f>
        <v>2760</v>
      </c>
      <c r="J319" s="84"/>
    </row>
    <row r="320" spans="2:10">
      <c r="B320" s="52" t="s">
        <v>99</v>
      </c>
      <c r="D320" t="s">
        <v>161</v>
      </c>
      <c r="F320"/>
      <c r="H320" s="3">
        <f>SUMPRODUCT(J41:O41,J235:O235)/H41</f>
        <v>9.8003572305746562</v>
      </c>
      <c r="J320" s="84"/>
    </row>
    <row r="321" spans="2:10">
      <c r="B321" s="52" t="s">
        <v>102</v>
      </c>
      <c r="D321" t="s">
        <v>161</v>
      </c>
      <c r="F321"/>
      <c r="H321" s="3">
        <f>SUMPRODUCT(J42:O42,J236:O236)/H42</f>
        <v>0.71195631054506492</v>
      </c>
      <c r="J321" s="84"/>
    </row>
    <row r="322" spans="2:10">
      <c r="H322" s="77"/>
      <c r="J322" s="84"/>
    </row>
    <row r="323" spans="2:10">
      <c r="H323" s="77"/>
      <c r="J323" s="84"/>
    </row>
    <row r="324" spans="2:10">
      <c r="B324" s="55" t="s">
        <v>107</v>
      </c>
      <c r="H324" s="77"/>
      <c r="J324" s="84"/>
    </row>
    <row r="325" spans="2:10">
      <c r="H325" s="77"/>
      <c r="J325" s="84"/>
    </row>
    <row r="326" spans="2:10">
      <c r="B326" s="56" t="s">
        <v>108</v>
      </c>
      <c r="H326" s="77"/>
      <c r="J326" s="84"/>
    </row>
    <row r="327" spans="2:10">
      <c r="B327" s="52" t="s">
        <v>98</v>
      </c>
      <c r="D327" t="s">
        <v>161</v>
      </c>
      <c r="F327"/>
      <c r="H327" s="3">
        <f>SUMPRODUCT(J48:O48,J242:O242)/H48</f>
        <v>441</v>
      </c>
      <c r="J327" s="84"/>
    </row>
    <row r="328" spans="2:10">
      <c r="B328" s="52" t="s">
        <v>109</v>
      </c>
      <c r="D328" t="s">
        <v>161</v>
      </c>
      <c r="F328"/>
      <c r="H328" s="3">
        <f>SUMPRODUCT(J49:O49,J243:O243)/H49</f>
        <v>12.295225935215647</v>
      </c>
      <c r="J328" s="84"/>
    </row>
    <row r="329" spans="2:10">
      <c r="B329" s="52" t="s">
        <v>100</v>
      </c>
      <c r="D329" t="s">
        <v>161</v>
      </c>
      <c r="F329"/>
      <c r="H329" s="3">
        <f>SUMPRODUCT(J50:O50,J244:O244)/H50</f>
        <v>1.3195937560568045</v>
      </c>
      <c r="J329" s="84"/>
    </row>
    <row r="330" spans="2:10">
      <c r="B330" s="52" t="s">
        <v>110</v>
      </c>
      <c r="D330" t="s">
        <v>161</v>
      </c>
      <c r="F330"/>
      <c r="H330" s="3">
        <f>SUMPRODUCT(J51:O51,J245:O245)/H51</f>
        <v>6.5294843079514615E-3</v>
      </c>
      <c r="J330" s="84"/>
    </row>
    <row r="331" spans="2:10">
      <c r="H331" s="77"/>
      <c r="J331" s="84"/>
    </row>
    <row r="332" spans="2:10">
      <c r="B332" s="56" t="s">
        <v>80</v>
      </c>
      <c r="H332" s="77"/>
      <c r="J332" s="84"/>
    </row>
    <row r="333" spans="2:10">
      <c r="B333" s="52" t="s">
        <v>98</v>
      </c>
      <c r="D333" t="s">
        <v>161</v>
      </c>
      <c r="F333"/>
      <c r="H333" s="3">
        <f>SUMPRODUCT(J54:O54,J248:O248)/H54</f>
        <v>440.99999999999989</v>
      </c>
      <c r="J333" s="84"/>
    </row>
    <row r="334" spans="2:10">
      <c r="B334" s="52" t="s">
        <v>109</v>
      </c>
      <c r="D334" t="s">
        <v>161</v>
      </c>
      <c r="F334"/>
      <c r="H334" s="3">
        <f>SUMPRODUCT(J55:O55,J249:O249)/H55</f>
        <v>13.097196432877158</v>
      </c>
      <c r="J334" s="84"/>
    </row>
    <row r="335" spans="2:10">
      <c r="B335" s="52" t="s">
        <v>100</v>
      </c>
      <c r="D335" t="s">
        <v>161</v>
      </c>
      <c r="F335"/>
      <c r="H335" s="3">
        <f>SUMPRODUCT(J56:O56,J250:O250)/H56</f>
        <v>1.5737219934227396</v>
      </c>
      <c r="J335" s="84"/>
    </row>
    <row r="336" spans="2:10">
      <c r="B336" s="52" t="s">
        <v>110</v>
      </c>
      <c r="D336" t="s">
        <v>161</v>
      </c>
      <c r="F336"/>
      <c r="H336" s="3">
        <f>SUMPRODUCT(J57:O57,J251:O251)/H57</f>
        <v>9.8835471921977537E-3</v>
      </c>
      <c r="J336" s="84"/>
    </row>
    <row r="337" spans="2:10">
      <c r="H337" s="77"/>
      <c r="J337" s="84"/>
    </row>
    <row r="338" spans="2:10">
      <c r="B338" s="56" t="s">
        <v>111</v>
      </c>
      <c r="H338" s="77"/>
      <c r="J338" s="84"/>
    </row>
    <row r="339" spans="2:10">
      <c r="B339" s="52" t="s">
        <v>98</v>
      </c>
      <c r="D339" t="s">
        <v>161</v>
      </c>
      <c r="F339"/>
      <c r="H339" s="3">
        <f>SUMPRODUCT(J60:O60,J254:O254)/H60</f>
        <v>440.99999999999989</v>
      </c>
      <c r="J339" s="84"/>
    </row>
    <row r="340" spans="2:10">
      <c r="B340" s="52" t="s">
        <v>109</v>
      </c>
      <c r="D340" t="s">
        <v>161</v>
      </c>
      <c r="F340"/>
      <c r="H340" s="3">
        <f>SUMPRODUCT(J61:O61,J255:O255)/H61</f>
        <v>22.357445524026286</v>
      </c>
      <c r="J340" s="84"/>
    </row>
    <row r="341" spans="2:10">
      <c r="B341" s="52" t="s">
        <v>100</v>
      </c>
      <c r="D341" t="s">
        <v>161</v>
      </c>
      <c r="F341"/>
      <c r="H341" s="3">
        <f>SUMPRODUCT(J62:O62,J256:O256)/H62</f>
        <v>1.557436983918191</v>
      </c>
      <c r="J341" s="84"/>
    </row>
    <row r="342" spans="2:10">
      <c r="B342" s="52" t="s">
        <v>110</v>
      </c>
      <c r="D342" t="s">
        <v>161</v>
      </c>
      <c r="F342"/>
      <c r="H342" s="3">
        <f>SUMPRODUCT(J63:O63,J257:O257)/H63</f>
        <v>9.7095722322830466E-3</v>
      </c>
      <c r="J342" s="84"/>
    </row>
    <row r="343" spans="2:10">
      <c r="H343" s="77"/>
      <c r="J343" s="84"/>
    </row>
    <row r="344" spans="2:10">
      <c r="H344" s="77"/>
      <c r="J344" s="84"/>
    </row>
    <row r="345" spans="2:10">
      <c r="B345" s="55" t="s">
        <v>112</v>
      </c>
      <c r="H345" s="77"/>
      <c r="J345" s="84"/>
    </row>
    <row r="346" spans="2:10">
      <c r="H346" s="77"/>
      <c r="J346" s="84"/>
    </row>
    <row r="347" spans="2:10">
      <c r="B347" s="56" t="s">
        <v>113</v>
      </c>
      <c r="H347" s="77"/>
      <c r="J347" s="84"/>
    </row>
    <row r="348" spans="2:10">
      <c r="B348" s="52" t="s">
        <v>98</v>
      </c>
      <c r="D348" t="s">
        <v>161</v>
      </c>
      <c r="F348"/>
      <c r="H348" s="3">
        <f>SUMPRODUCT(J69:O69,J263:O263)/H69</f>
        <v>18.000000000000004</v>
      </c>
      <c r="J348" s="84"/>
    </row>
    <row r="349" spans="2:10">
      <c r="B349" s="52" t="s">
        <v>109</v>
      </c>
      <c r="D349" t="s">
        <v>161</v>
      </c>
      <c r="F349"/>
      <c r="H349" s="3">
        <f>SUMPRODUCT(J70:O70,J264:O264)/H70</f>
        <v>8.2445149102977506</v>
      </c>
      <c r="J349" s="84"/>
    </row>
    <row r="350" spans="2:10">
      <c r="B350" s="52" t="s">
        <v>114</v>
      </c>
      <c r="D350" t="s">
        <v>161</v>
      </c>
      <c r="F350"/>
      <c r="H350" s="3">
        <f>SUMPRODUCT(J71:O71,J265:O265)/H71</f>
        <v>1.9424172822992147E-2</v>
      </c>
      <c r="J350" s="84"/>
    </row>
    <row r="351" spans="2:10">
      <c r="B351" s="52" t="s">
        <v>110</v>
      </c>
      <c r="D351" t="s">
        <v>161</v>
      </c>
      <c r="F351"/>
      <c r="H351" s="3">
        <f>SUMPRODUCT(J72:O72,J266:O266)/H72</f>
        <v>3.4452551357571859E-2</v>
      </c>
      <c r="J351" s="84"/>
    </row>
    <row r="352" spans="2:10">
      <c r="H352" s="77"/>
      <c r="J352" s="84"/>
    </row>
    <row r="353" spans="2:18">
      <c r="B353" s="56" t="s">
        <v>115</v>
      </c>
      <c r="H353" s="77"/>
      <c r="J353" s="84"/>
    </row>
    <row r="354" spans="2:18">
      <c r="B354" s="52" t="s">
        <v>116</v>
      </c>
      <c r="D354" t="s">
        <v>161</v>
      </c>
      <c r="F354"/>
      <c r="H354" s="3">
        <f>SUMPRODUCT(J75:O75,J269:O269)/H75</f>
        <v>0.53171533089872158</v>
      </c>
      <c r="J354" s="84"/>
    </row>
    <row r="355" spans="2:18">
      <c r="B355" s="52" t="s">
        <v>117</v>
      </c>
      <c r="D355" t="s">
        <v>161</v>
      </c>
      <c r="F355"/>
      <c r="H355" s="3">
        <f>SUMPRODUCT(J76:O76,J270:O270)/H76</f>
        <v>17.99790289631618</v>
      </c>
      <c r="J355" s="84"/>
    </row>
    <row r="356" spans="2:18">
      <c r="H356" s="77"/>
      <c r="J356" s="84"/>
    </row>
    <row r="357" spans="2:18">
      <c r="B357" s="56" t="s">
        <v>118</v>
      </c>
      <c r="H357" s="77"/>
      <c r="J357" s="84"/>
    </row>
    <row r="358" spans="2:18">
      <c r="B358" s="52" t="s">
        <v>119</v>
      </c>
      <c r="D358" t="s">
        <v>161</v>
      </c>
      <c r="F358"/>
      <c r="H358" s="3">
        <f t="shared" ref="H358:H364" si="33">SUMPRODUCT(J79:O79,J273:O273)/H79</f>
        <v>1775.7502886955092</v>
      </c>
      <c r="J358" s="84"/>
    </row>
    <row r="359" spans="2:18">
      <c r="B359" s="52" t="s">
        <v>120</v>
      </c>
      <c r="D359" t="s">
        <v>161</v>
      </c>
      <c r="F359"/>
      <c r="H359" s="3">
        <f t="shared" si="33"/>
        <v>1416.6948274813624</v>
      </c>
      <c r="J359" s="84"/>
    </row>
    <row r="360" spans="2:18">
      <c r="B360" s="52" t="s">
        <v>121</v>
      </c>
      <c r="D360" t="s">
        <v>161</v>
      </c>
      <c r="F360"/>
      <c r="H360" s="3">
        <f t="shared" si="33"/>
        <v>1064.0301068339334</v>
      </c>
      <c r="J360" s="84"/>
    </row>
    <row r="361" spans="2:18">
      <c r="B361" s="52" t="s">
        <v>122</v>
      </c>
      <c r="D361" t="s">
        <v>161</v>
      </c>
      <c r="F361"/>
      <c r="H361" s="3">
        <f t="shared" si="33"/>
        <v>708.61754972498125</v>
      </c>
      <c r="J361" s="84"/>
    </row>
    <row r="362" spans="2:18">
      <c r="B362" s="52" t="s">
        <v>147</v>
      </c>
      <c r="D362" t="s">
        <v>161</v>
      </c>
      <c r="F362"/>
      <c r="H362" s="3">
        <f t="shared" si="33"/>
        <v>141.57960914910976</v>
      </c>
      <c r="J362" s="84"/>
    </row>
    <row r="363" spans="2:18">
      <c r="B363" s="52" t="s">
        <v>148</v>
      </c>
      <c r="D363" t="s">
        <v>161</v>
      </c>
      <c r="F363"/>
      <c r="H363" s="3">
        <f t="shared" si="33"/>
        <v>17.821898946042499</v>
      </c>
      <c r="J363" s="84"/>
      <c r="R363" s="52" t="s">
        <v>124</v>
      </c>
    </row>
    <row r="364" spans="2:18">
      <c r="B364" s="52" t="s">
        <v>123</v>
      </c>
      <c r="D364" t="s">
        <v>161</v>
      </c>
      <c r="F364"/>
      <c r="H364" s="3">
        <f t="shared" si="33"/>
        <v>1.7693763659836663</v>
      </c>
      <c r="J364" s="84"/>
    </row>
    <row r="365" spans="2:18">
      <c r="H365" s="77"/>
      <c r="J365" s="84"/>
    </row>
    <row r="366" spans="2:18">
      <c r="H366" s="77"/>
      <c r="J366" s="84"/>
    </row>
    <row r="367" spans="2:18">
      <c r="B367" s="55" t="s">
        <v>125</v>
      </c>
      <c r="H367" s="77"/>
      <c r="J367" s="84"/>
    </row>
    <row r="368" spans="2:18">
      <c r="H368" s="77"/>
      <c r="J368" s="84"/>
    </row>
    <row r="369" spans="2:11">
      <c r="B369" s="52" t="s">
        <v>126</v>
      </c>
      <c r="D369" t="s">
        <v>161</v>
      </c>
      <c r="F369"/>
      <c r="H369" s="3">
        <f>SUMPRODUCT(J90:O90,J285:O285)/H90</f>
        <v>4.5971591339063348E-3</v>
      </c>
      <c r="J369" s="84"/>
    </row>
    <row r="370" spans="2:11">
      <c r="B370" s="52" t="s">
        <v>127</v>
      </c>
      <c r="D370" t="s">
        <v>161</v>
      </c>
      <c r="F370"/>
      <c r="H370" s="3">
        <f>SUMPRODUCT(J91:O91,J286:O286)/H91</f>
        <v>5.7255380769225123E-3</v>
      </c>
      <c r="J370" s="84"/>
    </row>
    <row r="372" spans="2:11" s="11" customFormat="1">
      <c r="B372" s="11" t="s">
        <v>162</v>
      </c>
    </row>
    <row r="373" spans="2:11">
      <c r="B373" s="70"/>
    </row>
    <row r="374" spans="2:11">
      <c r="B374" s="55" t="s">
        <v>139</v>
      </c>
    </row>
    <row r="375" spans="2:11">
      <c r="B375" s="70"/>
    </row>
    <row r="376" spans="2:11">
      <c r="B376" s="71" t="s">
        <v>140</v>
      </c>
    </row>
    <row r="377" spans="2:11">
      <c r="B377" s="72" t="s">
        <v>141</v>
      </c>
      <c r="D377" s="52" t="s">
        <v>161</v>
      </c>
      <c r="H377" s="65">
        <f>SUMPRODUCT(H295:H296,H16:H17)+SUMPRODUCT(H300:H301,H21:H22)</f>
        <v>20790299.351977985</v>
      </c>
    </row>
    <row r="378" spans="2:11">
      <c r="B378" s="72" t="s">
        <v>142</v>
      </c>
      <c r="D378" s="52" t="s">
        <v>161</v>
      </c>
      <c r="H378" s="65">
        <f>SUMPRODUCT(H305:H306,H26:H27)+SUMPRODUCT(H310:H311,H31:H32)</f>
        <v>50499650.937279969</v>
      </c>
    </row>
    <row r="379" spans="2:11">
      <c r="B379" s="72" t="s">
        <v>143</v>
      </c>
      <c r="D379" s="52" t="s">
        <v>161</v>
      </c>
      <c r="H379" s="65">
        <f>SUMPRODUCT(H315:H316,H36:H37)+SUMPRODUCT(H320:H321,H41:H42)</f>
        <v>163420014.8578603</v>
      </c>
    </row>
    <row r="380" spans="2:11">
      <c r="B380" s="72" t="s">
        <v>108</v>
      </c>
      <c r="D380" s="52" t="s">
        <v>161</v>
      </c>
      <c r="H380" s="65">
        <f>SUMPRODUCT(H49:H51,H328:H330)</f>
        <v>44248583.830997966</v>
      </c>
      <c r="K380" s="73"/>
    </row>
    <row r="381" spans="2:11">
      <c r="B381" s="72" t="s">
        <v>80</v>
      </c>
      <c r="D381" s="52" t="s">
        <v>161</v>
      </c>
      <c r="H381" s="65">
        <f>SUMPRODUCT(H55:H57,H334:H336)</f>
        <v>456925629.9882217</v>
      </c>
    </row>
    <row r="382" spans="2:11">
      <c r="B382" s="72" t="s">
        <v>111</v>
      </c>
      <c r="D382" s="52" t="s">
        <v>161</v>
      </c>
      <c r="H382" s="65">
        <f>SUMPRODUCT(H340:H342,H61:H63)</f>
        <v>196657350.62076211</v>
      </c>
    </row>
    <row r="383" spans="2:11">
      <c r="B383" s="64"/>
    </row>
    <row r="384" spans="2:11">
      <c r="B384" s="71" t="s">
        <v>190</v>
      </c>
    </row>
    <row r="385" spans="2:8">
      <c r="B385" s="72" t="s">
        <v>141</v>
      </c>
      <c r="D385" s="52" t="s">
        <v>69</v>
      </c>
      <c r="H385" s="65">
        <f>H16+H21</f>
        <v>924605.11166666658</v>
      </c>
    </row>
    <row r="386" spans="2:8">
      <c r="B386" s="72" t="s">
        <v>142</v>
      </c>
      <c r="D386" s="52" t="s">
        <v>69</v>
      </c>
      <c r="H386" s="65">
        <f>H26+H31</f>
        <v>1338728.2715265986</v>
      </c>
    </row>
    <row r="387" spans="2:8">
      <c r="B387" s="72" t="s">
        <v>143</v>
      </c>
      <c r="D387" s="52" t="s">
        <v>69</v>
      </c>
      <c r="H387" s="65">
        <f>H36+H41</f>
        <v>4247413.8594981041</v>
      </c>
    </row>
    <row r="388" spans="2:8">
      <c r="B388" s="72" t="s">
        <v>108</v>
      </c>
      <c r="D388" s="52" t="s">
        <v>69</v>
      </c>
      <c r="H388" s="63">
        <f>H49</f>
        <v>965790.88726016879</v>
      </c>
    </row>
    <row r="389" spans="2:8">
      <c r="B389" s="72" t="s">
        <v>144</v>
      </c>
      <c r="D389" s="52" t="s">
        <v>69</v>
      </c>
      <c r="H389" s="63">
        <f>H55</f>
        <v>9813594.5953420047</v>
      </c>
    </row>
    <row r="390" spans="2:8">
      <c r="B390" s="72" t="s">
        <v>111</v>
      </c>
      <c r="D390" s="52" t="s">
        <v>69</v>
      </c>
      <c r="H390" s="63">
        <f>H61</f>
        <v>3890897.5563556291</v>
      </c>
    </row>
    <row r="391" spans="2:8">
      <c r="B391" s="64"/>
    </row>
    <row r="392" spans="2:8">
      <c r="B392" s="71" t="s">
        <v>145</v>
      </c>
    </row>
    <row r="393" spans="2:8">
      <c r="B393" s="72" t="s">
        <v>141</v>
      </c>
      <c r="H393" s="92">
        <f t="shared" ref="H393:H398" si="34">H377/H385</f>
        <v>22.485598543254849</v>
      </c>
    </row>
    <row r="394" spans="2:8">
      <c r="B394" s="72" t="s">
        <v>142</v>
      </c>
      <c r="H394" s="92">
        <f>H378/H386</f>
        <v>37.722106876620643</v>
      </c>
    </row>
    <row r="395" spans="2:8">
      <c r="B395" s="72" t="s">
        <v>143</v>
      </c>
      <c r="H395" s="92">
        <f t="shared" si="34"/>
        <v>38.475180489515765</v>
      </c>
    </row>
    <row r="396" spans="2:8">
      <c r="B396" s="72" t="s">
        <v>108</v>
      </c>
      <c r="H396" s="92">
        <f t="shared" si="34"/>
        <v>45.815905300707293</v>
      </c>
    </row>
    <row r="397" spans="2:8">
      <c r="B397" s="72" t="s">
        <v>80</v>
      </c>
      <c r="H397" s="92">
        <f t="shared" si="34"/>
        <v>46.560475425090431</v>
      </c>
    </row>
    <row r="398" spans="2:8">
      <c r="B398" s="72" t="s">
        <v>111</v>
      </c>
      <c r="H398" s="92">
        <f t="shared" si="34"/>
        <v>50.542926862602698</v>
      </c>
    </row>
    <row r="399" spans="2:8">
      <c r="B399" s="64"/>
    </row>
    <row r="400" spans="2:8">
      <c r="B400" s="64"/>
    </row>
    <row r="401" spans="2:10">
      <c r="B401" s="55" t="s">
        <v>146</v>
      </c>
    </row>
    <row r="402" spans="2:10">
      <c r="B402" s="64"/>
    </row>
    <row r="403" spans="2:10">
      <c r="B403" s="71" t="s">
        <v>82</v>
      </c>
    </row>
    <row r="404" spans="2:10">
      <c r="B404" s="74" t="s">
        <v>77</v>
      </c>
      <c r="H404" s="120">
        <f>H394-H393</f>
        <v>15.236508333365794</v>
      </c>
      <c r="J404" s="59"/>
    </row>
    <row r="405" spans="2:10">
      <c r="B405" s="74" t="s">
        <v>78</v>
      </c>
      <c r="H405" s="120">
        <f>H395-H393</f>
        <v>15.989581946260916</v>
      </c>
      <c r="J405" s="59"/>
    </row>
    <row r="406" spans="2:10">
      <c r="B406" s="72" t="s">
        <v>108</v>
      </c>
      <c r="H406" s="120">
        <f>H396-H394</f>
        <v>8.0937984240866498</v>
      </c>
      <c r="J406" s="59"/>
    </row>
    <row r="407" spans="2:10">
      <c r="B407" s="72" t="s">
        <v>80</v>
      </c>
      <c r="H407" s="120">
        <f>H397-H394</f>
        <v>8.8383685484697878</v>
      </c>
      <c r="J407" s="59"/>
    </row>
    <row r="408" spans="2:10">
      <c r="B408" s="74" t="s">
        <v>81</v>
      </c>
      <c r="H408" s="120">
        <f>H398-H394</f>
        <v>12.820819985982055</v>
      </c>
      <c r="J408" s="59"/>
    </row>
  </sheetData>
  <pageMargins left="0.7" right="0.7" top="0.75" bottom="0.75" header="0.3" footer="0.3"/>
  <pageSetup paperSize="9" scale="1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B2:Y422"/>
  <sheetViews>
    <sheetView showGridLines="0" zoomScale="85" zoomScaleNormal="85" workbookViewId="0">
      <pane xSplit="6" ySplit="10" topLeftCell="G11" activePane="bottomRight" state="frozen"/>
      <selection activeCell="W47" sqref="W47"/>
      <selection pane="topRight" activeCell="W47" sqref="W47"/>
      <selection pane="bottomLeft" activeCell="W47" sqref="W47"/>
      <selection pane="bottomRight" activeCell="G11" sqref="G11"/>
    </sheetView>
  </sheetViews>
  <sheetFormatPr defaultColWidth="9.140625" defaultRowHeight="12.75"/>
  <cols>
    <col min="1" max="1" width="4.7109375" style="5" customWidth="1"/>
    <col min="2" max="2" width="47.85546875" style="5" customWidth="1"/>
    <col min="3" max="3" width="4.7109375" style="5" customWidth="1"/>
    <col min="4" max="5" width="4.5703125" style="5" customWidth="1"/>
    <col min="6" max="6" width="14.28515625" style="5" customWidth="1"/>
    <col min="7" max="7" width="2.7109375" style="5" customWidth="1"/>
    <col min="8" max="8" width="13.7109375" style="5" customWidth="1"/>
    <col min="9" max="9" width="2.7109375" style="5" customWidth="1"/>
    <col min="10" max="10" width="16.5703125" style="5" bestFit="1" customWidth="1"/>
    <col min="11" max="11" width="2.7109375" style="5" customWidth="1"/>
    <col min="12" max="12" width="15.7109375" style="5" bestFit="1" customWidth="1"/>
    <col min="13" max="13" width="14" style="5" bestFit="1" customWidth="1"/>
    <col min="14" max="15" width="14.140625" style="5" bestFit="1" customWidth="1"/>
    <col min="16" max="16" width="14" style="5" bestFit="1" customWidth="1"/>
    <col min="17" max="17" width="14.140625" style="5" bestFit="1" customWidth="1"/>
    <col min="18" max="18" width="12.28515625" style="5" bestFit="1" customWidth="1"/>
    <col min="19" max="21" width="2.7109375" style="5" customWidth="1"/>
    <col min="22" max="36" width="13.7109375" style="5" customWidth="1"/>
    <col min="37" max="16384" width="9.140625" style="5"/>
  </cols>
  <sheetData>
    <row r="2" spans="2:22" s="20" customFormat="1" ht="18">
      <c r="B2" s="20" t="s">
        <v>181</v>
      </c>
    </row>
    <row r="4" spans="2:22">
      <c r="B4" s="27" t="s">
        <v>54</v>
      </c>
      <c r="C4" s="4"/>
      <c r="D4" s="4"/>
    </row>
    <row r="5" spans="2:22" ht="51.95" customHeight="1">
      <c r="B5" s="121" t="s">
        <v>268</v>
      </c>
      <c r="C5" s="121"/>
      <c r="D5" s="121"/>
      <c r="E5" s="121"/>
      <c r="F5" s="121"/>
      <c r="G5" s="121"/>
      <c r="H5" s="121"/>
      <c r="I5" s="121"/>
      <c r="J5" s="121"/>
      <c r="K5" s="121"/>
      <c r="L5" s="121"/>
      <c r="M5" s="121"/>
    </row>
    <row r="6" spans="2:22" ht="12.95" customHeight="1">
      <c r="B6" s="121" t="s">
        <v>192</v>
      </c>
      <c r="C6" s="121"/>
      <c r="D6" s="121"/>
      <c r="E6" s="121"/>
      <c r="F6" s="121"/>
      <c r="G6" s="121"/>
      <c r="H6" s="121"/>
      <c r="I6" s="121"/>
      <c r="J6" s="121"/>
      <c r="K6" s="121"/>
      <c r="L6" s="121"/>
      <c r="M6" s="121"/>
    </row>
    <row r="7" spans="2:22" ht="12.95" customHeight="1">
      <c r="B7" s="121" t="s">
        <v>193</v>
      </c>
      <c r="C7" s="121"/>
      <c r="D7" s="121"/>
      <c r="E7" s="121"/>
      <c r="F7" s="121"/>
      <c r="G7" s="121"/>
      <c r="H7" s="121"/>
      <c r="I7" s="121"/>
      <c r="J7" s="121"/>
      <c r="K7" s="121"/>
      <c r="L7" s="121"/>
      <c r="M7" s="121"/>
    </row>
    <row r="9" spans="2:22" s="11" customFormat="1">
      <c r="B9" s="11" t="s">
        <v>43</v>
      </c>
      <c r="F9" s="11" t="s">
        <v>26</v>
      </c>
      <c r="H9" s="11" t="s">
        <v>27</v>
      </c>
      <c r="J9" s="11" t="s">
        <v>46</v>
      </c>
      <c r="L9" s="11" t="s">
        <v>93</v>
      </c>
      <c r="M9" s="11" t="s">
        <v>70</v>
      </c>
      <c r="N9" s="11" t="s">
        <v>71</v>
      </c>
      <c r="O9" s="11" t="s">
        <v>72</v>
      </c>
      <c r="P9" s="11" t="s">
        <v>73</v>
      </c>
      <c r="Q9" s="11" t="s">
        <v>74</v>
      </c>
      <c r="V9" s="11" t="s">
        <v>45</v>
      </c>
    </row>
    <row r="12" spans="2:22" s="11" customFormat="1">
      <c r="B12" s="90" t="s">
        <v>240</v>
      </c>
    </row>
    <row r="14" spans="2:22">
      <c r="B14" s="27" t="s">
        <v>96</v>
      </c>
    </row>
    <row r="16" spans="2:22">
      <c r="B16" s="27" t="s">
        <v>97</v>
      </c>
    </row>
    <row r="17" spans="2:17">
      <c r="B17" s="5" t="s">
        <v>98</v>
      </c>
      <c r="F17" s="5" t="s">
        <v>164</v>
      </c>
      <c r="J17" s="58">
        <f>SUM(L17:Q17)</f>
        <v>0</v>
      </c>
      <c r="L17" s="80"/>
      <c r="M17" s="80"/>
      <c r="N17" s="80"/>
      <c r="O17" s="80"/>
      <c r="P17" s="80"/>
      <c r="Q17" s="80"/>
    </row>
    <row r="18" spans="2:17">
      <c r="B18" s="5" t="s">
        <v>99</v>
      </c>
      <c r="F18" s="5" t="s">
        <v>164</v>
      </c>
      <c r="J18" s="58">
        <f t="shared" ref="J18:J19" si="0">SUM(L18:Q18)</f>
        <v>916238.97250859102</v>
      </c>
      <c r="L18" s="37">
        <f>'Rekenvolumes TD'!L17</f>
        <v>0</v>
      </c>
      <c r="M18" s="37">
        <f>'Rekenvolumes TD'!M17</f>
        <v>0</v>
      </c>
      <c r="N18" s="37">
        <f>'Rekenvolumes TD'!N17</f>
        <v>916238.97250859102</v>
      </c>
      <c r="O18" s="37">
        <f>'Rekenvolumes TD'!O17</f>
        <v>0</v>
      </c>
      <c r="P18" s="37">
        <f>'Rekenvolumes TD'!P17</f>
        <v>0</v>
      </c>
      <c r="Q18" s="37">
        <f>'Rekenvolumes TD'!Q17</f>
        <v>0</v>
      </c>
    </row>
    <row r="19" spans="2:17">
      <c r="B19" s="5" t="s">
        <v>100</v>
      </c>
      <c r="F19" s="5" t="s">
        <v>164</v>
      </c>
      <c r="J19" s="58">
        <f t="shared" si="0"/>
        <v>8878696.6016260162</v>
      </c>
      <c r="L19" s="37">
        <f>'Rekenvolumes TD'!L18</f>
        <v>0</v>
      </c>
      <c r="M19" s="37">
        <f>'Rekenvolumes TD'!M18</f>
        <v>0</v>
      </c>
      <c r="N19" s="37">
        <f>'Rekenvolumes TD'!N18</f>
        <v>8878696.6016260162</v>
      </c>
      <c r="O19" s="37">
        <f>'Rekenvolumes TD'!O18</f>
        <v>0</v>
      </c>
      <c r="P19" s="37">
        <f>'Rekenvolumes TD'!P18</f>
        <v>0</v>
      </c>
      <c r="Q19" s="37">
        <f>'Rekenvolumes TD'!Q18</f>
        <v>0</v>
      </c>
    </row>
    <row r="20" spans="2:17">
      <c r="J20" s="54"/>
      <c r="L20" s="52"/>
      <c r="M20" s="52"/>
      <c r="N20" s="52"/>
      <c r="O20" s="52"/>
      <c r="P20" s="52"/>
      <c r="Q20" s="52"/>
    </row>
    <row r="21" spans="2:17">
      <c r="B21" s="27" t="s">
        <v>101</v>
      </c>
      <c r="J21" s="54"/>
      <c r="L21" s="52"/>
      <c r="M21" s="52"/>
      <c r="N21" s="52"/>
      <c r="O21" s="52"/>
      <c r="P21" s="52"/>
      <c r="Q21" s="52"/>
    </row>
    <row r="22" spans="2:17">
      <c r="B22" s="5" t="s">
        <v>98</v>
      </c>
      <c r="F22" s="5" t="s">
        <v>164</v>
      </c>
      <c r="J22" s="58">
        <f t="shared" ref="J22:J24" si="1">SUM(L22:Q22)</f>
        <v>0</v>
      </c>
      <c r="L22" s="80"/>
      <c r="M22" s="80"/>
      <c r="N22" s="80"/>
      <c r="O22" s="80"/>
      <c r="P22" s="80"/>
      <c r="Q22" s="80"/>
    </row>
    <row r="23" spans="2:17">
      <c r="B23" s="5" t="s">
        <v>99</v>
      </c>
      <c r="F23" s="5" t="s">
        <v>164</v>
      </c>
      <c r="J23" s="58">
        <f t="shared" si="1"/>
        <v>20811.323024054986</v>
      </c>
      <c r="L23" s="37">
        <f>'Rekenvolumes TD'!L22</f>
        <v>0</v>
      </c>
      <c r="M23" s="37">
        <f>'Rekenvolumes TD'!M22</f>
        <v>0</v>
      </c>
      <c r="N23" s="37">
        <f>'Rekenvolumes TD'!N22</f>
        <v>20811.323024054986</v>
      </c>
      <c r="O23" s="37">
        <f>'Rekenvolumes TD'!O22</f>
        <v>0</v>
      </c>
      <c r="P23" s="37">
        <f>'Rekenvolumes TD'!P22</f>
        <v>0</v>
      </c>
      <c r="Q23" s="37">
        <f>'Rekenvolumes TD'!Q22</f>
        <v>0</v>
      </c>
    </row>
    <row r="24" spans="2:17">
      <c r="B24" s="5" t="s">
        <v>102</v>
      </c>
      <c r="F24" s="5" t="s">
        <v>164</v>
      </c>
      <c r="J24" s="58">
        <f t="shared" si="1"/>
        <v>369575.61904761911</v>
      </c>
      <c r="L24" s="37">
        <f>'Rekenvolumes TD'!L23</f>
        <v>0</v>
      </c>
      <c r="M24" s="37">
        <f>'Rekenvolumes TD'!M23</f>
        <v>0</v>
      </c>
      <c r="N24" s="37">
        <f>'Rekenvolumes TD'!N23</f>
        <v>369575.61904761911</v>
      </c>
      <c r="O24" s="37">
        <f>'Rekenvolumes TD'!O23</f>
        <v>0</v>
      </c>
      <c r="P24" s="37">
        <f>'Rekenvolumes TD'!P23</f>
        <v>0</v>
      </c>
      <c r="Q24" s="37">
        <f>'Rekenvolumes TD'!Q23</f>
        <v>0</v>
      </c>
    </row>
    <row r="25" spans="2:17">
      <c r="J25" s="54"/>
      <c r="L25" s="52"/>
      <c r="M25" s="52"/>
      <c r="N25" s="52"/>
      <c r="O25" s="52"/>
      <c r="P25" s="52"/>
      <c r="Q25" s="52"/>
    </row>
    <row r="26" spans="2:17">
      <c r="B26" s="27" t="s">
        <v>103</v>
      </c>
      <c r="J26" s="54"/>
      <c r="L26" s="52"/>
      <c r="M26" s="52"/>
      <c r="N26" s="52"/>
      <c r="O26" s="52"/>
      <c r="P26" s="52"/>
      <c r="Q26" s="52"/>
    </row>
    <row r="27" spans="2:17">
      <c r="B27" s="5" t="s">
        <v>98</v>
      </c>
      <c r="F27" s="5" t="s">
        <v>164</v>
      </c>
      <c r="J27" s="58">
        <f t="shared" ref="J27:J29" si="2">SUM(L27:Q27)</f>
        <v>0</v>
      </c>
      <c r="L27" s="80"/>
      <c r="M27" s="80"/>
      <c r="N27" s="80"/>
      <c r="O27" s="80"/>
      <c r="P27" s="80"/>
      <c r="Q27" s="80"/>
    </row>
    <row r="28" spans="2:17">
      <c r="B28" s="5" t="s">
        <v>99</v>
      </c>
      <c r="F28" s="5" t="s">
        <v>164</v>
      </c>
      <c r="J28" s="58">
        <f t="shared" si="2"/>
        <v>879512.2195602007</v>
      </c>
      <c r="L28" s="37">
        <f>'Rekenvolumes TD'!L27</f>
        <v>0</v>
      </c>
      <c r="M28" s="37">
        <f>'Rekenvolumes TD'!M27</f>
        <v>80558.076023391797</v>
      </c>
      <c r="N28" s="37">
        <f>'Rekenvolumes TD'!N27</f>
        <v>81301.93789999999</v>
      </c>
      <c r="O28" s="37">
        <f>'Rekenvolumes TD'!O27</f>
        <v>0</v>
      </c>
      <c r="P28" s="37">
        <f>'Rekenvolumes TD'!P27</f>
        <v>717652.20563680888</v>
      </c>
      <c r="Q28" s="37">
        <f>'Rekenvolumes TD'!Q27</f>
        <v>0</v>
      </c>
    </row>
    <row r="29" spans="2:17">
      <c r="B29" s="5" t="s">
        <v>100</v>
      </c>
      <c r="F29" s="5" t="s">
        <v>164</v>
      </c>
      <c r="J29" s="58">
        <f t="shared" si="2"/>
        <v>8165758.122064447</v>
      </c>
      <c r="L29" s="37">
        <f>'Rekenvolumes TD'!L28</f>
        <v>0</v>
      </c>
      <c r="M29" s="37">
        <f>'Rekenvolumes TD'!M28</f>
        <v>685047.77070063679</v>
      </c>
      <c r="N29" s="37">
        <f>'Rekenvolumes TD'!N28</f>
        <v>697222.72750000004</v>
      </c>
      <c r="O29" s="37">
        <f>'Rekenvolumes TD'!O28</f>
        <v>0</v>
      </c>
      <c r="P29" s="37">
        <f>'Rekenvolumes TD'!P28</f>
        <v>6783487.6238638097</v>
      </c>
      <c r="Q29" s="37">
        <f>'Rekenvolumes TD'!Q28</f>
        <v>0</v>
      </c>
    </row>
    <row r="30" spans="2:17">
      <c r="J30" s="54"/>
      <c r="L30" s="52"/>
      <c r="M30" s="52"/>
      <c r="N30" s="52"/>
      <c r="O30" s="52"/>
      <c r="P30" s="52"/>
      <c r="Q30" s="52"/>
    </row>
    <row r="31" spans="2:17">
      <c r="B31" s="27" t="s">
        <v>104</v>
      </c>
      <c r="J31" s="54"/>
      <c r="L31" s="52"/>
      <c r="M31" s="52"/>
      <c r="N31" s="52"/>
      <c r="O31" s="52"/>
      <c r="P31" s="52"/>
      <c r="Q31" s="52"/>
    </row>
    <row r="32" spans="2:17">
      <c r="B32" s="5" t="s">
        <v>98</v>
      </c>
      <c r="F32" s="5" t="s">
        <v>164</v>
      </c>
      <c r="J32" s="58">
        <f t="shared" ref="J32:J34" si="3">SUM(L32:Q32)</f>
        <v>0</v>
      </c>
      <c r="L32" s="80"/>
      <c r="M32" s="80"/>
      <c r="N32" s="80"/>
      <c r="O32" s="80"/>
      <c r="P32" s="80"/>
      <c r="Q32" s="80"/>
    </row>
    <row r="33" spans="2:17">
      <c r="B33" s="5" t="s">
        <v>99</v>
      </c>
      <c r="F33" s="5" t="s">
        <v>164</v>
      </c>
      <c r="J33" s="58">
        <f t="shared" si="3"/>
        <v>157513.57782874617</v>
      </c>
      <c r="L33" s="37">
        <f>'Rekenvolumes TD'!L32</f>
        <v>0</v>
      </c>
      <c r="M33" s="37">
        <f>'Rekenvolumes TD'!M32</f>
        <v>19039.999999999996</v>
      </c>
      <c r="N33" s="37">
        <f>'Rekenvolumes TD'!N32</f>
        <v>76590.583333333328</v>
      </c>
      <c r="O33" s="37">
        <f>'Rekenvolumes TD'!O32</f>
        <v>0</v>
      </c>
      <c r="P33" s="37">
        <f>'Rekenvolumes TD'!P32</f>
        <v>61882.99449541283</v>
      </c>
      <c r="Q33" s="37">
        <f>'Rekenvolumes TD'!Q32</f>
        <v>0</v>
      </c>
    </row>
    <row r="34" spans="2:17">
      <c r="B34" s="5" t="s">
        <v>102</v>
      </c>
      <c r="F34" s="5" t="s">
        <v>164</v>
      </c>
      <c r="J34" s="58">
        <f t="shared" si="3"/>
        <v>1609440.6543224484</v>
      </c>
      <c r="L34" s="37">
        <f>'Rekenvolumes TD'!L33</f>
        <v>0</v>
      </c>
      <c r="M34" s="37">
        <f>'Rekenvolumes TD'!M33</f>
        <v>121115.20370370366</v>
      </c>
      <c r="N34" s="37">
        <f>'Rekenvolumes TD'!N33</f>
        <v>1179048.27</v>
      </c>
      <c r="O34" s="37">
        <f>'Rekenvolumes TD'!O33</f>
        <v>0</v>
      </c>
      <c r="P34" s="37">
        <f>'Rekenvolumes TD'!P33</f>
        <v>309277.18061874481</v>
      </c>
      <c r="Q34" s="37">
        <f>'Rekenvolumes TD'!Q33</f>
        <v>0</v>
      </c>
    </row>
    <row r="35" spans="2:17">
      <c r="J35" s="54"/>
      <c r="L35" s="52"/>
      <c r="M35" s="52"/>
      <c r="N35" s="52"/>
      <c r="O35" s="52"/>
      <c r="P35" s="52"/>
      <c r="Q35" s="52"/>
    </row>
    <row r="36" spans="2:17">
      <c r="B36" s="27" t="s">
        <v>167</v>
      </c>
      <c r="J36" s="54"/>
      <c r="L36" s="52"/>
      <c r="M36" s="52"/>
      <c r="N36" s="52"/>
      <c r="O36" s="52"/>
      <c r="P36" s="52"/>
      <c r="Q36" s="52"/>
    </row>
    <row r="37" spans="2:17">
      <c r="B37" s="5" t="s">
        <v>98</v>
      </c>
      <c r="F37" s="5" t="s">
        <v>164</v>
      </c>
      <c r="J37" s="58">
        <f t="shared" ref="J37:J39" si="4">SUM(L37:Q37)</f>
        <v>0</v>
      </c>
      <c r="L37" s="80"/>
      <c r="M37" s="80"/>
      <c r="N37" s="80"/>
      <c r="O37" s="80"/>
      <c r="P37" s="80"/>
      <c r="Q37" s="80"/>
    </row>
    <row r="38" spans="2:17">
      <c r="B38" s="5" t="s">
        <v>99</v>
      </c>
      <c r="F38" s="5" t="s">
        <v>164</v>
      </c>
      <c r="J38" s="58">
        <f t="shared" si="4"/>
        <v>3780244.5660456871</v>
      </c>
      <c r="L38" s="37">
        <f>'Rekenvolumes TD'!L37</f>
        <v>0</v>
      </c>
      <c r="M38" s="37">
        <f>'Rekenvolumes TD'!M37</f>
        <v>1229541.2912880818</v>
      </c>
      <c r="N38" s="37">
        <f>'Rekenvolumes TD'!N37</f>
        <v>1715882.5941848895</v>
      </c>
      <c r="O38" s="37">
        <f>'Rekenvolumes TD'!O37</f>
        <v>0</v>
      </c>
      <c r="P38" s="37">
        <f>'Rekenvolumes TD'!P37</f>
        <v>732128.66406967712</v>
      </c>
      <c r="Q38" s="37">
        <f>'Rekenvolumes TD'!Q37</f>
        <v>102692.01650303882</v>
      </c>
    </row>
    <row r="39" spans="2:17">
      <c r="B39" s="5" t="s">
        <v>100</v>
      </c>
      <c r="F39" s="5" t="s">
        <v>164</v>
      </c>
      <c r="J39" s="58">
        <f t="shared" si="4"/>
        <v>31794530.152382132</v>
      </c>
      <c r="L39" s="37">
        <f>'Rekenvolumes TD'!L38</f>
        <v>0</v>
      </c>
      <c r="M39" s="37">
        <f>'Rekenvolumes TD'!M38</f>
        <v>11531043.518518519</v>
      </c>
      <c r="N39" s="37">
        <f>'Rekenvolumes TD'!N38</f>
        <v>13191997.764873562</v>
      </c>
      <c r="O39" s="37">
        <f>'Rekenvolumes TD'!O38</f>
        <v>0</v>
      </c>
      <c r="P39" s="37">
        <f>'Rekenvolumes TD'!P38</f>
        <v>6163758.9538168153</v>
      </c>
      <c r="Q39" s="37">
        <f>'Rekenvolumes TD'!Q38</f>
        <v>907729.91517323791</v>
      </c>
    </row>
    <row r="40" spans="2:17">
      <c r="J40" s="54"/>
      <c r="L40" s="52"/>
      <c r="M40" s="52"/>
      <c r="N40" s="52"/>
      <c r="O40" s="52"/>
      <c r="P40" s="52"/>
      <c r="Q40" s="52"/>
    </row>
    <row r="41" spans="2:17">
      <c r="B41" s="27" t="s">
        <v>168</v>
      </c>
      <c r="J41" s="52"/>
      <c r="L41" s="52"/>
      <c r="M41" s="52"/>
      <c r="N41" s="52"/>
      <c r="O41" s="52"/>
      <c r="P41" s="52"/>
      <c r="Q41" s="52"/>
    </row>
    <row r="42" spans="2:17">
      <c r="B42" s="5" t="s">
        <v>98</v>
      </c>
      <c r="F42" s="5" t="s">
        <v>164</v>
      </c>
      <c r="J42" s="58">
        <f t="shared" ref="J42:J44" si="5">SUM(L42:Q42)</f>
        <v>0</v>
      </c>
      <c r="L42" s="80"/>
      <c r="M42" s="80"/>
      <c r="N42" s="80"/>
      <c r="O42" s="80"/>
      <c r="P42" s="80"/>
      <c r="Q42" s="80"/>
    </row>
    <row r="43" spans="2:17">
      <c r="B43" s="5" t="s">
        <v>99</v>
      </c>
      <c r="F43" s="5" t="s">
        <v>164</v>
      </c>
      <c r="J43" s="58">
        <f t="shared" si="5"/>
        <v>144124.29024041892</v>
      </c>
      <c r="L43" s="37">
        <f>'Rekenvolumes TD'!L42</f>
        <v>0</v>
      </c>
      <c r="M43" s="37">
        <f>'Rekenvolumes TD'!M42</f>
        <v>93146.999999999985</v>
      </c>
      <c r="N43" s="37">
        <f>'Rekenvolumes TD'!N42</f>
        <v>30426.25</v>
      </c>
      <c r="O43" s="37">
        <f>'Rekenvolumes TD'!O42</f>
        <v>0</v>
      </c>
      <c r="P43" s="37">
        <f>'Rekenvolumes TD'!P42</f>
        <v>20551.04024041893</v>
      </c>
      <c r="Q43" s="37">
        <f>'Rekenvolumes TD'!Q42</f>
        <v>0</v>
      </c>
    </row>
    <row r="44" spans="2:17">
      <c r="B44" s="5" t="s">
        <v>102</v>
      </c>
      <c r="F44" s="5" t="s">
        <v>164</v>
      </c>
      <c r="J44" s="58">
        <f t="shared" si="5"/>
        <v>1097457.2151727907</v>
      </c>
      <c r="L44" s="37">
        <f>'Rekenvolumes TD'!L43</f>
        <v>0</v>
      </c>
      <c r="M44" s="37">
        <f>'Rekenvolumes TD'!M43</f>
        <v>653879.46153846139</v>
      </c>
      <c r="N44" s="37">
        <f>'Rekenvolumes TD'!N43</f>
        <v>242971.74</v>
      </c>
      <c r="O44" s="37">
        <f>'Rekenvolumes TD'!O43</f>
        <v>0</v>
      </c>
      <c r="P44" s="37">
        <f>'Rekenvolumes TD'!P43</f>
        <v>200606.01363432937</v>
      </c>
      <c r="Q44" s="37">
        <f>'Rekenvolumes TD'!Q43</f>
        <v>0</v>
      </c>
    </row>
    <row r="45" spans="2:17">
      <c r="J45" s="54"/>
      <c r="L45" s="52"/>
      <c r="M45" s="52"/>
      <c r="N45" s="52"/>
      <c r="O45" s="52"/>
      <c r="P45" s="52"/>
      <c r="Q45" s="52"/>
    </row>
    <row r="46" spans="2:17">
      <c r="J46" s="54"/>
      <c r="L46" s="52"/>
      <c r="M46" s="52"/>
      <c r="N46" s="52"/>
      <c r="O46" s="52"/>
      <c r="P46" s="52"/>
      <c r="Q46" s="52"/>
    </row>
    <row r="47" spans="2:17">
      <c r="B47" s="27" t="s">
        <v>107</v>
      </c>
    </row>
    <row r="49" spans="2:17">
      <c r="B49" s="27" t="s">
        <v>108</v>
      </c>
    </row>
    <row r="50" spans="2:17">
      <c r="B50" s="5" t="s">
        <v>98</v>
      </c>
      <c r="F50" s="5" t="s">
        <v>164</v>
      </c>
      <c r="J50" s="58">
        <f t="shared" ref="J50:J53" si="6">SUM(L50:Q50)</f>
        <v>0</v>
      </c>
      <c r="L50" s="85"/>
      <c r="M50" s="80"/>
      <c r="N50" s="85"/>
      <c r="O50" s="80"/>
      <c r="P50" s="85"/>
      <c r="Q50" s="85"/>
    </row>
    <row r="51" spans="2:17">
      <c r="B51" s="5" t="s">
        <v>109</v>
      </c>
      <c r="F51" s="5" t="s">
        <v>164</v>
      </c>
      <c r="J51" s="58">
        <f t="shared" si="6"/>
        <v>915300.14029363776</v>
      </c>
      <c r="L51" s="85"/>
      <c r="M51" s="37">
        <f>'Rekenvolumes TD'!M50</f>
        <v>897928.14029363776</v>
      </c>
      <c r="N51" s="85"/>
      <c r="O51" s="37">
        <f>'Rekenvolumes TD'!O50</f>
        <v>17372</v>
      </c>
      <c r="P51" s="85"/>
      <c r="Q51" s="85"/>
    </row>
    <row r="52" spans="2:17">
      <c r="B52" s="5" t="s">
        <v>100</v>
      </c>
      <c r="F52" s="5" t="s">
        <v>164</v>
      </c>
      <c r="J52" s="58">
        <f t="shared" si="6"/>
        <v>8200214.1171874991</v>
      </c>
      <c r="L52" s="85"/>
      <c r="M52" s="37">
        <f>'Rekenvolumes TD'!M51</f>
        <v>8031127.1171874991</v>
      </c>
      <c r="N52" s="85"/>
      <c r="O52" s="37">
        <f>'Rekenvolumes TD'!O51</f>
        <v>169087</v>
      </c>
      <c r="P52" s="85"/>
      <c r="Q52" s="85"/>
    </row>
    <row r="53" spans="2:17">
      <c r="B53" s="5" t="s">
        <v>110</v>
      </c>
      <c r="F53" s="5" t="s">
        <v>164</v>
      </c>
      <c r="J53" s="58">
        <f t="shared" si="6"/>
        <v>3327710494.2258067</v>
      </c>
      <c r="L53" s="85"/>
      <c r="M53" s="37">
        <f>'Rekenvolumes TD'!M52</f>
        <v>3279202903.2258067</v>
      </c>
      <c r="N53" s="85"/>
      <c r="O53" s="37">
        <f>'Rekenvolumes TD'!O52</f>
        <v>48507591</v>
      </c>
      <c r="P53" s="85"/>
      <c r="Q53" s="85"/>
    </row>
    <row r="55" spans="2:17">
      <c r="B55" s="27" t="s">
        <v>144</v>
      </c>
      <c r="M55" s="39"/>
    </row>
    <row r="56" spans="2:17">
      <c r="B56" s="5" t="s">
        <v>98</v>
      </c>
      <c r="F56" s="5" t="s">
        <v>164</v>
      </c>
      <c r="J56" s="58">
        <f t="shared" ref="J56:J59" si="7">SUM(L56:Q56)</f>
        <v>0</v>
      </c>
      <c r="L56" s="85"/>
      <c r="M56" s="80"/>
      <c r="N56" s="85"/>
      <c r="O56" s="80"/>
      <c r="P56" s="85"/>
      <c r="Q56" s="85"/>
    </row>
    <row r="57" spans="2:17">
      <c r="B57" s="5" t="s">
        <v>109</v>
      </c>
      <c r="F57" s="5" t="s">
        <v>164</v>
      </c>
      <c r="J57" s="58">
        <f t="shared" si="7"/>
        <v>3435672.2325595692</v>
      </c>
      <c r="L57" s="85"/>
      <c r="M57" s="37">
        <f>'Rekenvolumes TD'!M56</f>
        <v>3418627.6492262357</v>
      </c>
      <c r="N57" s="85"/>
      <c r="O57" s="37">
        <f>'Rekenvolumes TD'!O56</f>
        <v>17044.583333333332</v>
      </c>
      <c r="P57" s="85"/>
      <c r="Q57" s="85"/>
    </row>
    <row r="58" spans="2:17">
      <c r="B58" s="5" t="s">
        <v>100</v>
      </c>
      <c r="F58" s="5" t="s">
        <v>164</v>
      </c>
      <c r="J58" s="58">
        <f t="shared" si="7"/>
        <v>27115351.891719755</v>
      </c>
      <c r="L58" s="85"/>
      <c r="M58" s="37">
        <f>'Rekenvolumes TD'!M57</f>
        <v>26966109.891719755</v>
      </c>
      <c r="N58" s="85"/>
      <c r="O58" s="37">
        <f>'Rekenvolumes TD'!O57</f>
        <v>149242</v>
      </c>
      <c r="P58" s="85"/>
      <c r="Q58" s="85"/>
    </row>
    <row r="59" spans="2:17">
      <c r="B59" s="5" t="s">
        <v>110</v>
      </c>
      <c r="F59" s="5" t="s">
        <v>164</v>
      </c>
      <c r="J59" s="58">
        <f t="shared" si="7"/>
        <v>8080239179.3069296</v>
      </c>
      <c r="L59" s="85"/>
      <c r="M59" s="37">
        <f>'Rekenvolumes TD'!M58</f>
        <v>8017947469.3069296</v>
      </c>
      <c r="N59" s="85"/>
      <c r="O59" s="37">
        <f>'Rekenvolumes TD'!O58</f>
        <v>62291710</v>
      </c>
      <c r="P59" s="85"/>
      <c r="Q59" s="85"/>
    </row>
    <row r="61" spans="2:17">
      <c r="B61" s="4" t="s">
        <v>163</v>
      </c>
    </row>
    <row r="62" spans="2:17">
      <c r="B62" s="5" t="s">
        <v>98</v>
      </c>
      <c r="F62" s="5" t="s">
        <v>164</v>
      </c>
      <c r="J62" s="58">
        <f t="shared" ref="J62:J65" si="8">SUM(L62:Q62)</f>
        <v>0</v>
      </c>
      <c r="L62" s="80"/>
      <c r="M62" s="85"/>
      <c r="N62" s="80"/>
      <c r="O62" s="85"/>
      <c r="P62" s="80"/>
      <c r="Q62" s="80"/>
    </row>
    <row r="63" spans="2:17">
      <c r="B63" s="5" t="s">
        <v>109</v>
      </c>
      <c r="F63" s="5" t="s">
        <v>164</v>
      </c>
      <c r="J63" s="58">
        <f t="shared" si="8"/>
        <v>5716811.0366591951</v>
      </c>
      <c r="L63" s="37">
        <f>'Rekenvolumes TD'!L62</f>
        <v>44882.333333333336</v>
      </c>
      <c r="M63" s="85"/>
      <c r="N63" s="37">
        <f>'Rekenvolumes TD'!N62</f>
        <v>3449822.6768495939</v>
      </c>
      <c r="O63" s="85"/>
      <c r="P63" s="37">
        <f>'Rekenvolumes TD'!P62</f>
        <v>1907545.7427725641</v>
      </c>
      <c r="Q63" s="37">
        <f>'Rekenvolumes TD'!Q62</f>
        <v>314560.28370370378</v>
      </c>
    </row>
    <row r="64" spans="2:17">
      <c r="B64" s="5" t="s">
        <v>100</v>
      </c>
      <c r="F64" s="5" t="s">
        <v>164</v>
      </c>
      <c r="J64" s="58">
        <f t="shared" si="8"/>
        <v>44171207.702186413</v>
      </c>
      <c r="L64" s="37">
        <f>'Rekenvolumes TD'!L63</f>
        <v>360974</v>
      </c>
      <c r="M64" s="85"/>
      <c r="N64" s="37">
        <f>'Rekenvolumes TD'!N63</f>
        <v>26552416.374026433</v>
      </c>
      <c r="O64" s="85"/>
      <c r="P64" s="37">
        <f>'Rekenvolumes TD'!P63</f>
        <v>14742153.08719613</v>
      </c>
      <c r="Q64" s="37">
        <f>'Rekenvolumes TD'!Q63</f>
        <v>2515664.2409638558</v>
      </c>
    </row>
    <row r="65" spans="2:17">
      <c r="B65" s="5" t="s">
        <v>110</v>
      </c>
      <c r="F65" s="5" t="s">
        <v>164</v>
      </c>
      <c r="J65" s="58">
        <f t="shared" si="8"/>
        <v>13745682386.65193</v>
      </c>
      <c r="L65" s="37">
        <f>'Rekenvolumes TD'!L64</f>
        <v>126198352</v>
      </c>
      <c r="M65" s="85"/>
      <c r="N65" s="37">
        <f>'Rekenvolumes TD'!N64</f>
        <v>8341918997.5338097</v>
      </c>
      <c r="O65" s="85"/>
      <c r="P65" s="37">
        <f>'Rekenvolumes TD'!P64</f>
        <v>4644401775.5319147</v>
      </c>
      <c r="Q65" s="37">
        <f>'Rekenvolumes TD'!Q64</f>
        <v>633163261.58620691</v>
      </c>
    </row>
    <row r="67" spans="2:17">
      <c r="B67" s="27" t="s">
        <v>111</v>
      </c>
    </row>
    <row r="68" spans="2:17">
      <c r="B68" s="5" t="s">
        <v>98</v>
      </c>
      <c r="F68" s="5" t="s">
        <v>164</v>
      </c>
      <c r="J68" s="58">
        <f t="shared" ref="J68:J71" si="9">SUM(L68:Q68)</f>
        <v>0</v>
      </c>
      <c r="L68" s="80"/>
      <c r="M68" s="80"/>
      <c r="N68" s="80"/>
      <c r="O68" s="80"/>
      <c r="P68" s="80"/>
      <c r="Q68" s="80"/>
    </row>
    <row r="69" spans="2:17">
      <c r="B69" s="5" t="s">
        <v>109</v>
      </c>
      <c r="F69" s="5" t="s">
        <v>164</v>
      </c>
      <c r="J69" s="58">
        <f t="shared" si="9"/>
        <v>3799025.7304142714</v>
      </c>
      <c r="L69" s="37">
        <f>'Rekenvolumes TD'!L68</f>
        <v>52135.916666666664</v>
      </c>
      <c r="M69" s="37">
        <f>'Rekenvolumes TD'!M68</f>
        <v>1074660.7018469658</v>
      </c>
      <c r="N69" s="37">
        <f>'Rekenvolumes TD'!N68</f>
        <v>1321400.3141666667</v>
      </c>
      <c r="O69" s="37">
        <f>'Rekenvolumes TD'!O68</f>
        <v>25082.666666666668</v>
      </c>
      <c r="P69" s="37">
        <f>'Rekenvolumes TD'!P68</f>
        <v>1165516.096507662</v>
      </c>
      <c r="Q69" s="37">
        <f>'Rekenvolumes TD'!Q68</f>
        <v>160230.03455964327</v>
      </c>
    </row>
    <row r="70" spans="2:17">
      <c r="B70" s="5" t="s">
        <v>100</v>
      </c>
      <c r="F70" s="5" t="s">
        <v>164</v>
      </c>
      <c r="J70" s="58">
        <f t="shared" si="9"/>
        <v>27370572.551427368</v>
      </c>
      <c r="L70" s="37">
        <f>'Rekenvolumes TD'!L69</f>
        <v>405960</v>
      </c>
      <c r="M70" s="37">
        <f>'Rekenvolumes TD'!M69</f>
        <v>7589035.4522292996</v>
      </c>
      <c r="N70" s="37">
        <f>'Rekenvolumes TD'!N69</f>
        <v>9599146.8720800001</v>
      </c>
      <c r="O70" s="37">
        <f>'Rekenvolumes TD'!O69</f>
        <v>198427</v>
      </c>
      <c r="P70" s="37">
        <f>'Rekenvolumes TD'!P69</f>
        <v>8328167.9259132491</v>
      </c>
      <c r="Q70" s="37">
        <f>'Rekenvolumes TD'!Q69</f>
        <v>1249835.3012048195</v>
      </c>
    </row>
    <row r="71" spans="2:17">
      <c r="B71" s="5" t="s">
        <v>110</v>
      </c>
      <c r="F71" s="5" t="s">
        <v>164</v>
      </c>
      <c r="J71" s="58">
        <f t="shared" si="9"/>
        <v>6817161126.2829561</v>
      </c>
      <c r="L71" s="37">
        <f>'Rekenvolumes TD'!L70</f>
        <v>115301567</v>
      </c>
      <c r="M71" s="37">
        <f>'Rekenvolumes TD'!M70</f>
        <v>1790414179.207921</v>
      </c>
      <c r="N71" s="37">
        <f>'Rekenvolumes TD'!N70</f>
        <v>2399534594.5079999</v>
      </c>
      <c r="O71" s="37">
        <f>'Rekenvolumes TD'!O70</f>
        <v>54149489</v>
      </c>
      <c r="P71" s="37">
        <f>'Rekenvolumes TD'!P70</f>
        <v>2128615487.9463456</v>
      </c>
      <c r="Q71" s="37">
        <f>'Rekenvolumes TD'!Q70</f>
        <v>329145808.62068963</v>
      </c>
    </row>
    <row r="74" spans="2:17">
      <c r="B74" s="27" t="s">
        <v>112</v>
      </c>
    </row>
    <row r="76" spans="2:17">
      <c r="B76" s="27" t="s">
        <v>165</v>
      </c>
    </row>
    <row r="77" spans="2:17">
      <c r="B77" s="5" t="s">
        <v>98</v>
      </c>
      <c r="F77" s="5" t="s">
        <v>164</v>
      </c>
      <c r="J77" s="58">
        <f t="shared" ref="J77:J80" si="10">SUM(L77:Q77)</f>
        <v>0</v>
      </c>
      <c r="L77" s="80"/>
      <c r="M77" s="80"/>
      <c r="N77" s="80"/>
      <c r="O77" s="80"/>
      <c r="P77" s="80"/>
      <c r="Q77" s="80"/>
    </row>
    <row r="78" spans="2:17">
      <c r="B78" s="5" t="s">
        <v>109</v>
      </c>
      <c r="F78" s="5" t="s">
        <v>164</v>
      </c>
      <c r="J78" s="58">
        <f t="shared" si="10"/>
        <v>895698.5805848192</v>
      </c>
      <c r="L78" s="37">
        <f>'Rekenvolumes TD'!L77</f>
        <v>25425.5</v>
      </c>
      <c r="M78" s="37">
        <f>'Rekenvolumes TD'!M77</f>
        <v>200844.11980440098</v>
      </c>
      <c r="N78" s="37">
        <f>'Rekenvolumes TD'!N77</f>
        <v>255760.24250000002</v>
      </c>
      <c r="O78" s="37">
        <f>'Rekenvolumes TD'!O77</f>
        <v>10371.666666666666</v>
      </c>
      <c r="P78" s="37">
        <f>'Rekenvolumes TD'!P77</f>
        <v>396298.46779872262</v>
      </c>
      <c r="Q78" s="37">
        <f>'Rekenvolumes TD'!Q77</f>
        <v>6998.5838150289019</v>
      </c>
    </row>
    <row r="79" spans="2:17">
      <c r="B79" s="5" t="s">
        <v>114</v>
      </c>
      <c r="F79" s="5" t="s">
        <v>164</v>
      </c>
      <c r="J79" s="58">
        <f t="shared" si="10"/>
        <v>545548690.90729761</v>
      </c>
      <c r="L79" s="37">
        <f>'Rekenvolumes TD'!L78</f>
        <v>12460827</v>
      </c>
      <c r="M79" s="37">
        <f>'Rekenvolumes TD'!M78</f>
        <v>114888657.38636364</v>
      </c>
      <c r="N79" s="37">
        <f>'Rekenvolumes TD'!N78</f>
        <v>156950044.56799999</v>
      </c>
      <c r="O79" s="37">
        <f>'Rekenvolumes TD'!O78</f>
        <v>7381366</v>
      </c>
      <c r="P79" s="37">
        <f>'Rekenvolumes TD'!P78</f>
        <v>249200956.34897357</v>
      </c>
      <c r="Q79" s="37">
        <f>'Rekenvolumes TD'!Q78</f>
        <v>4666839.6039603967</v>
      </c>
    </row>
    <row r="80" spans="2:17">
      <c r="B80" s="5" t="s">
        <v>110</v>
      </c>
      <c r="F80" s="5" t="s">
        <v>164</v>
      </c>
      <c r="J80" s="58">
        <f t="shared" si="10"/>
        <v>759788670.39571655</v>
      </c>
      <c r="L80" s="37">
        <f>'Rekenvolumes TD'!L79</f>
        <v>21804253</v>
      </c>
      <c r="M80" s="37">
        <f>'Rekenvolumes TD'!M79</f>
        <v>151702468.84272999</v>
      </c>
      <c r="N80" s="37">
        <f>'Rekenvolumes TD'!N79</f>
        <v>214389242.62400001</v>
      </c>
      <c r="O80" s="37">
        <f>'Rekenvolumes TD'!O79</f>
        <v>11516166</v>
      </c>
      <c r="P80" s="37">
        <f>'Rekenvolumes TD'!P79</f>
        <v>354272598.02667296</v>
      </c>
      <c r="Q80" s="37">
        <f>'Rekenvolumes TD'!Q79</f>
        <v>6103941.9023136254</v>
      </c>
    </row>
    <row r="82" spans="2:17">
      <c r="B82" s="27" t="s">
        <v>115</v>
      </c>
    </row>
    <row r="83" spans="2:17">
      <c r="B83" s="5" t="s">
        <v>116</v>
      </c>
      <c r="F83" s="5" t="s">
        <v>164</v>
      </c>
      <c r="J83" s="58">
        <f t="shared" ref="J83:J84" si="11">SUM(L83:Q83)</f>
        <v>0</v>
      </c>
      <c r="L83" s="80"/>
      <c r="M83" s="80"/>
      <c r="N83" s="80"/>
      <c r="O83" s="80"/>
      <c r="P83" s="80"/>
      <c r="Q83" s="80"/>
    </row>
    <row r="84" spans="2:17">
      <c r="B84" s="5" t="s">
        <v>166</v>
      </c>
      <c r="F84" s="5" t="s">
        <v>164</v>
      </c>
      <c r="J84" s="58">
        <f t="shared" si="11"/>
        <v>0</v>
      </c>
      <c r="L84" s="80"/>
      <c r="M84" s="80"/>
      <c r="N84" s="80"/>
      <c r="O84" s="80"/>
      <c r="P84" s="80"/>
      <c r="Q84" s="80"/>
    </row>
    <row r="86" spans="2:17">
      <c r="B86" s="27" t="s">
        <v>118</v>
      </c>
    </row>
    <row r="87" spans="2:17">
      <c r="B87" s="5" t="s">
        <v>119</v>
      </c>
      <c r="F87" s="5" t="s">
        <v>164</v>
      </c>
      <c r="J87" s="58">
        <f t="shared" ref="J87:J93" si="12">SUM(L87:Q87)</f>
        <v>60543.828292436716</v>
      </c>
      <c r="L87" s="37">
        <f>'Rekenvolumes TD'!L86</f>
        <v>289.96164383561643</v>
      </c>
      <c r="M87" s="37">
        <f>'Rekenvolumes TD'!M86</f>
        <v>23419.68732045011</v>
      </c>
      <c r="N87" s="37">
        <f>'Rekenvolumes TD'!N86</f>
        <v>23645.553744292232</v>
      </c>
      <c r="O87" s="37">
        <f>'Rekenvolumes TD'!O86</f>
        <v>189</v>
      </c>
      <c r="P87" s="37">
        <f>'Rekenvolumes TD'!P86</f>
        <v>12377.362368663596</v>
      </c>
      <c r="Q87" s="37">
        <f>'Rekenvolumes TD'!Q86</f>
        <v>622.26321519516523</v>
      </c>
    </row>
    <row r="88" spans="2:17">
      <c r="B88" s="5" t="s">
        <v>120</v>
      </c>
      <c r="F88" s="5" t="s">
        <v>164</v>
      </c>
      <c r="J88" s="58">
        <f t="shared" si="12"/>
        <v>63175.167579507623</v>
      </c>
      <c r="L88" s="37">
        <f>'Rekenvolumes TD'!L87</f>
        <v>332.18356164383562</v>
      </c>
      <c r="M88" s="37">
        <f>'Rekenvolumes TD'!M87</f>
        <v>22954.840041822921</v>
      </c>
      <c r="N88" s="37">
        <f>'Rekenvolumes TD'!N87</f>
        <v>22862.926621004561</v>
      </c>
      <c r="O88" s="37">
        <f>'Rekenvolumes TD'!O87</f>
        <v>222.8</v>
      </c>
      <c r="P88" s="37">
        <f>'Rekenvolumes TD'!P87</f>
        <v>16281.160210189453</v>
      </c>
      <c r="Q88" s="37">
        <f>'Rekenvolumes TD'!Q87</f>
        <v>521.25714484684158</v>
      </c>
    </row>
    <row r="89" spans="2:17">
      <c r="B89" s="5" t="s">
        <v>121</v>
      </c>
      <c r="F89" s="5" t="s">
        <v>164</v>
      </c>
      <c r="J89" s="58">
        <f t="shared" si="12"/>
        <v>71300.642369314024</v>
      </c>
      <c r="L89" s="37">
        <f>'Rekenvolumes TD'!L88</f>
        <v>411.97260273972603</v>
      </c>
      <c r="M89" s="37">
        <f>'Rekenvolumes TD'!M88</f>
        <v>25717.763916930995</v>
      </c>
      <c r="N89" s="37">
        <f>'Rekenvolumes TD'!N88</f>
        <v>27313.474315068492</v>
      </c>
      <c r="O89" s="37">
        <f>'Rekenvolumes TD'!O88</f>
        <v>286.2</v>
      </c>
      <c r="P89" s="37">
        <f>'Rekenvolumes TD'!P88</f>
        <v>16809.746737224781</v>
      </c>
      <c r="Q89" s="37">
        <f>'Rekenvolumes TD'!Q88</f>
        <v>761.48479735002547</v>
      </c>
    </row>
    <row r="90" spans="2:17">
      <c r="B90" s="5" t="s">
        <v>122</v>
      </c>
      <c r="F90" s="5" t="s">
        <v>164</v>
      </c>
      <c r="J90" s="58">
        <f t="shared" si="12"/>
        <v>180647.65610315494</v>
      </c>
      <c r="L90" s="37">
        <f>'Rekenvolumes TD'!L89</f>
        <v>1091.7506849315068</v>
      </c>
      <c r="M90" s="37">
        <f>'Rekenvolumes TD'!M89</f>
        <v>65749.77575713869</v>
      </c>
      <c r="N90" s="37">
        <f>'Rekenvolumes TD'!N89</f>
        <v>65984.819417808219</v>
      </c>
      <c r="O90" s="37">
        <f>'Rekenvolumes TD'!O89</f>
        <v>586.24</v>
      </c>
      <c r="P90" s="37">
        <f>'Rekenvolumes TD'!P89</f>
        <v>45644.355287506405</v>
      </c>
      <c r="Q90" s="37">
        <f>'Rekenvolumes TD'!Q89</f>
        <v>1590.7149557701089</v>
      </c>
    </row>
    <row r="91" spans="2:17">
      <c r="B91" s="5" t="s">
        <v>147</v>
      </c>
      <c r="F91" s="5" t="s">
        <v>164</v>
      </c>
      <c r="J91" s="58">
        <f t="shared" si="12"/>
        <v>8092669.8118448891</v>
      </c>
      <c r="L91" s="37">
        <f>'Rekenvolumes TD'!L90</f>
        <v>51930.657534246573</v>
      </c>
      <c r="M91" s="37">
        <f>'Rekenvolumes TD'!M90</f>
        <v>2646834.7430775813</v>
      </c>
      <c r="N91" s="37">
        <f>'Rekenvolumes TD'!N90</f>
        <v>3081690.6259259256</v>
      </c>
      <c r="O91" s="37">
        <f>'Rekenvolumes TD'!O90</f>
        <v>31713.33</v>
      </c>
      <c r="P91" s="37">
        <f>'Rekenvolumes TD'!P90</f>
        <v>2222443.6643497185</v>
      </c>
      <c r="Q91" s="37">
        <f>'Rekenvolumes TD'!Q90</f>
        <v>58056.790957417208</v>
      </c>
    </row>
    <row r="92" spans="2:17">
      <c r="B92" s="5" t="s">
        <v>148</v>
      </c>
      <c r="F92" s="5" t="s">
        <v>164</v>
      </c>
      <c r="J92" s="58">
        <f t="shared" si="12"/>
        <v>16721.28692157305</v>
      </c>
      <c r="L92" s="37">
        <f>'Rekenvolumes TD'!L91</f>
        <v>0.48493150684931507</v>
      </c>
      <c r="M92" s="37">
        <f>'Rekenvolumes TD'!M91</f>
        <v>5983.8852033458361</v>
      </c>
      <c r="N92" s="37">
        <f>'Rekenvolumes TD'!N91</f>
        <v>8850.8948198883809</v>
      </c>
      <c r="O92" s="37">
        <f>'Rekenvolumes TD'!O91</f>
        <v>10.4</v>
      </c>
      <c r="P92" s="37">
        <f>'Rekenvolumes TD'!P91</f>
        <v>1874.6224027137739</v>
      </c>
      <c r="Q92" s="37">
        <f>'Rekenvolumes TD'!Q91</f>
        <v>0.99956411821114133</v>
      </c>
    </row>
    <row r="93" spans="2:17">
      <c r="B93" s="5" t="s">
        <v>123</v>
      </c>
      <c r="F93" s="5" t="s">
        <v>164</v>
      </c>
      <c r="J93" s="58">
        <f t="shared" si="12"/>
        <v>2769505.1723103845</v>
      </c>
      <c r="L93" s="37">
        <f>'Rekenvolumes TD'!L92</f>
        <v>25871</v>
      </c>
      <c r="M93" s="37">
        <f>'Rekenvolumes TD'!M92</f>
        <v>1235073.1814248627</v>
      </c>
      <c r="N93" s="37">
        <f>'Rekenvolumes TD'!N92</f>
        <v>786448.09577371902</v>
      </c>
      <c r="O93" s="37">
        <f>'Rekenvolumes TD'!O92</f>
        <v>18957</v>
      </c>
      <c r="P93" s="37">
        <f>'Rekenvolumes TD'!P92</f>
        <v>675019.2535122222</v>
      </c>
      <c r="Q93" s="37">
        <f>'Rekenvolumes TD'!Q92</f>
        <v>28136.641599580427</v>
      </c>
    </row>
    <row r="95" spans="2:17">
      <c r="B95" s="27" t="s">
        <v>125</v>
      </c>
    </row>
    <row r="97" spans="2:23">
      <c r="B97" s="5" t="s">
        <v>126</v>
      </c>
      <c r="F97" s="5" t="s">
        <v>164</v>
      </c>
      <c r="J97" s="58">
        <f t="shared" ref="J97:J98" si="13">SUM(L97:Q97)</f>
        <v>826067593.98133087</v>
      </c>
      <c r="L97" s="37">
        <f>'Rekenvolumes TD'!L96</f>
        <v>2812114</v>
      </c>
      <c r="M97" s="37">
        <f>'Rekenvolumes TD'!M96</f>
        <v>226971202.46913582</v>
      </c>
      <c r="N97" s="37">
        <f>'Rekenvolumes TD'!N96</f>
        <v>382217968</v>
      </c>
      <c r="O97" s="37">
        <f>'Rekenvolumes TD'!O96</f>
        <v>4832740</v>
      </c>
      <c r="P97" s="37">
        <f>'Rekenvolumes TD'!P96</f>
        <v>209233569.51219508</v>
      </c>
      <c r="Q97" s="37">
        <f>'Rekenvolumes TD'!Q96</f>
        <v>0</v>
      </c>
    </row>
    <row r="98" spans="2:23">
      <c r="B98" s="5" t="s">
        <v>127</v>
      </c>
      <c r="F98" s="5" t="s">
        <v>164</v>
      </c>
      <c r="J98" s="58">
        <f t="shared" si="13"/>
        <v>95243479.569406807</v>
      </c>
      <c r="L98" s="37">
        <f>'Rekenvolumes TD'!L97</f>
        <v>80867</v>
      </c>
      <c r="M98" s="37">
        <f>'Rekenvolumes TD'!M97</f>
        <v>51403324.69135803</v>
      </c>
      <c r="N98" s="37">
        <f>'Rekenvolumes TD'!N97</f>
        <v>18955157</v>
      </c>
      <c r="O98" s="37">
        <f>'Rekenvolumes TD'!O97</f>
        <v>161776</v>
      </c>
      <c r="P98" s="37">
        <f>'Rekenvolumes TD'!P97</f>
        <v>24642354.878048778</v>
      </c>
      <c r="Q98" s="37">
        <f>'Rekenvolumes TD'!Q97</f>
        <v>0</v>
      </c>
    </row>
    <row r="100" spans="2:23" s="11" customFormat="1">
      <c r="B100" s="11" t="s">
        <v>188</v>
      </c>
    </row>
    <row r="102" spans="2:23" s="52" customFormat="1">
      <c r="B102" s="55" t="s">
        <v>96</v>
      </c>
      <c r="F102" s="54"/>
    </row>
    <row r="103" spans="2:23" s="52" customFormat="1">
      <c r="B103" s="56"/>
      <c r="J103" s="54"/>
      <c r="K103" s="54"/>
    </row>
    <row r="104" spans="2:23" s="52" customFormat="1">
      <c r="B104" s="57" t="s">
        <v>97</v>
      </c>
      <c r="J104" s="54"/>
      <c r="K104" s="54"/>
    </row>
    <row r="105" spans="2:23" s="52" customFormat="1">
      <c r="B105" s="52" t="s">
        <v>98</v>
      </c>
      <c r="F105" s="52" t="s">
        <v>164</v>
      </c>
      <c r="J105" s="58">
        <f t="shared" ref="J105:J107" si="14">SUM(L105:Q105)</f>
        <v>0</v>
      </c>
      <c r="K105" s="54"/>
      <c r="L105" s="80"/>
      <c r="M105" s="80"/>
      <c r="N105" s="80"/>
      <c r="O105" s="80"/>
      <c r="P105" s="80"/>
      <c r="Q105" s="80"/>
      <c r="R105" s="39"/>
      <c r="T105" s="76"/>
      <c r="W105"/>
    </row>
    <row r="106" spans="2:23" s="52" customFormat="1">
      <c r="B106" s="52" t="s">
        <v>99</v>
      </c>
      <c r="F106" s="52" t="s">
        <v>164</v>
      </c>
      <c r="J106" s="58">
        <f t="shared" si="14"/>
        <v>905575.77666666661</v>
      </c>
      <c r="K106" s="54"/>
      <c r="L106" s="37">
        <f>'Realisatie 2022'!L16</f>
        <v>0</v>
      </c>
      <c r="M106" s="37">
        <f>'Realisatie 2022'!M16</f>
        <v>0</v>
      </c>
      <c r="N106" s="37">
        <f>'Realisatie 2022'!N16</f>
        <v>905575.77666666661</v>
      </c>
      <c r="O106" s="37">
        <f>'Realisatie 2022'!O16</f>
        <v>0</v>
      </c>
      <c r="P106" s="37">
        <f>'Realisatie 2022'!P16</f>
        <v>0</v>
      </c>
      <c r="Q106" s="37">
        <f>'Realisatie 2022'!Q16</f>
        <v>0</v>
      </c>
      <c r="R106" s="39"/>
      <c r="W106"/>
    </row>
    <row r="107" spans="2:23" s="52" customFormat="1">
      <c r="B107" s="52" t="s">
        <v>100</v>
      </c>
      <c r="F107" s="52" t="s">
        <v>164</v>
      </c>
      <c r="J107" s="58">
        <f t="shared" si="14"/>
        <v>9352691.9032258056</v>
      </c>
      <c r="K107" s="54"/>
      <c r="L107" s="37">
        <f>'Realisatie 2022'!L17</f>
        <v>0</v>
      </c>
      <c r="M107" s="37">
        <f>'Realisatie 2022'!M17</f>
        <v>0</v>
      </c>
      <c r="N107" s="37">
        <f>'Realisatie 2022'!N17</f>
        <v>9352691.9032258056</v>
      </c>
      <c r="O107" s="37">
        <f>'Realisatie 2022'!O17</f>
        <v>0</v>
      </c>
      <c r="P107" s="37">
        <f>'Realisatie 2022'!P17</f>
        <v>0</v>
      </c>
      <c r="Q107" s="37">
        <f>'Realisatie 2022'!Q17</f>
        <v>0</v>
      </c>
      <c r="R107" s="39"/>
      <c r="W107"/>
    </row>
    <row r="108" spans="2:23" s="52" customFormat="1">
      <c r="J108" s="54"/>
      <c r="K108" s="54"/>
      <c r="W108"/>
    </row>
    <row r="109" spans="2:23" s="52" customFormat="1">
      <c r="B109" s="56" t="s">
        <v>101</v>
      </c>
      <c r="J109" s="54"/>
      <c r="K109" s="54"/>
      <c r="W109"/>
    </row>
    <row r="110" spans="2:23" s="52" customFormat="1">
      <c r="B110" s="52" t="s">
        <v>98</v>
      </c>
      <c r="F110" s="52" t="s">
        <v>164</v>
      </c>
      <c r="J110" s="58">
        <f t="shared" ref="J110:J112" si="15">SUM(L110:Q110)</f>
        <v>0</v>
      </c>
      <c r="K110" s="54"/>
      <c r="L110" s="80"/>
      <c r="M110" s="80"/>
      <c r="N110" s="80"/>
      <c r="O110" s="80"/>
      <c r="P110" s="80"/>
      <c r="Q110" s="80"/>
      <c r="R110" s="39"/>
      <c r="W110"/>
    </row>
    <row r="111" spans="2:23" s="52" customFormat="1">
      <c r="B111" s="52" t="s">
        <v>99</v>
      </c>
      <c r="F111" s="52" t="s">
        <v>164</v>
      </c>
      <c r="J111" s="58">
        <f t="shared" si="15"/>
        <v>19029.335000000003</v>
      </c>
      <c r="K111" s="54"/>
      <c r="L111" s="37">
        <f>'Realisatie 2022'!L21</f>
        <v>0</v>
      </c>
      <c r="M111" s="37">
        <f>'Realisatie 2022'!M21</f>
        <v>0</v>
      </c>
      <c r="N111" s="37">
        <f>'Realisatie 2022'!N21</f>
        <v>19029.335000000003</v>
      </c>
      <c r="O111" s="37">
        <f>'Realisatie 2022'!O21</f>
        <v>0</v>
      </c>
      <c r="P111" s="37">
        <f>'Realisatie 2022'!P21</f>
        <v>0</v>
      </c>
      <c r="Q111" s="37">
        <f>'Realisatie 2022'!Q21</f>
        <v>0</v>
      </c>
      <c r="R111" s="39"/>
      <c r="W111"/>
    </row>
    <row r="112" spans="2:23" s="52" customFormat="1">
      <c r="B112" s="52" t="s">
        <v>102</v>
      </c>
      <c r="F112" s="52" t="s">
        <v>164</v>
      </c>
      <c r="J112" s="58">
        <f t="shared" si="15"/>
        <v>432434.67441860464</v>
      </c>
      <c r="K112" s="54"/>
      <c r="L112" s="37">
        <f>'Realisatie 2022'!L22</f>
        <v>0</v>
      </c>
      <c r="M112" s="37">
        <f>'Realisatie 2022'!M22</f>
        <v>0</v>
      </c>
      <c r="N112" s="37">
        <f>'Realisatie 2022'!N22</f>
        <v>432434.67441860464</v>
      </c>
      <c r="O112" s="37">
        <f>'Realisatie 2022'!O22</f>
        <v>0</v>
      </c>
      <c r="P112" s="37">
        <f>'Realisatie 2022'!P22</f>
        <v>0</v>
      </c>
      <c r="Q112" s="37">
        <f>'Realisatie 2022'!Q22</f>
        <v>0</v>
      </c>
      <c r="R112" s="39"/>
      <c r="W112"/>
    </row>
    <row r="113" spans="2:25" s="52" customFormat="1">
      <c r="J113" s="54"/>
      <c r="K113" s="54"/>
      <c r="W113"/>
    </row>
    <row r="114" spans="2:25" s="52" customFormat="1">
      <c r="B114" s="56" t="s">
        <v>103</v>
      </c>
      <c r="J114" s="54"/>
      <c r="K114" s="54"/>
      <c r="W114"/>
    </row>
    <row r="115" spans="2:25" s="52" customFormat="1">
      <c r="B115" s="52" t="s">
        <v>98</v>
      </c>
      <c r="F115" s="52" t="s">
        <v>164</v>
      </c>
      <c r="J115" s="58">
        <f t="shared" ref="J115:J117" si="16">SUM(L115:Q115)</f>
        <v>0</v>
      </c>
      <c r="K115" s="54"/>
      <c r="L115" s="80"/>
      <c r="M115" s="80"/>
      <c r="N115" s="80"/>
      <c r="O115" s="80"/>
      <c r="P115" s="80"/>
      <c r="Q115" s="80"/>
      <c r="R115" s="39"/>
      <c r="W115"/>
    </row>
    <row r="116" spans="2:25" s="52" customFormat="1">
      <c r="B116" s="52" t="s">
        <v>99</v>
      </c>
      <c r="F116" s="52" t="s">
        <v>164</v>
      </c>
      <c r="J116" s="58">
        <f t="shared" si="16"/>
        <v>1183072.911954165</v>
      </c>
      <c r="K116" s="54"/>
      <c r="L116" s="37">
        <f>'Realisatie 2022'!L26</f>
        <v>0</v>
      </c>
      <c r="M116" s="37">
        <f>'Realisatie 2022'!M26</f>
        <v>130729.37976437979</v>
      </c>
      <c r="N116" s="37">
        <f>'Realisatie 2022'!N26</f>
        <v>92938.998333333337</v>
      </c>
      <c r="O116" s="37">
        <f>'Realisatie 2022'!O26</f>
        <v>0</v>
      </c>
      <c r="P116" s="37">
        <f>'Realisatie 2022'!P26</f>
        <v>959404.53385645198</v>
      </c>
      <c r="Q116" s="37">
        <f>'Realisatie 2022'!Q26</f>
        <v>0</v>
      </c>
      <c r="R116" s="39"/>
      <c r="T116" s="82"/>
      <c r="U116" s="82"/>
      <c r="W116"/>
    </row>
    <row r="117" spans="2:25" s="52" customFormat="1">
      <c r="B117" s="52" t="s">
        <v>100</v>
      </c>
      <c r="F117" s="52" t="s">
        <v>164</v>
      </c>
      <c r="J117" s="58">
        <f t="shared" si="16"/>
        <v>9853937.1603643373</v>
      </c>
      <c r="K117" s="54"/>
      <c r="L117" s="37">
        <f>'Realisatie 2022'!L27</f>
        <v>0</v>
      </c>
      <c r="M117" s="37">
        <f>'Realisatie 2022'!M27</f>
        <v>762272.90285714285</v>
      </c>
      <c r="N117" s="37">
        <f>'Realisatie 2022'!N27</f>
        <v>831668.23178858496</v>
      </c>
      <c r="O117" s="37">
        <f>'Realisatie 2022'!O27</f>
        <v>0</v>
      </c>
      <c r="P117" s="37">
        <f>'Realisatie 2022'!P27</f>
        <v>8259996.0257186089</v>
      </c>
      <c r="Q117" s="37">
        <f>'Realisatie 2022'!Q27</f>
        <v>0</v>
      </c>
      <c r="R117" s="39"/>
      <c r="T117" s="82"/>
      <c r="U117" s="82"/>
      <c r="W117"/>
    </row>
    <row r="118" spans="2:25" s="52" customFormat="1">
      <c r="J118" s="54"/>
      <c r="K118" s="54"/>
      <c r="W118"/>
    </row>
    <row r="119" spans="2:25" s="52" customFormat="1">
      <c r="B119" s="56" t="s">
        <v>104</v>
      </c>
      <c r="J119" s="54"/>
      <c r="K119" s="54"/>
      <c r="W119"/>
    </row>
    <row r="120" spans="2:25" s="52" customFormat="1">
      <c r="B120" s="52" t="s">
        <v>98</v>
      </c>
      <c r="F120" s="52" t="s">
        <v>164</v>
      </c>
      <c r="J120" s="58">
        <f t="shared" ref="J120:J122" si="17">SUM(L120:Q120)</f>
        <v>0</v>
      </c>
      <c r="K120" s="54"/>
      <c r="L120" s="80"/>
      <c r="M120" s="80"/>
      <c r="N120" s="80"/>
      <c r="O120" s="80"/>
      <c r="P120" s="80"/>
      <c r="Q120" s="80"/>
      <c r="R120" s="39"/>
      <c r="W120"/>
    </row>
    <row r="121" spans="2:25" s="52" customFormat="1">
      <c r="B121" s="52" t="s">
        <v>99</v>
      </c>
      <c r="F121" s="52" t="s">
        <v>164</v>
      </c>
      <c r="J121" s="58">
        <f t="shared" si="17"/>
        <v>155655.35957243358</v>
      </c>
      <c r="K121" s="54"/>
      <c r="L121" s="37">
        <f>'Realisatie 2022'!L31</f>
        <v>0</v>
      </c>
      <c r="M121" s="37">
        <f>'Realisatie 2022'!M31</f>
        <v>26129.991689750696</v>
      </c>
      <c r="N121" s="37">
        <f>'Realisatie 2022'!N31</f>
        <v>77127.674166666679</v>
      </c>
      <c r="O121" s="37">
        <f>'Realisatie 2022'!O31</f>
        <v>0</v>
      </c>
      <c r="P121" s="37">
        <f>'Realisatie 2022'!P31</f>
        <v>52397.69371601622</v>
      </c>
      <c r="Q121" s="37">
        <f>'Realisatie 2022'!Q31</f>
        <v>0</v>
      </c>
      <c r="R121" s="39"/>
      <c r="W121"/>
    </row>
    <row r="122" spans="2:25" s="52" customFormat="1">
      <c r="B122" s="52" t="s">
        <v>102</v>
      </c>
      <c r="F122" s="52" t="s">
        <v>164</v>
      </c>
      <c r="J122" s="58">
        <f t="shared" si="17"/>
        <v>1971473.3135719218</v>
      </c>
      <c r="K122" s="54"/>
      <c r="L122" s="37">
        <f>'Realisatie 2022'!L32</f>
        <v>0</v>
      </c>
      <c r="M122" s="37">
        <f>'Realisatie 2022'!M32</f>
        <v>237274.57377049184</v>
      </c>
      <c r="N122" s="37">
        <f>'Realisatie 2022'!N32</f>
        <v>1401050.7127035279</v>
      </c>
      <c r="O122" s="37">
        <f>'Realisatie 2022'!O32</f>
        <v>0</v>
      </c>
      <c r="P122" s="37">
        <f>'Realisatie 2022'!P32</f>
        <v>333148.02709790203</v>
      </c>
      <c r="Q122" s="37">
        <f>'Realisatie 2022'!Q32</f>
        <v>0</v>
      </c>
      <c r="R122" s="39"/>
      <c r="W122"/>
    </row>
    <row r="123" spans="2:25" s="52" customFormat="1">
      <c r="J123" s="54"/>
      <c r="K123" s="54"/>
      <c r="W123"/>
    </row>
    <row r="124" spans="2:25" s="52" customFormat="1">
      <c r="B124" s="56" t="s">
        <v>105</v>
      </c>
      <c r="J124" s="54"/>
      <c r="K124" s="54"/>
      <c r="U124" s="82"/>
      <c r="V124" s="82"/>
      <c r="W124"/>
      <c r="X124" s="82"/>
      <c r="Y124" s="82"/>
    </row>
    <row r="125" spans="2:25" s="52" customFormat="1">
      <c r="B125" s="52" t="s">
        <v>98</v>
      </c>
      <c r="F125" s="52" t="s">
        <v>164</v>
      </c>
      <c r="J125" s="58">
        <f t="shared" ref="J125:J127" si="18">SUM(L125:Q125)</f>
        <v>0</v>
      </c>
      <c r="K125" s="54"/>
      <c r="L125" s="80"/>
      <c r="M125" s="80"/>
      <c r="N125" s="80"/>
      <c r="O125" s="80"/>
      <c r="P125" s="80"/>
      <c r="Q125" s="80"/>
      <c r="R125" s="39"/>
      <c r="U125" s="82"/>
      <c r="V125" s="82"/>
      <c r="W125"/>
      <c r="X125" s="82"/>
      <c r="Y125" s="82"/>
    </row>
    <row r="126" spans="2:25" s="52" customFormat="1">
      <c r="B126" s="52" t="s">
        <v>99</v>
      </c>
      <c r="F126" s="52" t="s">
        <v>164</v>
      </c>
      <c r="J126" s="58">
        <f t="shared" si="18"/>
        <v>4103251.2280564304</v>
      </c>
      <c r="K126" s="54"/>
      <c r="L126" s="37">
        <f>'Realisatie 2022'!L36</f>
        <v>0</v>
      </c>
      <c r="M126" s="37">
        <f>'Realisatie 2022'!M36</f>
        <v>1270089.1838966203</v>
      </c>
      <c r="N126" s="37">
        <f>'Realisatie 2022'!N36</f>
        <v>1931132.2324999999</v>
      </c>
      <c r="O126" s="37">
        <f>'Realisatie 2022'!O36</f>
        <v>0</v>
      </c>
      <c r="P126" s="37">
        <f>'Realisatie 2022'!P36</f>
        <v>797651.1448639303</v>
      </c>
      <c r="Q126" s="37">
        <f>'Realisatie 2022'!Q36</f>
        <v>104378.66679587991</v>
      </c>
      <c r="R126" s="39"/>
      <c r="W126"/>
    </row>
    <row r="127" spans="2:25" s="52" customFormat="1">
      <c r="B127" s="52" t="s">
        <v>100</v>
      </c>
      <c r="F127" s="52" t="s">
        <v>164</v>
      </c>
      <c r="J127" s="58">
        <f t="shared" si="18"/>
        <v>33231522.166838359</v>
      </c>
      <c r="K127" s="54"/>
      <c r="L127" s="37">
        <f>'Realisatie 2022'!L37</f>
        <v>0</v>
      </c>
      <c r="M127" s="37">
        <f>'Realisatie 2022'!M37</f>
        <v>11296431.723300971</v>
      </c>
      <c r="N127" s="37">
        <f>'Realisatie 2022'!N37</f>
        <v>14417780.396851415</v>
      </c>
      <c r="O127" s="37">
        <f>'Realisatie 2022'!O37</f>
        <v>0</v>
      </c>
      <c r="P127" s="37">
        <f>'Realisatie 2022'!P37</f>
        <v>6600453.0492391679</v>
      </c>
      <c r="Q127" s="37">
        <f>'Realisatie 2022'!Q37</f>
        <v>916856.99744680838</v>
      </c>
      <c r="R127" s="39"/>
      <c r="W127"/>
    </row>
    <row r="128" spans="2:25" s="52" customFormat="1">
      <c r="J128" s="54"/>
      <c r="K128" s="54"/>
      <c r="W128"/>
    </row>
    <row r="129" spans="2:23" s="52" customFormat="1">
      <c r="B129" s="56" t="s">
        <v>106</v>
      </c>
      <c r="K129" s="54"/>
      <c r="W129"/>
    </row>
    <row r="130" spans="2:23" s="52" customFormat="1">
      <c r="B130" s="52" t="s">
        <v>98</v>
      </c>
      <c r="F130" s="52" t="s">
        <v>164</v>
      </c>
      <c r="J130" s="58">
        <f t="shared" ref="J130:J132" si="19">SUM(L130:Q130)</f>
        <v>0</v>
      </c>
      <c r="K130" s="54"/>
      <c r="L130" s="80"/>
      <c r="M130" s="80"/>
      <c r="N130" s="80"/>
      <c r="O130" s="80"/>
      <c r="P130" s="80"/>
      <c r="Q130" s="80"/>
      <c r="R130" s="39"/>
      <c r="W130"/>
    </row>
    <row r="131" spans="2:23" s="52" customFormat="1">
      <c r="B131" s="52" t="s">
        <v>99</v>
      </c>
      <c r="F131" s="52" t="s">
        <v>164</v>
      </c>
      <c r="J131" s="58">
        <f t="shared" si="19"/>
        <v>144162.63144167414</v>
      </c>
      <c r="K131" s="54"/>
      <c r="L131" s="37">
        <f>'Realisatie 2022'!L41</f>
        <v>0</v>
      </c>
      <c r="M131" s="37">
        <f>'Realisatie 2022'!M41</f>
        <v>108353.17992047711</v>
      </c>
      <c r="N131" s="37">
        <f>'Realisatie 2022'!N41</f>
        <v>32626.726666666666</v>
      </c>
      <c r="O131" s="37">
        <f>'Realisatie 2022'!O41</f>
        <v>0</v>
      </c>
      <c r="P131" s="37">
        <f>'Realisatie 2022'!P41</f>
        <v>3182.7248545303446</v>
      </c>
      <c r="Q131" s="37">
        <f>'Realisatie 2022'!Q41</f>
        <v>0</v>
      </c>
      <c r="R131" s="39"/>
      <c r="W131"/>
    </row>
    <row r="132" spans="2:23" s="52" customFormat="1">
      <c r="B132" s="52" t="s">
        <v>102</v>
      </c>
      <c r="F132" s="52" t="s">
        <v>164</v>
      </c>
      <c r="J132" s="58">
        <f t="shared" si="19"/>
        <v>1575308.1623521789</v>
      </c>
      <c r="K132" s="54"/>
      <c r="L132" s="37">
        <f>'Realisatie 2022'!L42</f>
        <v>0</v>
      </c>
      <c r="M132" s="37">
        <f>'Realisatie 2022'!M42</f>
        <v>1224046.8309859156</v>
      </c>
      <c r="N132" s="37">
        <f>'Realisatie 2022'!N42</f>
        <v>307202.74308922037</v>
      </c>
      <c r="O132" s="37">
        <f>'Realisatie 2022'!O42</f>
        <v>0</v>
      </c>
      <c r="P132" s="37">
        <f>'Realisatie 2022'!P42</f>
        <v>44058.588277043134</v>
      </c>
      <c r="Q132" s="37">
        <f>'Realisatie 2022'!Q42</f>
        <v>0</v>
      </c>
      <c r="R132" s="39"/>
      <c r="W132"/>
    </row>
    <row r="133" spans="2:23" s="52" customFormat="1">
      <c r="J133" s="54"/>
      <c r="K133" s="54"/>
      <c r="W133"/>
    </row>
    <row r="134" spans="2:23" s="52" customFormat="1">
      <c r="J134" s="54"/>
      <c r="K134" s="54"/>
      <c r="W134"/>
    </row>
    <row r="135" spans="2:23">
      <c r="B135" s="27" t="s">
        <v>107</v>
      </c>
      <c r="W135"/>
    </row>
    <row r="136" spans="2:23">
      <c r="W136"/>
    </row>
    <row r="137" spans="2:23">
      <c r="B137" s="27" t="s">
        <v>108</v>
      </c>
      <c r="W137"/>
    </row>
    <row r="138" spans="2:23">
      <c r="B138" s="5" t="s">
        <v>98</v>
      </c>
      <c r="F138" s="5" t="s">
        <v>164</v>
      </c>
      <c r="J138" s="58">
        <f t="shared" ref="J138:J141" si="20">SUM(L138:Q138)</f>
        <v>0</v>
      </c>
      <c r="L138" s="85"/>
      <c r="M138" s="80"/>
      <c r="N138" s="85"/>
      <c r="O138" s="80"/>
      <c r="P138" s="85"/>
      <c r="Q138" s="85"/>
      <c r="S138" s="81"/>
      <c r="W138"/>
    </row>
    <row r="139" spans="2:23">
      <c r="B139" s="5" t="s">
        <v>109</v>
      </c>
      <c r="F139" s="5" t="s">
        <v>164</v>
      </c>
      <c r="J139" s="58">
        <f t="shared" si="20"/>
        <v>965790.88726016879</v>
      </c>
      <c r="L139" s="85"/>
      <c r="M139" s="37">
        <f>'Realisatie 2022'!M49</f>
        <v>947956.18726016884</v>
      </c>
      <c r="N139" s="85"/>
      <c r="O139" s="37">
        <f>'Realisatie 2022'!O49</f>
        <v>17834.7</v>
      </c>
      <c r="P139" s="85"/>
      <c r="Q139" s="85"/>
      <c r="S139" s="81"/>
      <c r="W139"/>
    </row>
    <row r="140" spans="2:23">
      <c r="B140" s="5" t="s">
        <v>100</v>
      </c>
      <c r="F140" s="5" t="s">
        <v>164</v>
      </c>
      <c r="J140" s="58">
        <f t="shared" si="20"/>
        <v>8319497.3285714323</v>
      </c>
      <c r="L140" s="85"/>
      <c r="M140" s="37">
        <f>'Realisatie 2022'!M50</f>
        <v>8152128.3285714323</v>
      </c>
      <c r="N140" s="85"/>
      <c r="O140" s="37">
        <f>'Realisatie 2022'!O50</f>
        <v>167369</v>
      </c>
      <c r="P140" s="85"/>
      <c r="Q140" s="85"/>
      <c r="S140" s="81"/>
      <c r="W140"/>
    </row>
    <row r="141" spans="2:23">
      <c r="B141" s="5" t="s">
        <v>110</v>
      </c>
      <c r="F141" s="5" t="s">
        <v>164</v>
      </c>
      <c r="J141" s="58">
        <f t="shared" si="20"/>
        <v>3276768719.9420295</v>
      </c>
      <c r="L141" s="85"/>
      <c r="M141" s="37">
        <f>'Realisatie 2022'!M51</f>
        <v>3228318615.9420295</v>
      </c>
      <c r="N141" s="85"/>
      <c r="O141" s="37">
        <f>'Realisatie 2022'!O51</f>
        <v>48450104</v>
      </c>
      <c r="P141" s="85"/>
      <c r="Q141" s="85"/>
      <c r="S141" s="81"/>
      <c r="W141"/>
    </row>
    <row r="142" spans="2:23">
      <c r="W142"/>
    </row>
    <row r="143" spans="2:23">
      <c r="B143" s="27" t="s">
        <v>144</v>
      </c>
      <c r="M143" s="39"/>
      <c r="W143"/>
    </row>
    <row r="144" spans="2:23">
      <c r="B144" s="5" t="s">
        <v>98</v>
      </c>
      <c r="F144" s="5" t="s">
        <v>164</v>
      </c>
      <c r="J144" s="58">
        <f t="shared" ref="J144:J147" si="21">SUM(L144:Q144)</f>
        <v>0</v>
      </c>
      <c r="L144" s="85"/>
      <c r="M144" s="80"/>
      <c r="N144" s="85"/>
      <c r="O144" s="80"/>
      <c r="P144" s="85"/>
      <c r="Q144" s="85"/>
      <c r="S144" s="81"/>
      <c r="W144"/>
    </row>
    <row r="145" spans="2:23">
      <c r="B145" s="5" t="s">
        <v>109</v>
      </c>
      <c r="F145" s="5" t="s">
        <v>164</v>
      </c>
      <c r="J145" s="58">
        <f t="shared" si="21"/>
        <v>3694942.5559440558</v>
      </c>
      <c r="L145" s="85"/>
      <c r="M145" s="37">
        <f>'Realisatie 2022'!M55</f>
        <v>3677461.0559440558</v>
      </c>
      <c r="N145" s="85"/>
      <c r="O145" s="37">
        <f>'Realisatie 2022'!O55</f>
        <v>17481.5</v>
      </c>
      <c r="P145" s="85"/>
      <c r="Q145" s="85"/>
      <c r="S145" s="81"/>
      <c r="W145"/>
    </row>
    <row r="146" spans="2:23">
      <c r="B146" s="5" t="s">
        <v>100</v>
      </c>
      <c r="F146" s="5" t="s">
        <v>164</v>
      </c>
      <c r="J146" s="58">
        <f t="shared" si="21"/>
        <v>28292573.864705879</v>
      </c>
      <c r="L146" s="85"/>
      <c r="M146" s="37">
        <f>'Realisatie 2022'!M56</f>
        <v>28136205.864705879</v>
      </c>
      <c r="N146" s="85"/>
      <c r="O146" s="37">
        <f>'Realisatie 2022'!O56</f>
        <v>156368</v>
      </c>
      <c r="P146" s="85"/>
      <c r="Q146" s="85"/>
      <c r="S146" s="81"/>
      <c r="W146"/>
    </row>
    <row r="147" spans="2:23">
      <c r="B147" s="5" t="s">
        <v>110</v>
      </c>
      <c r="F147" s="5" t="s">
        <v>164</v>
      </c>
      <c r="J147" s="58">
        <f t="shared" si="21"/>
        <v>8080800551.8558598</v>
      </c>
      <c r="L147" s="85"/>
      <c r="M147" s="37">
        <f>'Realisatie 2022'!M57</f>
        <v>8021906255.8558598</v>
      </c>
      <c r="N147" s="85"/>
      <c r="O147" s="37">
        <f>'Realisatie 2022'!O57</f>
        <v>58894296</v>
      </c>
      <c r="P147" s="85"/>
      <c r="Q147" s="85"/>
      <c r="S147" s="81"/>
      <c r="W147"/>
    </row>
    <row r="148" spans="2:23">
      <c r="W148"/>
    </row>
    <row r="149" spans="2:23">
      <c r="B149" s="4" t="s">
        <v>163</v>
      </c>
      <c r="W149"/>
    </row>
    <row r="150" spans="2:23">
      <c r="B150" s="5" t="s">
        <v>98</v>
      </c>
      <c r="F150" s="5" t="s">
        <v>164</v>
      </c>
      <c r="J150" s="58">
        <f t="shared" ref="J150:J153" si="22">SUM(L150:Q150)</f>
        <v>0</v>
      </c>
      <c r="L150" s="80"/>
      <c r="M150" s="85"/>
      <c r="N150" s="80"/>
      <c r="O150" s="85"/>
      <c r="P150" s="80"/>
      <c r="Q150" s="80"/>
      <c r="S150" s="78"/>
      <c r="W150"/>
    </row>
    <row r="151" spans="2:23">
      <c r="B151" s="5" t="s">
        <v>109</v>
      </c>
      <c r="F151" s="5" t="s">
        <v>164</v>
      </c>
      <c r="J151" s="58">
        <f t="shared" si="22"/>
        <v>6118652.0393979494</v>
      </c>
      <c r="L151" s="37">
        <f>'Realisatie 2022'!L61</f>
        <v>46927</v>
      </c>
      <c r="M151" s="85"/>
      <c r="N151" s="37">
        <f>'Realisatie 2022'!N61</f>
        <v>3661724.3802961432</v>
      </c>
      <c r="O151" s="85"/>
      <c r="P151" s="37">
        <f>'Realisatie 2022'!P61</f>
        <v>1972096.0362400906</v>
      </c>
      <c r="Q151" s="37">
        <f>'Realisatie 2022'!Q61</f>
        <v>437904.6228617148</v>
      </c>
      <c r="S151" s="78"/>
      <c r="W151"/>
    </row>
    <row r="152" spans="2:23">
      <c r="B152" s="5" t="s">
        <v>100</v>
      </c>
      <c r="F152" s="5" t="s">
        <v>164</v>
      </c>
      <c r="J152" s="58">
        <f t="shared" si="22"/>
        <v>46096708.500831164</v>
      </c>
      <c r="L152" s="37">
        <f>'Realisatie 2022'!L62</f>
        <v>360310</v>
      </c>
      <c r="M152" s="85"/>
      <c r="N152" s="37">
        <f>'Realisatie 2022'!N62</f>
        <v>27206108.561008204</v>
      </c>
      <c r="O152" s="85"/>
      <c r="P152" s="37">
        <f>'Realisatie 2022'!P62</f>
        <v>15313448.266987206</v>
      </c>
      <c r="Q152" s="37">
        <f>'Realisatie 2022'!Q62</f>
        <v>3216841.6728357547</v>
      </c>
      <c r="S152" s="78"/>
      <c r="W152"/>
    </row>
    <row r="153" spans="2:23">
      <c r="B153" s="5" t="s">
        <v>110</v>
      </c>
      <c r="F153" s="5" t="s">
        <v>164</v>
      </c>
      <c r="J153" s="58">
        <f t="shared" si="22"/>
        <v>13300895717.440157</v>
      </c>
      <c r="L153" s="37">
        <f>'Realisatie 2022'!L63</f>
        <v>125838019</v>
      </c>
      <c r="M153" s="85"/>
      <c r="N153" s="37">
        <f>'Realisatie 2022'!N63</f>
        <v>8144644595.5466862</v>
      </c>
      <c r="O153" s="85"/>
      <c r="P153" s="37">
        <f>'Realisatie 2022'!P63</f>
        <v>4547431074.2268038</v>
      </c>
      <c r="Q153" s="37">
        <f>'Realisatie 2022'!Q63</f>
        <v>482982028.66666669</v>
      </c>
      <c r="S153" s="78"/>
      <c r="W153"/>
    </row>
    <row r="154" spans="2:23">
      <c r="W154"/>
    </row>
    <row r="155" spans="2:23">
      <c r="B155" s="27" t="s">
        <v>111</v>
      </c>
      <c r="W155"/>
    </row>
    <row r="156" spans="2:23">
      <c r="B156" s="5" t="s">
        <v>98</v>
      </c>
      <c r="F156" s="5" t="s">
        <v>164</v>
      </c>
      <c r="J156" s="58">
        <f t="shared" ref="J156:J159" si="23">SUM(L156:Q156)</f>
        <v>0</v>
      </c>
      <c r="L156" s="80"/>
      <c r="M156" s="80"/>
      <c r="N156" s="80"/>
      <c r="O156" s="80"/>
      <c r="P156" s="80"/>
      <c r="Q156" s="80"/>
      <c r="S156" s="78"/>
      <c r="W156"/>
    </row>
    <row r="157" spans="2:23">
      <c r="B157" s="5" t="s">
        <v>109</v>
      </c>
      <c r="F157" s="5" t="s">
        <v>164</v>
      </c>
      <c r="J157" s="58">
        <f t="shared" si="23"/>
        <v>3890897.5563556291</v>
      </c>
      <c r="L157" s="37">
        <f>'Realisatie 2022'!L67</f>
        <v>53763</v>
      </c>
      <c r="M157" s="37">
        <f>'Realisatie 2022'!M67</f>
        <v>1086960.8959966982</v>
      </c>
      <c r="N157" s="37">
        <f>'Realisatie 2022'!N67</f>
        <v>1378514.6258333332</v>
      </c>
      <c r="O157" s="37">
        <f>'Realisatie 2022'!O67</f>
        <v>25763.5</v>
      </c>
      <c r="P157" s="37">
        <f>'Realisatie 2022'!P67</f>
        <v>1183760.343684606</v>
      </c>
      <c r="Q157" s="37">
        <f>'Realisatie 2022'!Q67</f>
        <v>162135.19084099136</v>
      </c>
      <c r="S157" s="78"/>
      <c r="W157"/>
    </row>
    <row r="158" spans="2:23">
      <c r="B158" s="5" t="s">
        <v>100</v>
      </c>
      <c r="F158" s="5" t="s">
        <v>164</v>
      </c>
      <c r="J158" s="58">
        <f t="shared" si="23"/>
        <v>28222330.79539321</v>
      </c>
      <c r="L158" s="37">
        <f>'Realisatie 2022'!L68</f>
        <v>418171</v>
      </c>
      <c r="M158" s="37">
        <f>'Realisatie 2022'!M68</f>
        <v>7817150.2705882359</v>
      </c>
      <c r="N158" s="37">
        <f>'Realisatie 2022'!N68</f>
        <v>9883497.0444166046</v>
      </c>
      <c r="O158" s="37">
        <f>'Realisatie 2022'!O68</f>
        <v>204240</v>
      </c>
      <c r="P158" s="37">
        <f>'Realisatie 2022'!P68</f>
        <v>8714953.4582348969</v>
      </c>
      <c r="Q158" s="37">
        <f>'Realisatie 2022'!Q68</f>
        <v>1184319.0221534721</v>
      </c>
      <c r="S158" s="78"/>
      <c r="W158"/>
    </row>
    <row r="159" spans="2:23">
      <c r="B159" s="5" t="s">
        <v>110</v>
      </c>
      <c r="F159" s="5" t="s">
        <v>164</v>
      </c>
      <c r="J159" s="58">
        <f t="shared" si="23"/>
        <v>6767787204.1953268</v>
      </c>
      <c r="L159" s="37">
        <f>'Realisatie 2022'!L69</f>
        <v>113570372</v>
      </c>
      <c r="M159" s="37">
        <f>'Realisatie 2022'!M69</f>
        <v>1785431538.7387381</v>
      </c>
      <c r="N159" s="37">
        <f>'Realisatie 2022'!N69</f>
        <v>2391666630.6232553</v>
      </c>
      <c r="O159" s="37">
        <f>'Realisatie 2022'!O69</f>
        <v>55509348</v>
      </c>
      <c r="P159" s="37">
        <f>'Realisatie 2022'!P69</f>
        <v>2151850200</v>
      </c>
      <c r="Q159" s="37">
        <f>'Realisatie 2022'!Q69</f>
        <v>269759114.83333337</v>
      </c>
      <c r="S159" s="78"/>
      <c r="W159"/>
    </row>
    <row r="160" spans="2:23">
      <c r="W160"/>
    </row>
    <row r="161" spans="2:23">
      <c r="W161"/>
    </row>
    <row r="162" spans="2:23">
      <c r="B162" s="27" t="s">
        <v>112</v>
      </c>
      <c r="W162"/>
    </row>
    <row r="163" spans="2:23">
      <c r="W163"/>
    </row>
    <row r="164" spans="2:23">
      <c r="B164" s="27" t="s">
        <v>165</v>
      </c>
      <c r="W164"/>
    </row>
    <row r="165" spans="2:23">
      <c r="B165" s="5" t="s">
        <v>98</v>
      </c>
      <c r="F165" s="5" t="s">
        <v>164</v>
      </c>
      <c r="J165" s="58">
        <f t="shared" ref="J165:J168" si="24">SUM(L165:Q165)</f>
        <v>0</v>
      </c>
      <c r="L165" s="80"/>
      <c r="M165" s="80"/>
      <c r="N165" s="80"/>
      <c r="O165" s="80"/>
      <c r="P165" s="80"/>
      <c r="Q165" s="80"/>
      <c r="S165" s="40"/>
      <c r="W165"/>
    </row>
    <row r="166" spans="2:23">
      <c r="B166" s="5" t="s">
        <v>109</v>
      </c>
      <c r="F166" s="5" t="s">
        <v>164</v>
      </c>
      <c r="J166" s="58">
        <f t="shared" si="24"/>
        <v>900975.47096618102</v>
      </c>
      <c r="L166" s="37">
        <f>'Realisatie 2022'!L76</f>
        <v>25812</v>
      </c>
      <c r="M166" s="37">
        <f>'Realisatie 2022'!M76</f>
        <v>211616.92316784864</v>
      </c>
      <c r="N166" s="37">
        <f>'Realisatie 2022'!N76</f>
        <v>260220.70250000001</v>
      </c>
      <c r="O166" s="37">
        <f>'Realisatie 2022'!O76</f>
        <v>10969</v>
      </c>
      <c r="P166" s="37">
        <f>'Realisatie 2022'!P76</f>
        <v>385678.74422484584</v>
      </c>
      <c r="Q166" s="37">
        <f>'Realisatie 2022'!Q76</f>
        <v>6678.1010734864622</v>
      </c>
      <c r="S166" s="40"/>
      <c r="W166"/>
    </row>
    <row r="167" spans="2:23">
      <c r="B167" s="5" t="s">
        <v>114</v>
      </c>
      <c r="F167" s="5" t="s">
        <v>164</v>
      </c>
      <c r="J167" s="58">
        <f t="shared" si="24"/>
        <v>541169081.50445187</v>
      </c>
      <c r="L167" s="37">
        <f>'Realisatie 2022'!L77</f>
        <v>12368749</v>
      </c>
      <c r="M167" s="37">
        <f>'Realisatie 2022'!M77</f>
        <v>117516194.32989688</v>
      </c>
      <c r="N167" s="37">
        <f>'Realisatie 2022'!N77</f>
        <v>155651145.87469721</v>
      </c>
      <c r="O167" s="37">
        <f>'Realisatie 2022'!O77</f>
        <v>7560028</v>
      </c>
      <c r="P167" s="37">
        <f>'Realisatie 2022'!P77</f>
        <v>243760373.88889894</v>
      </c>
      <c r="Q167" s="37">
        <f>'Realisatie 2022'!Q77</f>
        <v>4312590.4109589048</v>
      </c>
      <c r="S167" s="40"/>
      <c r="W167"/>
    </row>
    <row r="168" spans="2:23">
      <c r="B168" s="5" t="s">
        <v>110</v>
      </c>
      <c r="F168" s="5" t="s">
        <v>164</v>
      </c>
      <c r="J168" s="58">
        <f t="shared" si="24"/>
        <v>749365449.54911685</v>
      </c>
      <c r="L168" s="37">
        <f>'Realisatie 2022'!L78</f>
        <v>21598577</v>
      </c>
      <c r="M168" s="37">
        <f>'Realisatie 2022'!M78</f>
        <v>154806145.55256063</v>
      </c>
      <c r="N168" s="37">
        <f>'Realisatie 2022'!N78</f>
        <v>209683978.59280664</v>
      </c>
      <c r="O168" s="37">
        <f>'Realisatie 2022'!O78</f>
        <v>11765477</v>
      </c>
      <c r="P168" s="37">
        <f>'Realisatie 2022'!P78</f>
        <v>346065251.07278037</v>
      </c>
      <c r="Q168" s="37">
        <f>'Realisatie 2022'!Q78</f>
        <v>5446020.3309692666</v>
      </c>
      <c r="W168"/>
    </row>
    <row r="169" spans="2:23">
      <c r="W169"/>
    </row>
    <row r="170" spans="2:23">
      <c r="B170" s="27" t="s">
        <v>115</v>
      </c>
      <c r="W170"/>
    </row>
    <row r="171" spans="2:23">
      <c r="B171" s="5" t="s">
        <v>116</v>
      </c>
      <c r="F171" s="5" t="s">
        <v>164</v>
      </c>
      <c r="J171" s="58">
        <f t="shared" ref="J171:J172" si="25">SUM(L171:Q171)</f>
        <v>0</v>
      </c>
      <c r="L171" s="80"/>
      <c r="M171" s="80"/>
      <c r="N171" s="80"/>
      <c r="O171" s="80"/>
      <c r="P171" s="80"/>
      <c r="Q171" s="80"/>
      <c r="S171" s="40"/>
      <c r="W171"/>
    </row>
    <row r="172" spans="2:23">
      <c r="B172" s="5" t="s">
        <v>166</v>
      </c>
      <c r="F172" s="5" t="s">
        <v>164</v>
      </c>
      <c r="J172" s="58">
        <f t="shared" si="25"/>
        <v>0</v>
      </c>
      <c r="L172" s="80"/>
      <c r="M172" s="80"/>
      <c r="N172" s="80"/>
      <c r="O172" s="80"/>
      <c r="P172" s="80"/>
      <c r="Q172" s="80"/>
      <c r="S172" s="40"/>
      <c r="W172"/>
    </row>
    <row r="173" spans="2:23">
      <c r="W173"/>
    </row>
    <row r="174" spans="2:23">
      <c r="B174" s="27" t="s">
        <v>118</v>
      </c>
      <c r="W174"/>
    </row>
    <row r="175" spans="2:23">
      <c r="B175" s="5" t="s">
        <v>119</v>
      </c>
      <c r="F175" s="5" t="s">
        <v>164</v>
      </c>
      <c r="J175" s="58">
        <f t="shared" ref="J175:J181" si="26">SUM(L175:Q175)</f>
        <v>62903.061979793485</v>
      </c>
      <c r="L175" s="37">
        <f>'Realisatie 2022'!L85</f>
        <v>297</v>
      </c>
      <c r="M175" s="37">
        <f>'Realisatie 2022'!M85</f>
        <v>24545.259185303468</v>
      </c>
      <c r="N175" s="37">
        <f>'Realisatie 2022'!N85</f>
        <v>24475.149726027394</v>
      </c>
      <c r="O175" s="37">
        <f>'Realisatie 2022'!O85</f>
        <v>198.8</v>
      </c>
      <c r="P175" s="37">
        <f>'Realisatie 2022'!P85</f>
        <v>12759.479851409515</v>
      </c>
      <c r="Q175" s="37">
        <f>'Realisatie 2022'!Q85</f>
        <v>627.37321705310808</v>
      </c>
      <c r="S175" s="40"/>
      <c r="W175"/>
    </row>
    <row r="176" spans="2:23">
      <c r="B176" s="5" t="s">
        <v>120</v>
      </c>
      <c r="F176" s="5" t="s">
        <v>164</v>
      </c>
      <c r="J176" s="58">
        <f t="shared" si="26"/>
        <v>63262.536352500982</v>
      </c>
      <c r="L176" s="37">
        <f>'Realisatie 2022'!L86</f>
        <v>340</v>
      </c>
      <c r="M176" s="37">
        <f>'Realisatie 2022'!M86</f>
        <v>22890.733379925477</v>
      </c>
      <c r="N176" s="37">
        <f>'Realisatie 2022'!N86</f>
        <v>22924.390022831045</v>
      </c>
      <c r="O176" s="37">
        <f>'Realisatie 2022'!O86</f>
        <v>223.6</v>
      </c>
      <c r="P176" s="37">
        <f>'Realisatie 2022'!P86</f>
        <v>16364.197346844887</v>
      </c>
      <c r="Q176" s="37">
        <f>'Realisatie 2022'!Q86</f>
        <v>519.6156028995722</v>
      </c>
      <c r="S176" s="40"/>
      <c r="W176"/>
    </row>
    <row r="177" spans="2:23">
      <c r="B177" s="5" t="s">
        <v>121</v>
      </c>
      <c r="F177" s="5" t="s">
        <v>164</v>
      </c>
      <c r="J177" s="58">
        <f t="shared" si="26"/>
        <v>72084.267546459087</v>
      </c>
      <c r="L177" s="37">
        <f>'Realisatie 2022'!L87</f>
        <v>417</v>
      </c>
      <c r="M177" s="37">
        <f>'Realisatie 2022'!M87</f>
        <v>25891.882747603824</v>
      </c>
      <c r="N177" s="37">
        <f>'Realisatie 2022'!N87</f>
        <v>27576.351632420086</v>
      </c>
      <c r="O177" s="37">
        <f>'Realisatie 2022'!O87</f>
        <v>288</v>
      </c>
      <c r="P177" s="37">
        <f>'Realisatie 2022'!P87</f>
        <v>17143.878436413001</v>
      </c>
      <c r="Q177" s="37">
        <f>'Realisatie 2022'!Q87</f>
        <v>767.15473002216731</v>
      </c>
      <c r="S177" s="40"/>
      <c r="W177"/>
    </row>
    <row r="178" spans="2:23">
      <c r="B178" s="5" t="s">
        <v>122</v>
      </c>
      <c r="F178" s="5" t="s">
        <v>164</v>
      </c>
      <c r="J178" s="58">
        <f t="shared" si="26"/>
        <v>184537.7076792712</v>
      </c>
      <c r="L178" s="37">
        <f>'Realisatie 2022'!L88</f>
        <v>1103</v>
      </c>
      <c r="M178" s="37">
        <f>'Realisatie 2022'!M88</f>
        <v>67182.244129392871</v>
      </c>
      <c r="N178" s="37">
        <f>'Realisatie 2022'!N88</f>
        <v>67309.567111872137</v>
      </c>
      <c r="O178" s="37">
        <f>'Realisatie 2022'!O88</f>
        <v>617.75</v>
      </c>
      <c r="P178" s="37">
        <f>'Realisatie 2022'!P88</f>
        <v>46678.392018960942</v>
      </c>
      <c r="Q178" s="37">
        <f>'Realisatie 2022'!Q88</f>
        <v>1646.7544190452518</v>
      </c>
      <c r="S178" s="40"/>
      <c r="W178"/>
    </row>
    <row r="179" spans="2:23">
      <c r="B179" s="5" t="s">
        <v>147</v>
      </c>
      <c r="F179" s="5" t="s">
        <v>164</v>
      </c>
      <c r="J179" s="58">
        <f t="shared" si="26"/>
        <v>8163875.1208624374</v>
      </c>
      <c r="L179" s="37">
        <f>'Realisatie 2022'!L89</f>
        <v>52126</v>
      </c>
      <c r="M179" s="37">
        <f>'Realisatie 2022'!M89</f>
        <v>2667197.4453540812</v>
      </c>
      <c r="N179" s="37">
        <f>'Realisatie 2022'!N89</f>
        <v>3113788.5654807203</v>
      </c>
      <c r="O179" s="37">
        <f>'Realisatie 2022'!O89</f>
        <v>31936.6</v>
      </c>
      <c r="P179" s="37">
        <f>'Realisatie 2022'!P89</f>
        <v>2240022.5176952118</v>
      </c>
      <c r="Q179" s="37">
        <f>'Realisatie 2022'!Q89</f>
        <v>58803.992332424299</v>
      </c>
      <c r="S179" s="40"/>
      <c r="W179"/>
    </row>
    <row r="180" spans="2:23">
      <c r="B180" s="5" t="s">
        <v>148</v>
      </c>
      <c r="F180" s="5" t="s">
        <v>164</v>
      </c>
      <c r="J180" s="58">
        <f t="shared" si="26"/>
        <v>17215.78362731541</v>
      </c>
      <c r="L180" s="37">
        <f>'Realisatie 2022'!L90</f>
        <v>2</v>
      </c>
      <c r="M180" s="37">
        <f>'Realisatie 2022'!M90</f>
        <v>6188.1027689030907</v>
      </c>
      <c r="N180" s="37">
        <f>'Realisatie 2022'!N90</f>
        <v>9158.3065449010646</v>
      </c>
      <c r="O180" s="37">
        <f>'Realisatie 2022'!O90</f>
        <v>12.4</v>
      </c>
      <c r="P180" s="37">
        <f>'Realisatie 2022'!P90</f>
        <v>1853.9744136681672</v>
      </c>
      <c r="Q180" s="37">
        <f>'Realisatie 2022'!Q90</f>
        <v>0.99989984308750368</v>
      </c>
      <c r="S180" s="40"/>
      <c r="V180" s="5" t="s">
        <v>124</v>
      </c>
      <c r="W180"/>
    </row>
    <row r="181" spans="2:23">
      <c r="B181" s="5" t="s">
        <v>123</v>
      </c>
      <c r="F181" s="5" t="s">
        <v>164</v>
      </c>
      <c r="J181" s="58">
        <f t="shared" si="26"/>
        <v>2795785.7877948759</v>
      </c>
      <c r="L181" s="37">
        <f>'Realisatie 2022'!L91</f>
        <v>25460</v>
      </c>
      <c r="M181" s="37">
        <f>'Realisatie 2022'!M91</f>
        <v>1247161.4376996807</v>
      </c>
      <c r="N181" s="37">
        <f>'Realisatie 2022'!N91</f>
        <v>798695.08525494672</v>
      </c>
      <c r="O181" s="37">
        <f>'Realisatie 2022'!O91</f>
        <v>18998</v>
      </c>
      <c r="P181" s="37">
        <f>'Realisatie 2022'!P91</f>
        <v>676770.22113401489</v>
      </c>
      <c r="Q181" s="37">
        <f>'Realisatie 2022'!Q91</f>
        <v>28701.04370623342</v>
      </c>
      <c r="S181" s="40"/>
      <c r="W181"/>
    </row>
    <row r="182" spans="2:23">
      <c r="W182"/>
    </row>
    <row r="183" spans="2:23">
      <c r="W183"/>
    </row>
    <row r="184" spans="2:23">
      <c r="B184" s="27" t="s">
        <v>125</v>
      </c>
      <c r="W184"/>
    </row>
    <row r="185" spans="2:23">
      <c r="W185"/>
    </row>
    <row r="186" spans="2:23">
      <c r="B186" s="5" t="s">
        <v>126</v>
      </c>
      <c r="F186" s="5" t="s">
        <v>164</v>
      </c>
      <c r="J186" s="58">
        <f t="shared" ref="J186:J187" si="27">SUM(L186:Q186)</f>
        <v>853706387.7369324</v>
      </c>
      <c r="L186" s="37">
        <f>'Realisatie 2022'!L96</f>
        <v>3881317</v>
      </c>
      <c r="M186" s="37">
        <f>'Realisatie 2022'!M96</f>
        <v>213043061.36363634</v>
      </c>
      <c r="N186" s="37">
        <f>'Realisatie 2022'!N96</f>
        <v>376466598</v>
      </c>
      <c r="O186" s="37">
        <f>'Realisatie 2022'!O96</f>
        <v>10590026</v>
      </c>
      <c r="P186" s="37">
        <f>'Realisatie 2022'!P96</f>
        <v>249725385.37329599</v>
      </c>
      <c r="Q186" s="37">
        <f>'Realisatie 2022'!Q96</f>
        <v>0</v>
      </c>
      <c r="S186" s="40"/>
      <c r="W186"/>
    </row>
    <row r="187" spans="2:23">
      <c r="B187" s="5" t="s">
        <v>127</v>
      </c>
      <c r="F187" s="5" t="s">
        <v>164</v>
      </c>
      <c r="J187" s="58">
        <f t="shared" si="27"/>
        <v>63681206.124082819</v>
      </c>
      <c r="L187" s="37">
        <f>'Realisatie 2022'!L97</f>
        <v>28151</v>
      </c>
      <c r="M187" s="37">
        <f>'Realisatie 2022'!M97</f>
        <v>17229250</v>
      </c>
      <c r="N187" s="37">
        <f>'Realisatie 2022'!N97</f>
        <v>19196729</v>
      </c>
      <c r="O187" s="37">
        <f>'Realisatie 2022'!O97</f>
        <v>182588</v>
      </c>
      <c r="P187" s="37">
        <f>'Realisatie 2022'!P97</f>
        <v>27044488.124082822</v>
      </c>
      <c r="Q187" s="37">
        <f>'Realisatie 2022'!Q97</f>
        <v>0</v>
      </c>
      <c r="S187" s="40"/>
      <c r="W187"/>
    </row>
    <row r="188" spans="2:23">
      <c r="W188"/>
    </row>
    <row r="189" spans="2:23" s="11" customFormat="1">
      <c r="B189" s="11" t="s">
        <v>170</v>
      </c>
    </row>
    <row r="190" spans="2:23">
      <c r="W190"/>
    </row>
    <row r="191" spans="2:23">
      <c r="B191" s="27" t="s">
        <v>96</v>
      </c>
      <c r="W191"/>
    </row>
    <row r="192" spans="2:23">
      <c r="W192"/>
    </row>
    <row r="193" spans="2:23">
      <c r="B193" s="27" t="s">
        <v>97</v>
      </c>
      <c r="W193"/>
    </row>
    <row r="194" spans="2:23">
      <c r="B194" s="5" t="s">
        <v>98</v>
      </c>
      <c r="F194" s="5" t="s">
        <v>164</v>
      </c>
      <c r="J194" s="58">
        <f t="shared" ref="J194:J196" si="28">SUM(L194:Q194)</f>
        <v>0</v>
      </c>
      <c r="L194" s="80"/>
      <c r="M194" s="80"/>
      <c r="N194" s="80"/>
      <c r="O194" s="80"/>
      <c r="P194" s="80"/>
      <c r="Q194" s="80"/>
      <c r="S194" s="81"/>
      <c r="T194" s="81"/>
      <c r="W194"/>
    </row>
    <row r="195" spans="2:23">
      <c r="B195" s="5" t="s">
        <v>99</v>
      </c>
      <c r="F195" s="5" t="s">
        <v>164</v>
      </c>
      <c r="J195" s="58">
        <f t="shared" si="28"/>
        <v>0</v>
      </c>
      <c r="L195" s="37">
        <f>'Realisatie 2022'!L105</f>
        <v>0</v>
      </c>
      <c r="M195" s="37">
        <f>'Realisatie 2022'!M105</f>
        <v>0</v>
      </c>
      <c r="N195" s="37">
        <f>'Realisatie 2022'!N105</f>
        <v>0</v>
      </c>
      <c r="O195" s="37">
        <f>'Realisatie 2022'!O105</f>
        <v>0</v>
      </c>
      <c r="P195" s="37">
        <f>'Realisatie 2022'!P105</f>
        <v>0</v>
      </c>
      <c r="Q195" s="37">
        <f>'Realisatie 2022'!Q105</f>
        <v>0</v>
      </c>
      <c r="S195" s="78"/>
      <c r="T195" s="78"/>
      <c r="W195"/>
    </row>
    <row r="196" spans="2:23">
      <c r="B196" s="5" t="s">
        <v>100</v>
      </c>
      <c r="F196" s="5" t="s">
        <v>164</v>
      </c>
      <c r="J196" s="58">
        <f t="shared" si="28"/>
        <v>0</v>
      </c>
      <c r="L196" s="37">
        <f>'Realisatie 2022'!L106</f>
        <v>0</v>
      </c>
      <c r="M196" s="37">
        <f>'Realisatie 2022'!M106</f>
        <v>0</v>
      </c>
      <c r="N196" s="37">
        <f>'Realisatie 2022'!N106</f>
        <v>0</v>
      </c>
      <c r="O196" s="37">
        <f>'Realisatie 2022'!O106</f>
        <v>0</v>
      </c>
      <c r="P196" s="37">
        <f>'Realisatie 2022'!P106</f>
        <v>0</v>
      </c>
      <c r="Q196" s="37">
        <f>'Realisatie 2022'!Q106</f>
        <v>0</v>
      </c>
      <c r="S196" s="78"/>
      <c r="T196" s="78"/>
      <c r="W196"/>
    </row>
    <row r="197" spans="2:23">
      <c r="J197" s="54"/>
      <c r="W197"/>
    </row>
    <row r="198" spans="2:23">
      <c r="B198" s="27" t="s">
        <v>101</v>
      </c>
      <c r="J198" s="54"/>
      <c r="W198"/>
    </row>
    <row r="199" spans="2:23">
      <c r="B199" s="5" t="s">
        <v>98</v>
      </c>
      <c r="F199" s="5" t="s">
        <v>164</v>
      </c>
      <c r="J199" s="58">
        <f t="shared" ref="J199:J201" si="29">SUM(L199:Q199)</f>
        <v>0</v>
      </c>
      <c r="L199" s="80"/>
      <c r="M199" s="80"/>
      <c r="N199" s="80"/>
      <c r="O199" s="80"/>
      <c r="P199" s="80"/>
      <c r="Q199" s="80"/>
      <c r="S199" s="81"/>
      <c r="T199" s="81"/>
      <c r="W199"/>
    </row>
    <row r="200" spans="2:23">
      <c r="B200" s="5" t="s">
        <v>99</v>
      </c>
      <c r="F200" s="5" t="s">
        <v>164</v>
      </c>
      <c r="J200" s="58">
        <f t="shared" si="29"/>
        <v>0</v>
      </c>
      <c r="L200" s="80"/>
      <c r="M200" s="80"/>
      <c r="N200" s="80"/>
      <c r="O200" s="80"/>
      <c r="P200" s="80"/>
      <c r="Q200" s="80"/>
      <c r="S200" s="81"/>
      <c r="T200" s="81"/>
      <c r="W200"/>
    </row>
    <row r="201" spans="2:23">
      <c r="B201" s="5" t="s">
        <v>102</v>
      </c>
      <c r="F201" s="5" t="s">
        <v>164</v>
      </c>
      <c r="J201" s="58">
        <f t="shared" si="29"/>
        <v>0</v>
      </c>
      <c r="L201" s="80"/>
      <c r="M201" s="80"/>
      <c r="N201" s="80"/>
      <c r="O201" s="80"/>
      <c r="P201" s="80"/>
      <c r="Q201" s="80"/>
      <c r="S201" s="81"/>
      <c r="T201" s="81"/>
      <c r="W201"/>
    </row>
    <row r="202" spans="2:23">
      <c r="J202" s="54"/>
      <c r="W202"/>
    </row>
    <row r="203" spans="2:23">
      <c r="B203" s="27" t="s">
        <v>103</v>
      </c>
      <c r="J203" s="54"/>
      <c r="W203"/>
    </row>
    <row r="204" spans="2:23">
      <c r="B204" s="5" t="s">
        <v>98</v>
      </c>
      <c r="F204" s="5" t="s">
        <v>164</v>
      </c>
      <c r="J204" s="58">
        <f t="shared" ref="J204:J206" si="30">SUM(L204:Q204)</f>
        <v>0</v>
      </c>
      <c r="L204" s="80"/>
      <c r="M204" s="80"/>
      <c r="N204" s="80"/>
      <c r="O204" s="80"/>
      <c r="P204" s="80"/>
      <c r="Q204" s="80"/>
      <c r="S204" s="81"/>
      <c r="T204" s="81"/>
      <c r="W204"/>
    </row>
    <row r="205" spans="2:23">
      <c r="B205" s="5" t="s">
        <v>99</v>
      </c>
      <c r="F205" s="5" t="s">
        <v>164</v>
      </c>
      <c r="J205" s="58">
        <f t="shared" si="30"/>
        <v>210668.0889319994</v>
      </c>
      <c r="L205" s="37">
        <f>'Realisatie 2022'!L115</f>
        <v>0</v>
      </c>
      <c r="M205" s="37">
        <f>'Realisatie 2022'!M115</f>
        <v>1901</v>
      </c>
      <c r="N205" s="37">
        <f>'Realisatie 2022'!N115</f>
        <v>10184.054627110669</v>
      </c>
      <c r="O205" s="37">
        <f>'Realisatie 2022'!O115</f>
        <v>0</v>
      </c>
      <c r="P205" s="37">
        <f>'Realisatie 2022'!P115</f>
        <v>198583.03430488874</v>
      </c>
      <c r="Q205" s="37">
        <f>'Realisatie 2022'!Q115</f>
        <v>0</v>
      </c>
      <c r="S205" s="78"/>
      <c r="T205" s="78"/>
      <c r="W205"/>
    </row>
    <row r="206" spans="2:23">
      <c r="B206" s="5" t="s">
        <v>100</v>
      </c>
      <c r="F206" s="5" t="s">
        <v>164</v>
      </c>
      <c r="J206" s="58">
        <f t="shared" si="30"/>
        <v>1714098.4819265404</v>
      </c>
      <c r="L206" s="37">
        <f>'Realisatie 2022'!L116</f>
        <v>0</v>
      </c>
      <c r="M206" s="37">
        <f>'Realisatie 2022'!M116</f>
        <v>19598</v>
      </c>
      <c r="N206" s="37">
        <f>'Realisatie 2022'!N116</f>
        <v>105406.37671322748</v>
      </c>
      <c r="O206" s="37">
        <f>'Realisatie 2022'!O116</f>
        <v>0</v>
      </c>
      <c r="P206" s="37">
        <f>'Realisatie 2022'!P116</f>
        <v>1589094.1052133129</v>
      </c>
      <c r="Q206" s="37">
        <f>'Realisatie 2022'!Q116</f>
        <v>0</v>
      </c>
      <c r="S206" s="78"/>
      <c r="T206" s="78"/>
      <c r="W206"/>
    </row>
    <row r="207" spans="2:23">
      <c r="J207" s="54"/>
      <c r="W207"/>
    </row>
    <row r="208" spans="2:23">
      <c r="B208" s="27" t="s">
        <v>104</v>
      </c>
      <c r="J208" s="54"/>
      <c r="W208"/>
    </row>
    <row r="209" spans="2:23">
      <c r="B209" s="5" t="s">
        <v>98</v>
      </c>
      <c r="F209" s="5" t="s">
        <v>164</v>
      </c>
      <c r="J209" s="58">
        <f t="shared" ref="J209:J211" si="31">SUM(L209:Q209)</f>
        <v>0</v>
      </c>
      <c r="L209" s="80"/>
      <c r="M209" s="80"/>
      <c r="N209" s="80"/>
      <c r="O209" s="80"/>
      <c r="P209" s="80"/>
      <c r="Q209" s="80"/>
      <c r="S209" s="81"/>
      <c r="T209" s="81"/>
      <c r="W209"/>
    </row>
    <row r="210" spans="2:23">
      <c r="B210" s="5" t="s">
        <v>99</v>
      </c>
      <c r="F210" s="5" t="s">
        <v>164</v>
      </c>
      <c r="J210" s="58">
        <f t="shared" si="31"/>
        <v>0</v>
      </c>
      <c r="L210" s="80"/>
      <c r="M210" s="80"/>
      <c r="N210" s="80"/>
      <c r="O210" s="80"/>
      <c r="P210" s="80"/>
      <c r="Q210" s="80"/>
      <c r="S210" s="81"/>
      <c r="T210" s="81"/>
      <c r="W210"/>
    </row>
    <row r="211" spans="2:23">
      <c r="B211" s="5" t="s">
        <v>102</v>
      </c>
      <c r="F211" s="5" t="s">
        <v>164</v>
      </c>
      <c r="J211" s="58">
        <f t="shared" si="31"/>
        <v>0</v>
      </c>
      <c r="L211" s="80"/>
      <c r="M211" s="80"/>
      <c r="N211" s="80"/>
      <c r="O211" s="80"/>
      <c r="P211" s="80"/>
      <c r="Q211" s="80"/>
      <c r="S211" s="81"/>
      <c r="T211" s="81"/>
      <c r="W211"/>
    </row>
    <row r="212" spans="2:23">
      <c r="J212" s="54"/>
      <c r="W212"/>
    </row>
    <row r="213" spans="2:23">
      <c r="B213" s="27" t="s">
        <v>167</v>
      </c>
      <c r="J213" s="54"/>
      <c r="W213"/>
    </row>
    <row r="214" spans="2:23">
      <c r="B214" s="5" t="s">
        <v>98</v>
      </c>
      <c r="F214" s="5" t="s">
        <v>164</v>
      </c>
      <c r="J214" s="58">
        <f t="shared" ref="J214:J216" si="32">SUM(L214:Q214)</f>
        <v>0</v>
      </c>
      <c r="L214" s="80"/>
      <c r="M214" s="80"/>
      <c r="N214" s="80"/>
      <c r="O214" s="80"/>
      <c r="P214" s="80"/>
      <c r="Q214" s="80"/>
      <c r="S214" s="81"/>
      <c r="T214" s="81"/>
      <c r="W214"/>
    </row>
    <row r="215" spans="2:23">
      <c r="B215" s="5" t="s">
        <v>99</v>
      </c>
      <c r="F215" s="5" t="s">
        <v>164</v>
      </c>
      <c r="J215" s="58">
        <f t="shared" si="32"/>
        <v>44351.509102225507</v>
      </c>
      <c r="L215" s="37">
        <f>'Realisatie 2022'!L125</f>
        <v>0</v>
      </c>
      <c r="M215" s="37">
        <f>'Realisatie 2022'!M125</f>
        <v>31025</v>
      </c>
      <c r="N215" s="41">
        <f>'Realisatie 2022'!N125</f>
        <v>10141.441025820342</v>
      </c>
      <c r="O215" s="37">
        <f>'Realisatie 2022'!O125</f>
        <v>0</v>
      </c>
      <c r="P215" s="37">
        <f>'Realisatie 2022'!P125</f>
        <v>3185.0680764051667</v>
      </c>
      <c r="Q215" s="37">
        <f>'Realisatie 2022'!Q125</f>
        <v>0</v>
      </c>
      <c r="S215" s="78"/>
      <c r="T215" s="78"/>
      <c r="W215"/>
    </row>
    <row r="216" spans="2:23">
      <c r="B216" s="5" t="s">
        <v>100</v>
      </c>
      <c r="F216" s="5" t="s">
        <v>164</v>
      </c>
      <c r="J216" s="58">
        <f t="shared" si="32"/>
        <v>424891.66747652367</v>
      </c>
      <c r="L216" s="37">
        <f>'Realisatie 2022'!L126</f>
        <v>0</v>
      </c>
      <c r="M216" s="37">
        <f>'Realisatie 2022'!M126</f>
        <v>296273</v>
      </c>
      <c r="N216" s="37">
        <f>'Realisatie 2022'!N126</f>
        <v>91629.005084479693</v>
      </c>
      <c r="O216" s="37">
        <f>'Realisatie 2022'!O126</f>
        <v>0</v>
      </c>
      <c r="P216" s="37">
        <f>'Realisatie 2022'!P126</f>
        <v>36989.662392043974</v>
      </c>
      <c r="Q216" s="37">
        <f>'Realisatie 2022'!Q126</f>
        <v>0</v>
      </c>
      <c r="S216" s="78"/>
      <c r="T216" s="78"/>
      <c r="W216"/>
    </row>
    <row r="217" spans="2:23">
      <c r="J217" s="54"/>
      <c r="W217"/>
    </row>
    <row r="218" spans="2:23">
      <c r="B218" s="27" t="s">
        <v>168</v>
      </c>
      <c r="J218" s="52"/>
      <c r="W218"/>
    </row>
    <row r="219" spans="2:23">
      <c r="B219" s="5" t="s">
        <v>98</v>
      </c>
      <c r="F219" s="5" t="s">
        <v>164</v>
      </c>
      <c r="J219" s="58">
        <f t="shared" ref="J219:J221" si="33">SUM(L219:Q219)</f>
        <v>0</v>
      </c>
      <c r="L219" s="80"/>
      <c r="M219" s="80"/>
      <c r="N219" s="80"/>
      <c r="O219" s="80"/>
      <c r="P219" s="80"/>
      <c r="Q219" s="80"/>
      <c r="S219" s="81"/>
      <c r="T219" s="81"/>
      <c r="W219"/>
    </row>
    <row r="220" spans="2:23">
      <c r="B220" s="5" t="s">
        <v>99</v>
      </c>
      <c r="F220" s="5" t="s">
        <v>164</v>
      </c>
      <c r="J220" s="58">
        <f t="shared" si="33"/>
        <v>0</v>
      </c>
      <c r="L220" s="80"/>
      <c r="M220" s="80"/>
      <c r="N220" s="80"/>
      <c r="O220" s="80"/>
      <c r="P220" s="80"/>
      <c r="Q220" s="80"/>
      <c r="S220" s="81"/>
      <c r="T220" s="81"/>
      <c r="W220"/>
    </row>
    <row r="221" spans="2:23">
      <c r="B221" s="5" t="s">
        <v>102</v>
      </c>
      <c r="F221" s="5" t="s">
        <v>164</v>
      </c>
      <c r="J221" s="58">
        <f t="shared" si="33"/>
        <v>0</v>
      </c>
      <c r="L221" s="80"/>
      <c r="M221" s="80"/>
      <c r="N221" s="80"/>
      <c r="O221" s="80"/>
      <c r="P221" s="80"/>
      <c r="Q221" s="80"/>
      <c r="S221" s="81"/>
      <c r="T221" s="81"/>
      <c r="W221"/>
    </row>
    <row r="222" spans="2:23">
      <c r="J222" s="54"/>
      <c r="W222"/>
    </row>
    <row r="223" spans="2:23">
      <c r="J223" s="54"/>
      <c r="W223"/>
    </row>
    <row r="224" spans="2:23">
      <c r="B224" s="27" t="s">
        <v>107</v>
      </c>
      <c r="W224"/>
    </row>
    <row r="225" spans="2:23">
      <c r="W225"/>
    </row>
    <row r="226" spans="2:23">
      <c r="B226" s="27" t="s">
        <v>108</v>
      </c>
      <c r="W226"/>
    </row>
    <row r="227" spans="2:23">
      <c r="B227" s="5" t="s">
        <v>98</v>
      </c>
      <c r="F227" s="5" t="s">
        <v>164</v>
      </c>
      <c r="J227" s="58">
        <f t="shared" ref="J227:J230" si="34">SUM(L227:Q227)</f>
        <v>0</v>
      </c>
      <c r="L227" s="80"/>
      <c r="M227" s="80"/>
      <c r="N227" s="80"/>
      <c r="O227" s="80"/>
      <c r="P227" s="80"/>
      <c r="Q227" s="80"/>
      <c r="S227" s="81"/>
      <c r="T227" s="81"/>
      <c r="W227"/>
    </row>
    <row r="228" spans="2:23">
      <c r="B228" s="5" t="s">
        <v>109</v>
      </c>
      <c r="F228" s="5" t="s">
        <v>164</v>
      </c>
      <c r="J228" s="58">
        <f t="shared" si="34"/>
        <v>0</v>
      </c>
      <c r="L228" s="80"/>
      <c r="M228" s="37">
        <f>'Realisatie 2022'!M138</f>
        <v>0</v>
      </c>
      <c r="N228" s="80"/>
      <c r="O228" s="37">
        <f>'Realisatie 2022'!O138</f>
        <v>0</v>
      </c>
      <c r="P228" s="80"/>
      <c r="Q228" s="80"/>
      <c r="S228" s="78"/>
      <c r="T228" s="78"/>
      <c r="W228"/>
    </row>
    <row r="229" spans="2:23">
      <c r="B229" s="5" t="s">
        <v>100</v>
      </c>
      <c r="F229" s="5" t="s">
        <v>164</v>
      </c>
      <c r="J229" s="58">
        <f t="shared" si="34"/>
        <v>0</v>
      </c>
      <c r="L229" s="80"/>
      <c r="M229" s="37">
        <f>'Realisatie 2022'!M139</f>
        <v>0</v>
      </c>
      <c r="N229" s="80"/>
      <c r="O229" s="37">
        <f>'Realisatie 2022'!O139</f>
        <v>0</v>
      </c>
      <c r="P229" s="80"/>
      <c r="Q229" s="80"/>
      <c r="S229" s="78"/>
      <c r="T229" s="78"/>
      <c r="W229"/>
    </row>
    <row r="230" spans="2:23">
      <c r="B230" s="5" t="s">
        <v>110</v>
      </c>
      <c r="F230" s="5" t="s">
        <v>164</v>
      </c>
      <c r="J230" s="58">
        <f t="shared" si="34"/>
        <v>0</v>
      </c>
      <c r="L230" s="80"/>
      <c r="M230" s="37">
        <f>'Realisatie 2022'!M140</f>
        <v>0</v>
      </c>
      <c r="N230" s="80"/>
      <c r="O230" s="37">
        <f>'Realisatie 2022'!O140</f>
        <v>0</v>
      </c>
      <c r="P230" s="80"/>
      <c r="Q230" s="80"/>
      <c r="S230" s="78"/>
      <c r="T230" s="78"/>
      <c r="W230"/>
    </row>
    <row r="231" spans="2:23">
      <c r="W231"/>
    </row>
    <row r="232" spans="2:23">
      <c r="B232" s="27" t="s">
        <v>144</v>
      </c>
      <c r="W232"/>
    </row>
    <row r="233" spans="2:23">
      <c r="B233" s="5" t="s">
        <v>98</v>
      </c>
      <c r="F233" s="5" t="s">
        <v>164</v>
      </c>
      <c r="J233" s="58">
        <f t="shared" ref="J233:J236" si="35">SUM(L233:Q233)</f>
        <v>0</v>
      </c>
      <c r="L233" s="80"/>
      <c r="M233" s="80"/>
      <c r="N233" s="80"/>
      <c r="O233" s="80"/>
      <c r="P233" s="80"/>
      <c r="Q233" s="80"/>
      <c r="S233" s="81"/>
      <c r="T233" s="81"/>
      <c r="W233"/>
    </row>
    <row r="234" spans="2:23">
      <c r="B234" s="5" t="s">
        <v>109</v>
      </c>
      <c r="F234" s="5" t="s">
        <v>164</v>
      </c>
      <c r="J234" s="58">
        <f t="shared" si="35"/>
        <v>0</v>
      </c>
      <c r="L234" s="80"/>
      <c r="M234" s="37">
        <f>'Realisatie 2022'!M144</f>
        <v>0</v>
      </c>
      <c r="N234" s="80"/>
      <c r="O234" s="37">
        <f>'Realisatie 2022'!O144</f>
        <v>0</v>
      </c>
      <c r="P234" s="80"/>
      <c r="Q234" s="80"/>
      <c r="S234" s="78"/>
      <c r="T234" s="78"/>
      <c r="W234"/>
    </row>
    <row r="235" spans="2:23">
      <c r="B235" s="5" t="s">
        <v>100</v>
      </c>
      <c r="F235" s="5" t="s">
        <v>164</v>
      </c>
      <c r="J235" s="58">
        <f t="shared" si="35"/>
        <v>0</v>
      </c>
      <c r="L235" s="80"/>
      <c r="M235" s="37">
        <f>'Realisatie 2022'!M145</f>
        <v>0</v>
      </c>
      <c r="N235" s="80"/>
      <c r="O235" s="37">
        <f>'Realisatie 2022'!O145</f>
        <v>0</v>
      </c>
      <c r="P235" s="80"/>
      <c r="Q235" s="80"/>
      <c r="S235" s="78"/>
      <c r="T235" s="78"/>
      <c r="W235"/>
    </row>
    <row r="236" spans="2:23">
      <c r="B236" s="5" t="s">
        <v>110</v>
      </c>
      <c r="F236" s="5" t="s">
        <v>164</v>
      </c>
      <c r="J236" s="58">
        <f t="shared" si="35"/>
        <v>0</v>
      </c>
      <c r="L236" s="80"/>
      <c r="M236" s="37">
        <f>'Realisatie 2022'!M146</f>
        <v>0</v>
      </c>
      <c r="N236" s="80"/>
      <c r="O236" s="37">
        <f>'Realisatie 2022'!O146</f>
        <v>0</v>
      </c>
      <c r="P236" s="80"/>
      <c r="Q236" s="80"/>
      <c r="S236" s="78"/>
      <c r="T236" s="78"/>
      <c r="W236"/>
    </row>
    <row r="237" spans="2:23">
      <c r="W237"/>
    </row>
    <row r="238" spans="2:23">
      <c r="B238" s="27" t="s">
        <v>163</v>
      </c>
      <c r="W238"/>
    </row>
    <row r="239" spans="2:23">
      <c r="B239" s="5" t="s">
        <v>98</v>
      </c>
      <c r="F239" s="5" t="s">
        <v>164</v>
      </c>
      <c r="J239" s="58">
        <f t="shared" ref="J239:J242" si="36">SUM(L239:Q239)</f>
        <v>0</v>
      </c>
      <c r="L239" s="80"/>
      <c r="M239" s="80"/>
      <c r="N239" s="80"/>
      <c r="O239" s="80"/>
      <c r="P239" s="80"/>
      <c r="Q239" s="80"/>
      <c r="S239" s="81"/>
      <c r="T239" s="81"/>
      <c r="W239"/>
    </row>
    <row r="240" spans="2:23">
      <c r="B240" s="5" t="s">
        <v>109</v>
      </c>
      <c r="F240" s="5" t="s">
        <v>164</v>
      </c>
      <c r="J240" s="58">
        <f t="shared" si="36"/>
        <v>0</v>
      </c>
      <c r="L240" s="37">
        <f>'Realisatie 2022'!L150</f>
        <v>0</v>
      </c>
      <c r="M240" s="80"/>
      <c r="N240" s="37">
        <f>'Realisatie 2022'!N150</f>
        <v>0</v>
      </c>
      <c r="O240" s="80"/>
      <c r="P240" s="37">
        <f>'Realisatie 2022'!P150</f>
        <v>0</v>
      </c>
      <c r="Q240" s="37">
        <f>'Realisatie 2022'!Q150</f>
        <v>0</v>
      </c>
      <c r="S240" s="81"/>
      <c r="T240" s="81"/>
      <c r="W240"/>
    </row>
    <row r="241" spans="2:23">
      <c r="B241" s="5" t="s">
        <v>100</v>
      </c>
      <c r="F241" s="5" t="s">
        <v>164</v>
      </c>
      <c r="J241" s="58">
        <f t="shared" si="36"/>
        <v>0</v>
      </c>
      <c r="L241" s="37">
        <f>'Realisatie 2022'!L151</f>
        <v>0</v>
      </c>
      <c r="M241" s="80"/>
      <c r="N241" s="37">
        <f>'Realisatie 2022'!N151</f>
        <v>0</v>
      </c>
      <c r="O241" s="80"/>
      <c r="P241" s="37">
        <f>'Realisatie 2022'!P151</f>
        <v>0</v>
      </c>
      <c r="Q241" s="37">
        <f>'Realisatie 2022'!Q151</f>
        <v>0</v>
      </c>
      <c r="S241" s="81"/>
      <c r="T241" s="81"/>
      <c r="W241"/>
    </row>
    <row r="242" spans="2:23">
      <c r="B242" s="5" t="s">
        <v>110</v>
      </c>
      <c r="F242" s="5" t="s">
        <v>164</v>
      </c>
      <c r="J242" s="58">
        <f t="shared" si="36"/>
        <v>0</v>
      </c>
      <c r="L242" s="37">
        <f>'Realisatie 2022'!L152</f>
        <v>0</v>
      </c>
      <c r="M242" s="80"/>
      <c r="N242" s="37">
        <f>'Realisatie 2022'!N152</f>
        <v>0</v>
      </c>
      <c r="O242" s="80"/>
      <c r="P242" s="37">
        <f>'Realisatie 2022'!P152</f>
        <v>0</v>
      </c>
      <c r="Q242" s="37">
        <f>'Realisatie 2022'!Q152</f>
        <v>0</v>
      </c>
      <c r="S242" s="81"/>
      <c r="T242" s="81"/>
      <c r="W242"/>
    </row>
    <row r="243" spans="2:23">
      <c r="W243"/>
    </row>
    <row r="244" spans="2:23">
      <c r="B244" s="27" t="s">
        <v>111</v>
      </c>
      <c r="W244"/>
    </row>
    <row r="245" spans="2:23">
      <c r="B245" s="5" t="s">
        <v>98</v>
      </c>
      <c r="F245" s="5" t="s">
        <v>164</v>
      </c>
      <c r="J245" s="58">
        <f t="shared" ref="J245:J248" si="37">SUM(L245:Q245)</f>
        <v>0</v>
      </c>
      <c r="L245" s="80"/>
      <c r="M245" s="80"/>
      <c r="N245" s="80"/>
      <c r="O245" s="80"/>
      <c r="P245" s="80"/>
      <c r="Q245" s="80"/>
      <c r="S245" s="81"/>
      <c r="T245" s="81"/>
      <c r="W245"/>
    </row>
    <row r="246" spans="2:23">
      <c r="B246" s="5" t="s">
        <v>109</v>
      </c>
      <c r="F246" s="5" t="s">
        <v>164</v>
      </c>
      <c r="J246" s="58">
        <f t="shared" si="37"/>
        <v>0</v>
      </c>
      <c r="L246" s="37">
        <f>'Realisatie 2022'!L156</f>
        <v>0</v>
      </c>
      <c r="M246" s="37">
        <f>'Realisatie 2022'!M156</f>
        <v>0</v>
      </c>
      <c r="N246" s="37">
        <f>'Realisatie 2022'!N156</f>
        <v>0</v>
      </c>
      <c r="O246" s="37">
        <f>'Realisatie 2022'!O156</f>
        <v>0</v>
      </c>
      <c r="P246" s="37">
        <f>'Realisatie 2022'!P156</f>
        <v>0</v>
      </c>
      <c r="Q246" s="37">
        <f>'Realisatie 2022'!Q156</f>
        <v>0</v>
      </c>
      <c r="S246" s="78"/>
      <c r="T246" s="78"/>
      <c r="W246"/>
    </row>
    <row r="247" spans="2:23">
      <c r="B247" s="5" t="s">
        <v>100</v>
      </c>
      <c r="F247" s="5" t="s">
        <v>164</v>
      </c>
      <c r="J247" s="58">
        <f t="shared" si="37"/>
        <v>0</v>
      </c>
      <c r="L247" s="37">
        <f>'Realisatie 2022'!L157</f>
        <v>0</v>
      </c>
      <c r="M247" s="37">
        <f>'Realisatie 2022'!M157</f>
        <v>0</v>
      </c>
      <c r="N247" s="37">
        <f>'Realisatie 2022'!N157</f>
        <v>0</v>
      </c>
      <c r="O247" s="37">
        <f>'Realisatie 2022'!O157</f>
        <v>0</v>
      </c>
      <c r="P247" s="37">
        <f>'Realisatie 2022'!P157</f>
        <v>0</v>
      </c>
      <c r="Q247" s="37">
        <f>'Realisatie 2022'!Q157</f>
        <v>0</v>
      </c>
      <c r="S247" s="78"/>
      <c r="T247" s="78"/>
      <c r="W247"/>
    </row>
    <row r="248" spans="2:23">
      <c r="B248" s="5" t="s">
        <v>110</v>
      </c>
      <c r="F248" s="5" t="s">
        <v>164</v>
      </c>
      <c r="J248" s="58">
        <f t="shared" si="37"/>
        <v>0</v>
      </c>
      <c r="L248" s="37">
        <f>'Realisatie 2022'!L158</f>
        <v>0</v>
      </c>
      <c r="M248" s="37">
        <f>'Realisatie 2022'!M158</f>
        <v>0</v>
      </c>
      <c r="N248" s="37">
        <f>'Realisatie 2022'!N158</f>
        <v>0</v>
      </c>
      <c r="O248" s="37">
        <f>'Realisatie 2022'!O158</f>
        <v>0</v>
      </c>
      <c r="P248" s="37">
        <f>'Realisatie 2022'!P158</f>
        <v>0</v>
      </c>
      <c r="Q248" s="37">
        <f>'Realisatie 2022'!Q158</f>
        <v>0</v>
      </c>
      <c r="S248" s="78"/>
      <c r="T248" s="78"/>
      <c r="W248"/>
    </row>
    <row r="250" spans="2:23" s="11" customFormat="1">
      <c r="B250" s="11" t="s">
        <v>160</v>
      </c>
    </row>
    <row r="251" spans="2:23" s="52" customFormat="1"/>
    <row r="252" spans="2:23" s="52" customFormat="1">
      <c r="B252" s="55" t="s">
        <v>96</v>
      </c>
    </row>
    <row r="253" spans="2:23" s="52" customFormat="1">
      <c r="B253" s="56"/>
    </row>
    <row r="254" spans="2:23" s="52" customFormat="1">
      <c r="B254" s="57" t="s">
        <v>97</v>
      </c>
      <c r="M254" s="103"/>
      <c r="U254" s="61"/>
    </row>
    <row r="255" spans="2:23" s="52" customFormat="1">
      <c r="B255" s="52" t="s">
        <v>98</v>
      </c>
      <c r="F255" t="s">
        <v>161</v>
      </c>
      <c r="H255"/>
      <c r="J255" s="102"/>
      <c r="L255" s="84"/>
    </row>
    <row r="256" spans="2:23" s="52" customFormat="1">
      <c r="B256" s="52" t="s">
        <v>99</v>
      </c>
      <c r="F256" t="s">
        <v>161</v>
      </c>
      <c r="H256"/>
      <c r="J256" s="41">
        <f>Wegingsfactoren!H295</f>
        <v>10.959555720863463</v>
      </c>
      <c r="L256" s="84"/>
    </row>
    <row r="257" spans="2:12" s="52" customFormat="1">
      <c r="B257" s="52" t="s">
        <v>100</v>
      </c>
      <c r="F257" t="s">
        <v>161</v>
      </c>
      <c r="H257"/>
      <c r="J257" s="41">
        <f>Wegingsfactoren!H296</f>
        <v>1.1324874244892247</v>
      </c>
      <c r="L257" s="84"/>
    </row>
    <row r="258" spans="2:12" s="52" customFormat="1">
      <c r="J258" s="77"/>
      <c r="L258" s="84"/>
    </row>
    <row r="259" spans="2:12" s="52" customFormat="1">
      <c r="B259" s="56" t="s">
        <v>101</v>
      </c>
      <c r="J259" s="77"/>
      <c r="L259" s="84"/>
    </row>
    <row r="260" spans="2:12" s="52" customFormat="1">
      <c r="B260" s="52" t="s">
        <v>98</v>
      </c>
      <c r="F260" t="s">
        <v>161</v>
      </c>
      <c r="H260"/>
      <c r="J260" s="102"/>
      <c r="L260" s="84"/>
    </row>
    <row r="261" spans="2:12" s="52" customFormat="1">
      <c r="B261" s="52" t="s">
        <v>99</v>
      </c>
      <c r="F261" t="s">
        <v>161</v>
      </c>
      <c r="H261"/>
      <c r="J261" s="41">
        <f>Wegingsfactoren!H300</f>
        <v>5.4797778604317315</v>
      </c>
      <c r="L261" s="84"/>
    </row>
    <row r="262" spans="2:12" s="52" customFormat="1">
      <c r="B262" s="52" t="s">
        <v>102</v>
      </c>
      <c r="F262" t="s">
        <v>161</v>
      </c>
      <c r="H262"/>
      <c r="J262" s="41">
        <f>Wegingsfactoren!H301</f>
        <v>0.39198677628288325</v>
      </c>
      <c r="L262" s="84"/>
    </row>
    <row r="263" spans="2:12" s="52" customFormat="1">
      <c r="J263" s="77"/>
      <c r="L263" s="84"/>
    </row>
    <row r="264" spans="2:12" s="52" customFormat="1">
      <c r="B264" s="56" t="s">
        <v>103</v>
      </c>
      <c r="J264" s="77"/>
      <c r="L264" s="84"/>
    </row>
    <row r="265" spans="2:12" s="52" customFormat="1">
      <c r="B265" s="52" t="s">
        <v>98</v>
      </c>
      <c r="F265" t="s">
        <v>161</v>
      </c>
      <c r="H265"/>
      <c r="J265" s="102"/>
      <c r="L265" s="84"/>
    </row>
    <row r="266" spans="2:12" s="52" customFormat="1">
      <c r="B266" s="52" t="s">
        <v>99</v>
      </c>
      <c r="F266" t="s">
        <v>161</v>
      </c>
      <c r="H266"/>
      <c r="J266" s="41">
        <f>Wegingsfactoren!H305</f>
        <v>20.470505171743081</v>
      </c>
      <c r="L266" s="84"/>
    </row>
    <row r="267" spans="2:12" s="52" customFormat="1">
      <c r="B267" s="52" t="s">
        <v>100</v>
      </c>
      <c r="F267" t="s">
        <v>161</v>
      </c>
      <c r="H267"/>
      <c r="J267" s="41">
        <f>Wegingsfactoren!H306</f>
        <v>2.3548527483738599</v>
      </c>
      <c r="L267" s="84"/>
    </row>
    <row r="268" spans="2:12" s="52" customFormat="1">
      <c r="J268" s="77"/>
      <c r="L268" s="84"/>
    </row>
    <row r="269" spans="2:12" s="52" customFormat="1">
      <c r="B269" s="56" t="s">
        <v>104</v>
      </c>
      <c r="J269" s="77"/>
      <c r="L269" s="84"/>
    </row>
    <row r="270" spans="2:12" s="52" customFormat="1">
      <c r="B270" s="52" t="s">
        <v>98</v>
      </c>
      <c r="F270" t="s">
        <v>161</v>
      </c>
      <c r="H270"/>
      <c r="J270" s="102"/>
      <c r="L270" s="84"/>
    </row>
    <row r="271" spans="2:12" s="52" customFormat="1">
      <c r="B271" s="52" t="s">
        <v>99</v>
      </c>
      <c r="F271" t="s">
        <v>161</v>
      </c>
      <c r="H271"/>
      <c r="J271" s="41">
        <f>Wegingsfactoren!H310</f>
        <v>9.9774990999970168</v>
      </c>
      <c r="L271" s="84"/>
    </row>
    <row r="272" spans="2:12" s="52" customFormat="1">
      <c r="B272" s="52" t="s">
        <v>102</v>
      </c>
      <c r="F272" t="s">
        <v>161</v>
      </c>
      <c r="H272"/>
      <c r="J272" s="41">
        <f>Wegingsfactoren!H311</f>
        <v>0.77298969742638468</v>
      </c>
      <c r="L272" s="84"/>
    </row>
    <row r="273" spans="2:12" s="52" customFormat="1">
      <c r="J273" s="77"/>
      <c r="L273" s="84"/>
    </row>
    <row r="274" spans="2:12" s="52" customFormat="1">
      <c r="B274" s="56" t="s">
        <v>105</v>
      </c>
      <c r="J274" s="77"/>
      <c r="L274" s="84"/>
    </row>
    <row r="275" spans="2:12" s="52" customFormat="1">
      <c r="B275" s="52" t="s">
        <v>98</v>
      </c>
      <c r="F275" t="s">
        <v>161</v>
      </c>
      <c r="H275"/>
      <c r="J275" s="102"/>
      <c r="L275" s="84"/>
    </row>
    <row r="276" spans="2:12" s="52" customFormat="1">
      <c r="B276" s="52" t="s">
        <v>99</v>
      </c>
      <c r="F276" t="s">
        <v>161</v>
      </c>
      <c r="H276"/>
      <c r="J276" s="41">
        <f>Wegingsfactoren!H315</f>
        <v>20.723404983848514</v>
      </c>
      <c r="L276" s="84"/>
    </row>
    <row r="277" spans="2:12" s="52" customFormat="1">
      <c r="B277" s="52" t="s">
        <v>100</v>
      </c>
      <c r="F277" t="s">
        <v>161</v>
      </c>
      <c r="H277"/>
      <c r="J277" s="41">
        <f>Wegingsfactoren!H316</f>
        <v>2.2825401031252808</v>
      </c>
      <c r="L277" s="84"/>
    </row>
    <row r="278" spans="2:12" s="52" customFormat="1">
      <c r="J278" s="77"/>
      <c r="L278" s="84"/>
    </row>
    <row r="279" spans="2:12" s="52" customFormat="1">
      <c r="B279" s="56" t="s">
        <v>106</v>
      </c>
      <c r="J279" s="77"/>
      <c r="L279" s="84"/>
    </row>
    <row r="280" spans="2:12" s="52" customFormat="1">
      <c r="B280" s="52" t="s">
        <v>98</v>
      </c>
      <c r="F280" t="s">
        <v>161</v>
      </c>
      <c r="H280"/>
      <c r="J280" s="102"/>
      <c r="L280" s="84"/>
    </row>
    <row r="281" spans="2:12" s="52" customFormat="1">
      <c r="B281" s="52" t="s">
        <v>99</v>
      </c>
      <c r="F281" t="s">
        <v>161</v>
      </c>
      <c r="H281"/>
      <c r="J281" s="41">
        <f>Wegingsfactoren!H320</f>
        <v>9.8003572305746562</v>
      </c>
      <c r="L281" s="84"/>
    </row>
    <row r="282" spans="2:12" s="52" customFormat="1">
      <c r="B282" s="52" t="s">
        <v>102</v>
      </c>
      <c r="F282" t="s">
        <v>161</v>
      </c>
      <c r="H282"/>
      <c r="J282" s="41">
        <f>Wegingsfactoren!H321</f>
        <v>0.71195631054506492</v>
      </c>
      <c r="L282" s="84"/>
    </row>
    <row r="283" spans="2:12" s="52" customFormat="1">
      <c r="J283" s="77"/>
      <c r="L283" s="84"/>
    </row>
    <row r="284" spans="2:12" s="52" customFormat="1">
      <c r="J284" s="77"/>
      <c r="L284" s="84"/>
    </row>
    <row r="285" spans="2:12" s="52" customFormat="1">
      <c r="B285" s="55" t="s">
        <v>107</v>
      </c>
      <c r="J285" s="77"/>
      <c r="L285" s="84"/>
    </row>
    <row r="286" spans="2:12" s="52" customFormat="1">
      <c r="J286" s="77"/>
      <c r="L286" s="84"/>
    </row>
    <row r="287" spans="2:12" s="52" customFormat="1">
      <c r="B287" s="56" t="s">
        <v>108</v>
      </c>
      <c r="J287" s="77"/>
      <c r="L287" s="84"/>
    </row>
    <row r="288" spans="2:12" s="52" customFormat="1">
      <c r="B288" s="52" t="s">
        <v>98</v>
      </c>
      <c r="F288" t="s">
        <v>161</v>
      </c>
      <c r="H288"/>
      <c r="J288" s="102"/>
      <c r="L288" s="84"/>
    </row>
    <row r="289" spans="2:12" s="52" customFormat="1">
      <c r="B289" s="52" t="s">
        <v>109</v>
      </c>
      <c r="F289" t="s">
        <v>161</v>
      </c>
      <c r="H289"/>
      <c r="J289" s="41">
        <f>Wegingsfactoren!H328</f>
        <v>12.295225935215647</v>
      </c>
      <c r="L289" s="84"/>
    </row>
    <row r="290" spans="2:12" s="52" customFormat="1">
      <c r="B290" s="52" t="s">
        <v>100</v>
      </c>
      <c r="F290" t="s">
        <v>161</v>
      </c>
      <c r="H290"/>
      <c r="J290" s="41">
        <f>Wegingsfactoren!H329</f>
        <v>1.3195937560568045</v>
      </c>
      <c r="L290" s="84"/>
    </row>
    <row r="291" spans="2:12" s="52" customFormat="1">
      <c r="B291" s="52" t="s">
        <v>110</v>
      </c>
      <c r="F291" t="s">
        <v>161</v>
      </c>
      <c r="H291"/>
      <c r="J291" s="41">
        <f>Wegingsfactoren!H330</f>
        <v>6.5294843079514615E-3</v>
      </c>
      <c r="L291" s="84"/>
    </row>
    <row r="292" spans="2:12" s="52" customFormat="1">
      <c r="J292" s="77"/>
      <c r="L292" s="84"/>
    </row>
    <row r="293" spans="2:12" s="52" customFormat="1">
      <c r="B293" s="56" t="s">
        <v>80</v>
      </c>
      <c r="J293" s="77"/>
      <c r="L293" s="84"/>
    </row>
    <row r="294" spans="2:12" s="52" customFormat="1">
      <c r="B294" s="52" t="s">
        <v>98</v>
      </c>
      <c r="F294" t="s">
        <v>161</v>
      </c>
      <c r="H294"/>
      <c r="J294" s="102"/>
      <c r="L294" s="84"/>
    </row>
    <row r="295" spans="2:12" s="52" customFormat="1">
      <c r="B295" s="52" t="s">
        <v>109</v>
      </c>
      <c r="F295" t="s">
        <v>161</v>
      </c>
      <c r="H295"/>
      <c r="J295" s="41">
        <f>Wegingsfactoren!H334</f>
        <v>13.097196432877158</v>
      </c>
      <c r="L295" s="84"/>
    </row>
    <row r="296" spans="2:12" s="52" customFormat="1">
      <c r="B296" s="52" t="s">
        <v>100</v>
      </c>
      <c r="F296" t="s">
        <v>161</v>
      </c>
      <c r="H296"/>
      <c r="J296" s="41">
        <f>Wegingsfactoren!H335</f>
        <v>1.5737219934227396</v>
      </c>
      <c r="L296" s="84"/>
    </row>
    <row r="297" spans="2:12" s="52" customFormat="1">
      <c r="B297" s="52" t="s">
        <v>110</v>
      </c>
      <c r="F297" t="s">
        <v>161</v>
      </c>
      <c r="H297"/>
      <c r="J297" s="41">
        <f>Wegingsfactoren!H336</f>
        <v>9.8835471921977537E-3</v>
      </c>
      <c r="L297" s="84"/>
    </row>
    <row r="298" spans="2:12" s="52" customFormat="1">
      <c r="J298" s="87"/>
      <c r="L298" s="84"/>
    </row>
    <row r="299" spans="2:12" s="52" customFormat="1">
      <c r="B299" s="56" t="s">
        <v>111</v>
      </c>
      <c r="J299" s="87"/>
      <c r="L299" s="84"/>
    </row>
    <row r="300" spans="2:12" s="52" customFormat="1">
      <c r="B300" s="52" t="s">
        <v>98</v>
      </c>
      <c r="F300" t="s">
        <v>161</v>
      </c>
      <c r="H300"/>
      <c r="J300" s="102"/>
      <c r="L300" s="84"/>
    </row>
    <row r="301" spans="2:12" s="52" customFormat="1">
      <c r="B301" s="52" t="s">
        <v>109</v>
      </c>
      <c r="F301" t="s">
        <v>161</v>
      </c>
      <c r="H301"/>
      <c r="J301" s="41">
        <f>Wegingsfactoren!H340</f>
        <v>22.357445524026286</v>
      </c>
      <c r="L301" s="84"/>
    </row>
    <row r="302" spans="2:12" s="52" customFormat="1">
      <c r="B302" s="52" t="s">
        <v>100</v>
      </c>
      <c r="F302" t="s">
        <v>161</v>
      </c>
      <c r="H302"/>
      <c r="J302" s="41">
        <f>Wegingsfactoren!H341</f>
        <v>1.557436983918191</v>
      </c>
      <c r="L302" s="84"/>
    </row>
    <row r="303" spans="2:12" s="52" customFormat="1">
      <c r="B303" s="52" t="s">
        <v>110</v>
      </c>
      <c r="F303" t="s">
        <v>161</v>
      </c>
      <c r="H303"/>
      <c r="J303" s="41">
        <f>Wegingsfactoren!H342</f>
        <v>9.7095722322830466E-3</v>
      </c>
      <c r="L303" s="84"/>
    </row>
    <row r="304" spans="2:12" s="52" customFormat="1">
      <c r="J304" s="87"/>
      <c r="L304" s="84"/>
    </row>
    <row r="305" spans="2:12" s="52" customFormat="1">
      <c r="J305" s="87"/>
      <c r="L305" s="84"/>
    </row>
    <row r="306" spans="2:12" s="52" customFormat="1">
      <c r="B306" s="55" t="s">
        <v>112</v>
      </c>
      <c r="J306" s="87"/>
      <c r="L306" s="84"/>
    </row>
    <row r="307" spans="2:12" s="52" customFormat="1">
      <c r="J307" s="87"/>
      <c r="L307" s="84"/>
    </row>
    <row r="308" spans="2:12" s="52" customFormat="1">
      <c r="B308" s="56" t="s">
        <v>113</v>
      </c>
      <c r="J308" s="87"/>
      <c r="L308" s="84"/>
    </row>
    <row r="309" spans="2:12" s="52" customFormat="1">
      <c r="B309" s="52" t="s">
        <v>98</v>
      </c>
      <c r="F309" t="s">
        <v>161</v>
      </c>
      <c r="H309"/>
      <c r="J309" s="102"/>
      <c r="L309" s="84"/>
    </row>
    <row r="310" spans="2:12" s="52" customFormat="1">
      <c r="B310" s="52" t="s">
        <v>109</v>
      </c>
      <c r="F310" t="s">
        <v>161</v>
      </c>
      <c r="H310"/>
      <c r="J310" s="41">
        <f>Wegingsfactoren!H349</f>
        <v>8.2445149102977506</v>
      </c>
      <c r="L310" s="84"/>
    </row>
    <row r="311" spans="2:12" s="52" customFormat="1">
      <c r="B311" s="52" t="s">
        <v>114</v>
      </c>
      <c r="F311" t="s">
        <v>161</v>
      </c>
      <c r="H311"/>
      <c r="J311" s="41">
        <f>Wegingsfactoren!H350</f>
        <v>1.9424172822992147E-2</v>
      </c>
      <c r="L311" s="84"/>
    </row>
    <row r="312" spans="2:12" s="52" customFormat="1">
      <c r="B312" s="52" t="s">
        <v>110</v>
      </c>
      <c r="F312" t="s">
        <v>161</v>
      </c>
      <c r="H312"/>
      <c r="J312" s="41">
        <f>Wegingsfactoren!H351</f>
        <v>3.4452551357571859E-2</v>
      </c>
      <c r="L312" s="84"/>
    </row>
    <row r="313" spans="2:12" s="52" customFormat="1">
      <c r="J313" s="87"/>
      <c r="L313" s="84"/>
    </row>
    <row r="314" spans="2:12" s="52" customFormat="1">
      <c r="B314" s="56" t="s">
        <v>115</v>
      </c>
      <c r="J314" s="87"/>
      <c r="L314" s="84"/>
    </row>
    <row r="315" spans="2:12" s="52" customFormat="1">
      <c r="B315" s="52" t="s">
        <v>116</v>
      </c>
      <c r="F315" t="s">
        <v>161</v>
      </c>
      <c r="H315"/>
      <c r="J315" s="102"/>
      <c r="L315" s="84"/>
    </row>
    <row r="316" spans="2:12" s="52" customFormat="1">
      <c r="B316" s="52" t="s">
        <v>117</v>
      </c>
      <c r="F316" t="s">
        <v>161</v>
      </c>
      <c r="H316"/>
      <c r="J316" s="102"/>
      <c r="L316" s="84"/>
    </row>
    <row r="317" spans="2:12" s="52" customFormat="1">
      <c r="J317" s="87"/>
      <c r="L317" s="84"/>
    </row>
    <row r="318" spans="2:12" s="52" customFormat="1">
      <c r="B318" s="56" t="s">
        <v>118</v>
      </c>
      <c r="J318" s="87"/>
      <c r="L318" s="84"/>
    </row>
    <row r="319" spans="2:12" s="52" customFormat="1">
      <c r="B319" s="52" t="s">
        <v>119</v>
      </c>
      <c r="F319" t="s">
        <v>161</v>
      </c>
      <c r="H319"/>
      <c r="J319" s="41">
        <f>Wegingsfactoren!H358</f>
        <v>1775.7502886955092</v>
      </c>
      <c r="L319" s="84"/>
    </row>
    <row r="320" spans="2:12" s="52" customFormat="1">
      <c r="B320" s="52" t="s">
        <v>120</v>
      </c>
      <c r="F320" t="s">
        <v>161</v>
      </c>
      <c r="H320"/>
      <c r="J320" s="41">
        <f>Wegingsfactoren!H359</f>
        <v>1416.6948274813624</v>
      </c>
      <c r="L320" s="84"/>
    </row>
    <row r="321" spans="2:22" s="52" customFormat="1">
      <c r="B321" s="52" t="s">
        <v>121</v>
      </c>
      <c r="F321" t="s">
        <v>161</v>
      </c>
      <c r="H321"/>
      <c r="J321" s="41">
        <f>Wegingsfactoren!H360</f>
        <v>1064.0301068339334</v>
      </c>
      <c r="L321" s="84"/>
    </row>
    <row r="322" spans="2:22" s="52" customFormat="1">
      <c r="B322" s="52" t="s">
        <v>122</v>
      </c>
      <c r="F322" t="s">
        <v>161</v>
      </c>
      <c r="H322"/>
      <c r="J322" s="41">
        <f>Wegingsfactoren!H361</f>
        <v>708.61754972498125</v>
      </c>
      <c r="L322" s="84"/>
    </row>
    <row r="323" spans="2:22" s="52" customFormat="1">
      <c r="B323" s="52" t="s">
        <v>147</v>
      </c>
      <c r="F323" t="s">
        <v>161</v>
      </c>
      <c r="H323"/>
      <c r="J323" s="41">
        <f>Wegingsfactoren!H362</f>
        <v>141.57960914910976</v>
      </c>
      <c r="L323" s="84"/>
    </row>
    <row r="324" spans="2:22" s="52" customFormat="1">
      <c r="B324" s="52" t="s">
        <v>148</v>
      </c>
      <c r="F324" t="s">
        <v>161</v>
      </c>
      <c r="H324"/>
      <c r="J324" s="41">
        <f>Wegingsfactoren!H363</f>
        <v>17.821898946042499</v>
      </c>
      <c r="L324" s="84"/>
      <c r="V324" s="52" t="s">
        <v>124</v>
      </c>
    </row>
    <row r="325" spans="2:22" s="52" customFormat="1">
      <c r="B325" s="52" t="s">
        <v>123</v>
      </c>
      <c r="F325" t="s">
        <v>161</v>
      </c>
      <c r="H325"/>
      <c r="J325" s="41">
        <f>Wegingsfactoren!H364</f>
        <v>1.7693763659836663</v>
      </c>
      <c r="L325" s="84"/>
    </row>
    <row r="326" spans="2:22" s="52" customFormat="1">
      <c r="J326" s="87"/>
      <c r="L326" s="84"/>
    </row>
    <row r="327" spans="2:22" s="52" customFormat="1">
      <c r="J327" s="87"/>
      <c r="L327" s="84"/>
    </row>
    <row r="328" spans="2:22" s="52" customFormat="1">
      <c r="B328" s="55" t="s">
        <v>125</v>
      </c>
      <c r="J328" s="87"/>
      <c r="L328" s="84"/>
    </row>
    <row r="329" spans="2:22" s="52" customFormat="1">
      <c r="J329" s="89"/>
      <c r="L329" s="84"/>
    </row>
    <row r="330" spans="2:22" s="52" customFormat="1">
      <c r="B330" s="52" t="s">
        <v>126</v>
      </c>
      <c r="F330" t="s">
        <v>161</v>
      </c>
      <c r="H330"/>
      <c r="J330" s="88">
        <f>Wegingsfactoren!H369</f>
        <v>4.5971591339063348E-3</v>
      </c>
      <c r="L330" s="84"/>
    </row>
    <row r="331" spans="2:22" s="52" customFormat="1">
      <c r="B331" s="52" t="s">
        <v>127</v>
      </c>
      <c r="F331" t="s">
        <v>161</v>
      </c>
      <c r="H331"/>
      <c r="J331" s="88">
        <f>Wegingsfactoren!H370</f>
        <v>5.7255380769225123E-3</v>
      </c>
      <c r="L331" s="84"/>
    </row>
    <row r="332" spans="2:22" s="52" customFormat="1">
      <c r="L332" s="84"/>
    </row>
    <row r="333" spans="2:22" s="52" customFormat="1"/>
    <row r="334" spans="2:22" s="11" customFormat="1">
      <c r="B334" s="11" t="s">
        <v>169</v>
      </c>
    </row>
    <row r="336" spans="2:22" s="52" customFormat="1">
      <c r="B336" s="55" t="s">
        <v>96</v>
      </c>
      <c r="F336" s="54"/>
    </row>
    <row r="337" spans="2:25" s="52" customFormat="1">
      <c r="B337" s="56"/>
      <c r="J337" s="54"/>
      <c r="K337" s="54"/>
    </row>
    <row r="338" spans="2:25" s="52" customFormat="1">
      <c r="B338" s="57" t="s">
        <v>97</v>
      </c>
      <c r="J338" s="54"/>
      <c r="K338" s="54"/>
    </row>
    <row r="339" spans="2:25" s="52" customFormat="1" ht="15">
      <c r="B339" s="52" t="s">
        <v>98</v>
      </c>
      <c r="F339" s="52" t="s">
        <v>164</v>
      </c>
      <c r="J339" s="102"/>
      <c r="K339" s="5"/>
      <c r="L339" s="80"/>
      <c r="M339" s="80"/>
      <c r="N339" s="80"/>
      <c r="O339" s="80"/>
      <c r="P339" s="80"/>
      <c r="Q339" s="80"/>
      <c r="R339" s="39"/>
      <c r="T339" s="76"/>
      <c r="W339"/>
      <c r="Y339" s="86"/>
    </row>
    <row r="340" spans="2:25" s="52" customFormat="1">
      <c r="B340" s="52" t="s">
        <v>99</v>
      </c>
      <c r="F340" s="52" t="s">
        <v>164</v>
      </c>
      <c r="J340" s="58">
        <f t="shared" ref="J340:J341" si="38">SUM(L340:Q340)</f>
        <v>-10663.195841924404</v>
      </c>
      <c r="K340" s="54"/>
      <c r="L340" s="38">
        <f>(L106-L195)-L18</f>
        <v>0</v>
      </c>
      <c r="M340" s="38">
        <f t="shared" ref="M340:Q340" si="39">(M106-M195)-M18</f>
        <v>0</v>
      </c>
      <c r="N340" s="38">
        <f t="shared" si="39"/>
        <v>-10663.195841924404</v>
      </c>
      <c r="O340" s="38">
        <f t="shared" si="39"/>
        <v>0</v>
      </c>
      <c r="P340" s="38">
        <f t="shared" si="39"/>
        <v>0</v>
      </c>
      <c r="Q340" s="38">
        <f t="shared" si="39"/>
        <v>0</v>
      </c>
      <c r="R340" s="39"/>
    </row>
    <row r="341" spans="2:25" s="52" customFormat="1">
      <c r="B341" s="52" t="s">
        <v>100</v>
      </c>
      <c r="F341" s="52" t="s">
        <v>164</v>
      </c>
      <c r="J341" s="58">
        <f t="shared" si="38"/>
        <v>473995.30159978941</v>
      </c>
      <c r="K341" s="54"/>
      <c r="L341" s="38">
        <f>(L107-L196)-L19</f>
        <v>0</v>
      </c>
      <c r="M341" s="38">
        <f t="shared" ref="M341:Q341" si="40">(M107-M196)-M19</f>
        <v>0</v>
      </c>
      <c r="N341" s="38">
        <f t="shared" si="40"/>
        <v>473995.30159978941</v>
      </c>
      <c r="O341" s="38">
        <f t="shared" si="40"/>
        <v>0</v>
      </c>
      <c r="P341" s="38">
        <f t="shared" si="40"/>
        <v>0</v>
      </c>
      <c r="Q341" s="38">
        <f t="shared" si="40"/>
        <v>0</v>
      </c>
      <c r="R341" s="39"/>
    </row>
    <row r="342" spans="2:25" s="52" customFormat="1">
      <c r="J342" s="54"/>
      <c r="K342" s="54"/>
    </row>
    <row r="343" spans="2:25" s="52" customFormat="1">
      <c r="B343" s="56" t="s">
        <v>101</v>
      </c>
      <c r="J343" s="54"/>
      <c r="K343" s="54"/>
    </row>
    <row r="344" spans="2:25" s="52" customFormat="1">
      <c r="B344" s="52" t="s">
        <v>98</v>
      </c>
      <c r="F344" s="52" t="s">
        <v>164</v>
      </c>
      <c r="J344" s="102"/>
      <c r="K344" s="5"/>
      <c r="L344" s="80"/>
      <c r="M344" s="80"/>
      <c r="N344" s="80"/>
      <c r="O344" s="80"/>
      <c r="P344" s="80"/>
      <c r="Q344" s="80"/>
      <c r="R344" s="39"/>
    </row>
    <row r="345" spans="2:25" s="52" customFormat="1">
      <c r="B345" s="52" t="s">
        <v>99</v>
      </c>
      <c r="F345" s="52" t="s">
        <v>164</v>
      </c>
      <c r="J345" s="58">
        <f t="shared" ref="J345:J346" si="41">SUM(L345:Q345)</f>
        <v>-1781.9880240549828</v>
      </c>
      <c r="K345" s="54"/>
      <c r="L345" s="38">
        <f>(L111-L200)-L23</f>
        <v>0</v>
      </c>
      <c r="M345" s="38">
        <f t="shared" ref="M345:Q345" si="42">(M111-M200)-M23</f>
        <v>0</v>
      </c>
      <c r="N345" s="38">
        <f t="shared" si="42"/>
        <v>-1781.9880240549828</v>
      </c>
      <c r="O345" s="38">
        <f t="shared" si="42"/>
        <v>0</v>
      </c>
      <c r="P345" s="38">
        <f t="shared" si="42"/>
        <v>0</v>
      </c>
      <c r="Q345" s="38">
        <f t="shared" si="42"/>
        <v>0</v>
      </c>
      <c r="R345" s="39"/>
    </row>
    <row r="346" spans="2:25" s="52" customFormat="1">
      <c r="B346" s="52" t="s">
        <v>102</v>
      </c>
      <c r="F346" s="52" t="s">
        <v>164</v>
      </c>
      <c r="J346" s="58">
        <f t="shared" si="41"/>
        <v>62859.05537098553</v>
      </c>
      <c r="K346" s="54"/>
      <c r="L346" s="38">
        <f>(L112-L201)-L24</f>
        <v>0</v>
      </c>
      <c r="M346" s="38">
        <f t="shared" ref="M346:Q346" si="43">(M112-M201)-M24</f>
        <v>0</v>
      </c>
      <c r="N346" s="38">
        <f t="shared" si="43"/>
        <v>62859.05537098553</v>
      </c>
      <c r="O346" s="38">
        <f t="shared" si="43"/>
        <v>0</v>
      </c>
      <c r="P346" s="38">
        <f t="shared" si="43"/>
        <v>0</v>
      </c>
      <c r="Q346" s="38">
        <f t="shared" si="43"/>
        <v>0</v>
      </c>
      <c r="R346" s="39"/>
    </row>
    <row r="347" spans="2:25" s="52" customFormat="1">
      <c r="J347" s="54"/>
      <c r="K347" s="54"/>
    </row>
    <row r="348" spans="2:25" s="52" customFormat="1">
      <c r="B348" s="56" t="s">
        <v>103</v>
      </c>
      <c r="J348" s="54"/>
      <c r="K348" s="54"/>
    </row>
    <row r="349" spans="2:25" s="52" customFormat="1">
      <c r="B349" s="52" t="s">
        <v>98</v>
      </c>
      <c r="F349" s="52" t="s">
        <v>164</v>
      </c>
      <c r="J349" s="102"/>
      <c r="K349" s="5"/>
      <c r="L349" s="80"/>
      <c r="M349" s="80"/>
      <c r="N349" s="80"/>
      <c r="O349" s="80"/>
      <c r="P349" s="80"/>
      <c r="Q349" s="80"/>
      <c r="R349" s="39"/>
    </row>
    <row r="350" spans="2:25" s="52" customFormat="1">
      <c r="B350" s="52" t="s">
        <v>99</v>
      </c>
      <c r="F350" s="52" t="s">
        <v>164</v>
      </c>
      <c r="J350" s="58">
        <f t="shared" ref="J350:J351" si="44">SUM(L350:Q350)</f>
        <v>92892.603461965075</v>
      </c>
      <c r="K350" s="54"/>
      <c r="L350" s="38">
        <f>(L116-L205)-L28</f>
        <v>0</v>
      </c>
      <c r="M350" s="38">
        <f t="shared" ref="M350:Q350" si="45">(M116-M205)-M28</f>
        <v>48270.303740987991</v>
      </c>
      <c r="N350" s="38">
        <f t="shared" si="45"/>
        <v>1453.0058062226744</v>
      </c>
      <c r="O350" s="38">
        <f t="shared" si="45"/>
        <v>0</v>
      </c>
      <c r="P350" s="38">
        <f t="shared" si="45"/>
        <v>43169.293914754409</v>
      </c>
      <c r="Q350" s="38">
        <f t="shared" si="45"/>
        <v>0</v>
      </c>
      <c r="R350" s="39"/>
      <c r="T350" s="82"/>
      <c r="U350" s="82"/>
      <c r="W350" s="82"/>
    </row>
    <row r="351" spans="2:25" s="52" customFormat="1">
      <c r="B351" s="52" t="s">
        <v>100</v>
      </c>
      <c r="F351" s="52" t="s">
        <v>164</v>
      </c>
      <c r="J351" s="58">
        <f t="shared" si="44"/>
        <v>-25919.443626649794</v>
      </c>
      <c r="K351" s="54"/>
      <c r="L351" s="38">
        <f>(L117-L206)-L29</f>
        <v>0</v>
      </c>
      <c r="M351" s="38">
        <f t="shared" ref="M351:Q351" si="46">(M117-M206)-M29</f>
        <v>57627.132156506064</v>
      </c>
      <c r="N351" s="38">
        <f t="shared" si="46"/>
        <v>29039.127575357445</v>
      </c>
      <c r="O351" s="38">
        <f t="shared" si="46"/>
        <v>0</v>
      </c>
      <c r="P351" s="38">
        <f t="shared" si="46"/>
        <v>-112585.7033585133</v>
      </c>
      <c r="Q351" s="38">
        <f t="shared" si="46"/>
        <v>0</v>
      </c>
      <c r="R351" s="39"/>
      <c r="T351" s="82"/>
      <c r="U351" s="82"/>
      <c r="W351" s="82"/>
    </row>
    <row r="352" spans="2:25" s="52" customFormat="1">
      <c r="J352" s="54"/>
      <c r="K352" s="54"/>
    </row>
    <row r="353" spans="2:25" s="52" customFormat="1">
      <c r="B353" s="56" t="s">
        <v>104</v>
      </c>
      <c r="J353" s="54"/>
      <c r="K353" s="54"/>
    </row>
    <row r="354" spans="2:25" s="52" customFormat="1">
      <c r="B354" s="52" t="s">
        <v>98</v>
      </c>
      <c r="F354" s="52" t="s">
        <v>164</v>
      </c>
      <c r="J354" s="102"/>
      <c r="K354" s="5"/>
      <c r="L354" s="80"/>
      <c r="M354" s="80"/>
      <c r="N354" s="80"/>
      <c r="O354" s="80"/>
      <c r="P354" s="80"/>
      <c r="Q354" s="80"/>
      <c r="R354" s="39"/>
    </row>
    <row r="355" spans="2:25" s="52" customFormat="1">
      <c r="B355" s="52" t="s">
        <v>99</v>
      </c>
      <c r="F355" s="52" t="s">
        <v>164</v>
      </c>
      <c r="J355" s="58">
        <f t="shared" ref="J355:J356" si="47">SUM(L355:Q355)</f>
        <v>-1858.2182563125607</v>
      </c>
      <c r="K355" s="54"/>
      <c r="L355" s="38">
        <f>(L121-L210)-L33</f>
        <v>0</v>
      </c>
      <c r="M355" s="38">
        <f t="shared" ref="M355:Q355" si="48">(M121-M210)-M33</f>
        <v>7089.9916897506992</v>
      </c>
      <c r="N355" s="38">
        <f t="shared" si="48"/>
        <v>537.09083333335002</v>
      </c>
      <c r="O355" s="38">
        <f t="shared" si="48"/>
        <v>0</v>
      </c>
      <c r="P355" s="38">
        <f t="shared" si="48"/>
        <v>-9485.3007793966099</v>
      </c>
      <c r="Q355" s="38">
        <f t="shared" si="48"/>
        <v>0</v>
      </c>
      <c r="R355" s="39"/>
    </row>
    <row r="356" spans="2:25" s="52" customFormat="1">
      <c r="B356" s="52" t="s">
        <v>102</v>
      </c>
      <c r="F356" s="52" t="s">
        <v>164</v>
      </c>
      <c r="J356" s="58">
        <f t="shared" si="47"/>
        <v>362032.65924947325</v>
      </c>
      <c r="K356" s="54"/>
      <c r="L356" s="38">
        <f>(L122-L211)-L34</f>
        <v>0</v>
      </c>
      <c r="M356" s="38">
        <f t="shared" ref="M356:Q356" si="49">(M122-M211)-M34</f>
        <v>116159.37006678818</v>
      </c>
      <c r="N356" s="38">
        <f t="shared" si="49"/>
        <v>222002.44270352786</v>
      </c>
      <c r="O356" s="38">
        <f t="shared" si="49"/>
        <v>0</v>
      </c>
      <c r="P356" s="38">
        <f t="shared" si="49"/>
        <v>23870.846479157219</v>
      </c>
      <c r="Q356" s="38">
        <f t="shared" si="49"/>
        <v>0</v>
      </c>
      <c r="R356" s="39"/>
    </row>
    <row r="357" spans="2:25" s="52" customFormat="1">
      <c r="J357" s="54"/>
      <c r="K357" s="54"/>
    </row>
    <row r="358" spans="2:25" s="52" customFormat="1">
      <c r="B358" s="56" t="s">
        <v>105</v>
      </c>
      <c r="J358" s="54"/>
      <c r="K358" s="54"/>
      <c r="U358" s="82"/>
      <c r="V358" s="82"/>
      <c r="W358" s="82"/>
      <c r="X358" s="82"/>
      <c r="Y358" s="82"/>
    </row>
    <row r="359" spans="2:25" s="52" customFormat="1">
      <c r="B359" s="52" t="s">
        <v>98</v>
      </c>
      <c r="F359" s="52" t="s">
        <v>164</v>
      </c>
      <c r="J359" s="102"/>
      <c r="K359" s="5"/>
      <c r="L359" s="80"/>
      <c r="M359" s="80"/>
      <c r="N359" s="80"/>
      <c r="O359" s="80"/>
      <c r="P359" s="80"/>
      <c r="Q359" s="80"/>
      <c r="R359" s="39"/>
      <c r="U359" s="82"/>
      <c r="V359" s="82"/>
      <c r="W359" s="82"/>
      <c r="X359" s="82"/>
      <c r="Y359" s="82"/>
    </row>
    <row r="360" spans="2:25" s="52" customFormat="1">
      <c r="B360" s="52" t="s">
        <v>99</v>
      </c>
      <c r="F360" s="52" t="s">
        <v>164</v>
      </c>
      <c r="J360" s="58">
        <f t="shared" ref="J360:J361" si="50">SUM(L360:Q360)</f>
        <v>278655.15290851769</v>
      </c>
      <c r="K360" s="54"/>
      <c r="L360" s="38">
        <f>(L126-L215)-L38</f>
        <v>0</v>
      </c>
      <c r="M360" s="38">
        <f t="shared" ref="M360:Q360" si="51">(M126-M215)-M38</f>
        <v>9522.8926085385028</v>
      </c>
      <c r="N360" s="38">
        <f t="shared" si="51"/>
        <v>205108.19728929014</v>
      </c>
      <c r="O360" s="38">
        <f t="shared" si="51"/>
        <v>0</v>
      </c>
      <c r="P360" s="38">
        <f t="shared" si="51"/>
        <v>62337.412717847968</v>
      </c>
      <c r="Q360" s="38">
        <f t="shared" si="51"/>
        <v>1686.6502928410919</v>
      </c>
      <c r="R360" s="39"/>
    </row>
    <row r="361" spans="2:25" s="52" customFormat="1">
      <c r="B361" s="52" t="s">
        <v>100</v>
      </c>
      <c r="F361" s="52" t="s">
        <v>164</v>
      </c>
      <c r="J361" s="58">
        <f t="shared" si="50"/>
        <v>1012100.3469797043</v>
      </c>
      <c r="K361" s="54"/>
      <c r="L361" s="38">
        <f>(L127-L216)-L39</f>
        <v>0</v>
      </c>
      <c r="M361" s="38">
        <f t="shared" ref="M361:Q361" si="52">(M127-M216)-M39</f>
        <v>-530884.79521754757</v>
      </c>
      <c r="N361" s="38">
        <f t="shared" si="52"/>
        <v>1134153.6268933732</v>
      </c>
      <c r="O361" s="38">
        <f t="shared" si="52"/>
        <v>0</v>
      </c>
      <c r="P361" s="38">
        <f t="shared" si="52"/>
        <v>399704.43303030822</v>
      </c>
      <c r="Q361" s="38">
        <f t="shared" si="52"/>
        <v>9127.0822735704714</v>
      </c>
      <c r="R361" s="39"/>
    </row>
    <row r="362" spans="2:25" s="52" customFormat="1">
      <c r="J362" s="54"/>
      <c r="K362" s="54"/>
    </row>
    <row r="363" spans="2:25" s="52" customFormat="1">
      <c r="B363" s="56" t="s">
        <v>106</v>
      </c>
      <c r="K363" s="54"/>
    </row>
    <row r="364" spans="2:25" s="52" customFormat="1">
      <c r="B364" s="52" t="s">
        <v>98</v>
      </c>
      <c r="F364" s="52" t="s">
        <v>164</v>
      </c>
      <c r="J364" s="102"/>
      <c r="K364" s="5"/>
      <c r="L364" s="80"/>
      <c r="M364" s="80"/>
      <c r="N364" s="80"/>
      <c r="O364" s="80"/>
      <c r="P364" s="80"/>
      <c r="Q364" s="80"/>
      <c r="R364" s="39"/>
    </row>
    <row r="365" spans="2:25" s="52" customFormat="1">
      <c r="B365" s="52" t="s">
        <v>99</v>
      </c>
      <c r="F365" s="52" t="s">
        <v>164</v>
      </c>
      <c r="J365" s="58">
        <f t="shared" ref="J365:J366" si="53">SUM(L365:Q365)</f>
        <v>38.341201255203487</v>
      </c>
      <c r="K365" s="54"/>
      <c r="L365" s="38">
        <f>(L131-L220)-L43</f>
        <v>0</v>
      </c>
      <c r="M365" s="38">
        <f t="shared" ref="M365:Q365" si="54">(M131-M220)-M43</f>
        <v>15206.179920477123</v>
      </c>
      <c r="N365" s="38">
        <f t="shared" si="54"/>
        <v>2200.4766666666656</v>
      </c>
      <c r="O365" s="38">
        <f t="shared" si="54"/>
        <v>0</v>
      </c>
      <c r="P365" s="38">
        <f t="shared" si="54"/>
        <v>-17368.315385888585</v>
      </c>
      <c r="Q365" s="38">
        <f t="shared" si="54"/>
        <v>0</v>
      </c>
      <c r="R365" s="39"/>
    </row>
    <row r="366" spans="2:25" s="52" customFormat="1">
      <c r="B366" s="52" t="s">
        <v>102</v>
      </c>
      <c r="F366" s="52" t="s">
        <v>164</v>
      </c>
      <c r="J366" s="58">
        <f t="shared" si="53"/>
        <v>477850.94717938837</v>
      </c>
      <c r="K366" s="54"/>
      <c r="L366" s="38">
        <f>(L132-L221)-L44</f>
        <v>0</v>
      </c>
      <c r="M366" s="38">
        <f t="shared" ref="M366:Q366" si="55">(M132-M221)-M44</f>
        <v>570167.36944745423</v>
      </c>
      <c r="N366" s="38">
        <f t="shared" si="55"/>
        <v>64231.003089220379</v>
      </c>
      <c r="O366" s="38">
        <f t="shared" si="55"/>
        <v>0</v>
      </c>
      <c r="P366" s="38">
        <f t="shared" si="55"/>
        <v>-156547.42535728624</v>
      </c>
      <c r="Q366" s="38">
        <f t="shared" si="55"/>
        <v>0</v>
      </c>
      <c r="R366" s="39"/>
    </row>
    <row r="367" spans="2:25" s="52" customFormat="1">
      <c r="J367" s="54"/>
      <c r="K367" s="54"/>
    </row>
    <row r="368" spans="2:25" s="52" customFormat="1">
      <c r="J368" s="54"/>
      <c r="K368" s="54"/>
    </row>
    <row r="369" spans="2:19">
      <c r="B369" s="27" t="s">
        <v>107</v>
      </c>
    </row>
    <row r="371" spans="2:19">
      <c r="B371" s="27" t="s">
        <v>108</v>
      </c>
    </row>
    <row r="372" spans="2:19">
      <c r="B372" s="5" t="s">
        <v>98</v>
      </c>
      <c r="F372" s="5" t="s">
        <v>164</v>
      </c>
      <c r="J372" s="102"/>
      <c r="L372" s="80"/>
      <c r="M372" s="80"/>
      <c r="N372" s="80"/>
      <c r="O372" s="80"/>
      <c r="P372" s="80"/>
      <c r="Q372" s="80"/>
      <c r="S372" s="81"/>
    </row>
    <row r="373" spans="2:19">
      <c r="B373" s="5" t="s">
        <v>109</v>
      </c>
      <c r="F373" s="5" t="s">
        <v>164</v>
      </c>
      <c r="J373" s="58">
        <f t="shared" ref="J373:J375" si="56">SUM(L373:Q373)</f>
        <v>50490.746966531078</v>
      </c>
      <c r="L373" s="85"/>
      <c r="M373" s="38">
        <f t="shared" ref="M373:O375" si="57">(M139-M228)-M51</f>
        <v>50028.046966531081</v>
      </c>
      <c r="N373" s="85"/>
      <c r="O373" s="38">
        <f t="shared" si="57"/>
        <v>462.70000000000073</v>
      </c>
      <c r="P373" s="85"/>
      <c r="Q373" s="85"/>
      <c r="S373" s="81"/>
    </row>
    <row r="374" spans="2:19">
      <c r="B374" s="5" t="s">
        <v>100</v>
      </c>
      <c r="F374" s="5" t="s">
        <v>164</v>
      </c>
      <c r="J374" s="58">
        <f t="shared" si="56"/>
        <v>119283.2113839332</v>
      </c>
      <c r="L374" s="85"/>
      <c r="M374" s="38">
        <f t="shared" si="57"/>
        <v>121001.2113839332</v>
      </c>
      <c r="N374" s="85"/>
      <c r="O374" s="38">
        <f t="shared" si="57"/>
        <v>-1718</v>
      </c>
      <c r="P374" s="85"/>
      <c r="Q374" s="85"/>
      <c r="S374" s="81"/>
    </row>
    <row r="375" spans="2:19">
      <c r="B375" s="5" t="s">
        <v>110</v>
      </c>
      <c r="F375" s="5" t="s">
        <v>164</v>
      </c>
      <c r="J375" s="58">
        <f t="shared" si="56"/>
        <v>-50941774.283777237</v>
      </c>
      <c r="L375" s="85"/>
      <c r="M375" s="38">
        <f t="shared" si="57"/>
        <v>-50884287.283777237</v>
      </c>
      <c r="N375" s="85"/>
      <c r="O375" s="38">
        <f t="shared" si="57"/>
        <v>-57487</v>
      </c>
      <c r="P375" s="85"/>
      <c r="Q375" s="85"/>
      <c r="S375" s="81"/>
    </row>
    <row r="377" spans="2:19">
      <c r="B377" s="27" t="s">
        <v>80</v>
      </c>
      <c r="M377" s="39"/>
    </row>
    <row r="378" spans="2:19">
      <c r="B378" s="5" t="s">
        <v>98</v>
      </c>
      <c r="F378" s="5" t="s">
        <v>164</v>
      </c>
      <c r="J378" s="102"/>
      <c r="L378" s="80"/>
      <c r="M378" s="80"/>
      <c r="N378" s="80"/>
      <c r="O378" s="80"/>
      <c r="P378" s="80"/>
      <c r="Q378" s="80"/>
      <c r="S378" s="81"/>
    </row>
    <row r="379" spans="2:19">
      <c r="B379" s="5" t="s">
        <v>109</v>
      </c>
      <c r="F379" s="5" t="s">
        <v>164</v>
      </c>
      <c r="J379" s="58">
        <f t="shared" ref="J379:J381" si="58">SUM(L379:Q379)</f>
        <v>661111.32612324029</v>
      </c>
      <c r="L379" s="38">
        <f>(L151-L240)-L63</f>
        <v>2044.6666666666642</v>
      </c>
      <c r="M379" s="31">
        <f>(M145-M234)-M57</f>
        <v>258833.40671782009</v>
      </c>
      <c r="N379" s="38">
        <f>(N151-N240)-N63</f>
        <v>211901.70344654936</v>
      </c>
      <c r="O379" s="31">
        <f>(O145-O234)-O57</f>
        <v>436.91666666666788</v>
      </c>
      <c r="P379" s="38">
        <f>(P151-P240)-P63</f>
        <v>64550.293467526557</v>
      </c>
      <c r="Q379" s="38">
        <f>(Q151-Q240)-Q63</f>
        <v>123344.33915801102</v>
      </c>
      <c r="S379" s="81"/>
    </row>
    <row r="380" spans="2:19">
      <c r="B380" s="5" t="s">
        <v>100</v>
      </c>
      <c r="F380" s="5" t="s">
        <v>164</v>
      </c>
      <c r="J380" s="58">
        <f t="shared" si="58"/>
        <v>3102722.7716308706</v>
      </c>
      <c r="L380" s="38">
        <f t="shared" ref="L380:L381" si="59">(L152-L241)-L64</f>
        <v>-664</v>
      </c>
      <c r="M380" s="31">
        <f t="shared" ref="M380:M381" si="60">(M146-M235)-M58</f>
        <v>1170095.9729861245</v>
      </c>
      <c r="N380" s="38">
        <f t="shared" ref="N380:N381" si="61">(N152-N241)-N64</f>
        <v>653692.18698177114</v>
      </c>
      <c r="O380" s="31">
        <f t="shared" ref="O380:O381" si="62">(O146-O235)-O58</f>
        <v>7126</v>
      </c>
      <c r="P380" s="38">
        <f t="shared" ref="P380:Q381" si="63">(P152-P241)-P64</f>
        <v>571295.17979107611</v>
      </c>
      <c r="Q380" s="38">
        <f t="shared" si="63"/>
        <v>701177.43187189894</v>
      </c>
      <c r="S380" s="81"/>
    </row>
    <row r="381" spans="2:19">
      <c r="B381" s="5" t="s">
        <v>110</v>
      </c>
      <c r="F381" s="5" t="s">
        <v>164</v>
      </c>
      <c r="J381" s="58">
        <f t="shared" si="58"/>
        <v>-444225296.66284448</v>
      </c>
      <c r="L381" s="38">
        <f t="shared" si="59"/>
        <v>-360333</v>
      </c>
      <c r="M381" s="31">
        <f t="shared" si="60"/>
        <v>3958786.5489301682</v>
      </c>
      <c r="N381" s="38">
        <f t="shared" si="61"/>
        <v>-197274401.98712349</v>
      </c>
      <c r="O381" s="31">
        <f t="shared" si="62"/>
        <v>-3397414</v>
      </c>
      <c r="P381" s="38">
        <f t="shared" si="63"/>
        <v>-96970701.305110931</v>
      </c>
      <c r="Q381" s="38">
        <f>(Q153-Q242)-Q65</f>
        <v>-150181232.91954023</v>
      </c>
      <c r="S381" s="81"/>
    </row>
    <row r="383" spans="2:19">
      <c r="B383" s="27" t="s">
        <v>111</v>
      </c>
    </row>
    <row r="384" spans="2:19">
      <c r="B384" s="5" t="s">
        <v>98</v>
      </c>
      <c r="F384" s="5" t="s">
        <v>164</v>
      </c>
      <c r="J384" s="102"/>
      <c r="L384" s="80"/>
      <c r="M384" s="80"/>
      <c r="N384" s="80"/>
      <c r="O384" s="80"/>
      <c r="P384" s="80"/>
      <c r="Q384" s="80"/>
      <c r="S384" s="78"/>
    </row>
    <row r="385" spans="2:22">
      <c r="B385" s="5" t="s">
        <v>109</v>
      </c>
      <c r="F385" s="5" t="s">
        <v>164</v>
      </c>
      <c r="J385" s="58">
        <f t="shared" ref="J385:J387" si="64">SUM(L385:Q385)</f>
        <v>91871.825941357689</v>
      </c>
      <c r="L385" s="38">
        <f>(L157-L246)-L69</f>
        <v>1627.0833333333358</v>
      </c>
      <c r="M385" s="38">
        <f t="shared" ref="M385:Q385" si="65">(M157-M246)-M69</f>
        <v>12300.194149732357</v>
      </c>
      <c r="N385" s="38">
        <f t="shared" si="65"/>
        <v>57114.31166666653</v>
      </c>
      <c r="O385" s="38">
        <f t="shared" si="65"/>
        <v>680.83333333333212</v>
      </c>
      <c r="P385" s="38">
        <f t="shared" si="65"/>
        <v>18244.247176944045</v>
      </c>
      <c r="Q385" s="38">
        <f t="shared" si="65"/>
        <v>1905.156281348085</v>
      </c>
      <c r="S385" s="78"/>
    </row>
    <row r="386" spans="2:22">
      <c r="B386" s="5" t="s">
        <v>100</v>
      </c>
      <c r="F386" s="5" t="s">
        <v>164</v>
      </c>
      <c r="J386" s="58">
        <f t="shared" si="64"/>
        <v>851758.24396584113</v>
      </c>
      <c r="L386" s="38">
        <f t="shared" ref="L386:Q387" si="66">(L158-L247)-L70</f>
        <v>12211</v>
      </c>
      <c r="M386" s="38">
        <f t="shared" si="66"/>
        <v>228114.81835893635</v>
      </c>
      <c r="N386" s="38">
        <f t="shared" si="66"/>
        <v>284350.17233660445</v>
      </c>
      <c r="O386" s="38">
        <f t="shared" si="66"/>
        <v>5813</v>
      </c>
      <c r="P386" s="38">
        <f t="shared" si="66"/>
        <v>386785.53232164774</v>
      </c>
      <c r="Q386" s="38">
        <f t="shared" si="66"/>
        <v>-65516.279051347403</v>
      </c>
      <c r="S386" s="78"/>
    </row>
    <row r="387" spans="2:22">
      <c r="B387" s="5" t="s">
        <v>110</v>
      </c>
      <c r="F387" s="5" t="s">
        <v>164</v>
      </c>
      <c r="J387" s="58">
        <f t="shared" si="64"/>
        <v>-49373922.087629437</v>
      </c>
      <c r="L387" s="38">
        <f t="shared" si="66"/>
        <v>-1731195</v>
      </c>
      <c r="M387" s="38">
        <f t="shared" si="66"/>
        <v>-4982640.4691829681</v>
      </c>
      <c r="N387" s="38">
        <f t="shared" si="66"/>
        <v>-7867963.8847446442</v>
      </c>
      <c r="O387" s="38">
        <f t="shared" si="66"/>
        <v>1359859</v>
      </c>
      <c r="P387" s="38">
        <f t="shared" si="66"/>
        <v>23234712.053654432</v>
      </c>
      <c r="Q387" s="38">
        <f t="shared" si="66"/>
        <v>-59386693.787356257</v>
      </c>
      <c r="S387" s="78"/>
    </row>
    <row r="390" spans="2:22">
      <c r="B390" s="27" t="s">
        <v>112</v>
      </c>
      <c r="V390" s="5" t="s">
        <v>172</v>
      </c>
    </row>
    <row r="392" spans="2:22">
      <c r="B392" s="27" t="s">
        <v>165</v>
      </c>
    </row>
    <row r="393" spans="2:22">
      <c r="B393" s="5" t="s">
        <v>98</v>
      </c>
      <c r="F393" s="5" t="s">
        <v>164</v>
      </c>
      <c r="J393" s="102"/>
      <c r="L393" s="80"/>
      <c r="M393" s="80"/>
      <c r="N393" s="80"/>
      <c r="O393" s="80"/>
      <c r="P393" s="80"/>
      <c r="Q393" s="80"/>
      <c r="S393" s="40"/>
    </row>
    <row r="394" spans="2:22">
      <c r="B394" s="5" t="s">
        <v>109</v>
      </c>
      <c r="F394" s="5" t="s">
        <v>164</v>
      </c>
      <c r="J394" s="58">
        <f t="shared" ref="J394:J395" si="67">SUM(L394:Q394)</f>
        <v>5276.890381361768</v>
      </c>
      <c r="L394" s="38">
        <f>L166-L78</f>
        <v>386.5</v>
      </c>
      <c r="M394" s="38">
        <f t="shared" ref="M394:Q394" si="68">M166-M78</f>
        <v>10772.80336344766</v>
      </c>
      <c r="N394" s="38">
        <f t="shared" si="68"/>
        <v>4460.4599999999919</v>
      </c>
      <c r="O394" s="38">
        <f t="shared" si="68"/>
        <v>597.33333333333394</v>
      </c>
      <c r="P394" s="38">
        <f t="shared" si="68"/>
        <v>-10619.723573876778</v>
      </c>
      <c r="Q394" s="38">
        <f t="shared" si="68"/>
        <v>-320.48274154243973</v>
      </c>
      <c r="S394" s="40"/>
    </row>
    <row r="395" spans="2:22">
      <c r="B395" s="5" t="s">
        <v>114</v>
      </c>
      <c r="F395" s="5" t="s">
        <v>164</v>
      </c>
      <c r="J395" s="58">
        <f t="shared" si="67"/>
        <v>-4379609.4028456639</v>
      </c>
      <c r="L395" s="38">
        <f>L167-L79</f>
        <v>-92078</v>
      </c>
      <c r="M395" s="38">
        <f t="shared" ref="M395:Q395" si="69">M167-M79</f>
        <v>2627536.9435332417</v>
      </c>
      <c r="N395" s="38">
        <f t="shared" si="69"/>
        <v>-1298898.6933027804</v>
      </c>
      <c r="O395" s="38">
        <f t="shared" si="69"/>
        <v>178662</v>
      </c>
      <c r="P395" s="38">
        <f t="shared" si="69"/>
        <v>-5440582.4600746334</v>
      </c>
      <c r="Q395" s="38">
        <f t="shared" si="69"/>
        <v>-354249.19300149195</v>
      </c>
      <c r="S395" s="40"/>
    </row>
    <row r="396" spans="2:22">
      <c r="B396" s="5" t="s">
        <v>110</v>
      </c>
      <c r="F396" s="5" t="s">
        <v>164</v>
      </c>
    </row>
    <row r="398" spans="2:22">
      <c r="B398" s="27" t="s">
        <v>115</v>
      </c>
    </row>
    <row r="399" spans="2:22">
      <c r="B399" s="5" t="s">
        <v>116</v>
      </c>
      <c r="F399" s="5" t="s">
        <v>164</v>
      </c>
      <c r="J399" s="102"/>
      <c r="L399" s="80"/>
      <c r="M399" s="80"/>
      <c r="N399" s="80"/>
      <c r="O399" s="80"/>
      <c r="P399" s="80"/>
      <c r="Q399" s="80"/>
      <c r="S399" s="40"/>
    </row>
    <row r="400" spans="2:22">
      <c r="B400" s="5" t="s">
        <v>166</v>
      </c>
      <c r="F400" s="5" t="s">
        <v>164</v>
      </c>
      <c r="J400" s="102"/>
      <c r="L400" s="80"/>
      <c r="M400" s="80"/>
      <c r="N400" s="80"/>
      <c r="O400" s="80"/>
      <c r="P400" s="80"/>
      <c r="Q400" s="80"/>
      <c r="S400" s="40"/>
    </row>
    <row r="402" spans="2:22">
      <c r="B402" s="27" t="s">
        <v>118</v>
      </c>
    </row>
    <row r="403" spans="2:22">
      <c r="B403" s="5" t="s">
        <v>119</v>
      </c>
      <c r="F403" s="5" t="s">
        <v>164</v>
      </c>
      <c r="J403" s="58">
        <f t="shared" ref="J403:J409" si="70">SUM(L403:Q403)</f>
        <v>2359.2336873567638</v>
      </c>
      <c r="L403" s="38">
        <f>L175-L87</f>
        <v>7.0383561643835719</v>
      </c>
      <c r="M403" s="38">
        <f t="shared" ref="M403:Q403" si="71">M175-M87</f>
        <v>1125.5718648533584</v>
      </c>
      <c r="N403" s="38">
        <f t="shared" si="71"/>
        <v>829.59598173516133</v>
      </c>
      <c r="O403" s="38">
        <f t="shared" si="71"/>
        <v>9.8000000000000114</v>
      </c>
      <c r="P403" s="38">
        <f t="shared" si="71"/>
        <v>382.1174827459181</v>
      </c>
      <c r="Q403" s="38">
        <f t="shared" si="71"/>
        <v>5.1100018579428479</v>
      </c>
      <c r="S403" s="40"/>
    </row>
    <row r="404" spans="2:22">
      <c r="B404" s="5" t="s">
        <v>120</v>
      </c>
      <c r="F404" s="5" t="s">
        <v>164</v>
      </c>
      <c r="J404" s="58">
        <f t="shared" si="70"/>
        <v>87.368772993369106</v>
      </c>
      <c r="L404" s="38">
        <f t="shared" ref="L404:Q409" si="72">L176-L88</f>
        <v>7.8164383561643831</v>
      </c>
      <c r="M404" s="38">
        <f t="shared" si="72"/>
        <v>-64.106661897443701</v>
      </c>
      <c r="N404" s="38">
        <f t="shared" si="72"/>
        <v>61.463401826484187</v>
      </c>
      <c r="O404" s="38">
        <f t="shared" si="72"/>
        <v>0.79999999999998295</v>
      </c>
      <c r="P404" s="38">
        <f t="shared" si="72"/>
        <v>83.037136655433642</v>
      </c>
      <c r="Q404" s="38">
        <f t="shared" si="72"/>
        <v>-1.6415419472693884</v>
      </c>
      <c r="S404" s="40"/>
    </row>
    <row r="405" spans="2:22">
      <c r="B405" s="5" t="s">
        <v>121</v>
      </c>
      <c r="F405" s="5" t="s">
        <v>164</v>
      </c>
      <c r="J405" s="58">
        <f t="shared" si="70"/>
        <v>783.62517714505907</v>
      </c>
      <c r="L405" s="38">
        <f t="shared" si="72"/>
        <v>5.0273972602739718</v>
      </c>
      <c r="M405" s="38">
        <f t="shared" si="72"/>
        <v>174.11883067282906</v>
      </c>
      <c r="N405" s="38">
        <f t="shared" si="72"/>
        <v>262.87731735159468</v>
      </c>
      <c r="O405" s="38">
        <f t="shared" si="72"/>
        <v>1.8000000000000114</v>
      </c>
      <c r="P405" s="38">
        <f t="shared" si="72"/>
        <v>334.1316991882195</v>
      </c>
      <c r="Q405" s="38">
        <f t="shared" si="72"/>
        <v>5.6699326721418402</v>
      </c>
      <c r="S405" s="40"/>
    </row>
    <row r="406" spans="2:22">
      <c r="B406" s="5" t="s">
        <v>122</v>
      </c>
      <c r="F406" s="5" t="s">
        <v>164</v>
      </c>
      <c r="J406" s="58">
        <f t="shared" si="70"/>
        <v>3890.0515761162715</v>
      </c>
      <c r="L406" s="38">
        <f t="shared" si="72"/>
        <v>11.249315068493161</v>
      </c>
      <c r="M406" s="38">
        <f t="shared" si="72"/>
        <v>1432.4683722541813</v>
      </c>
      <c r="N406" s="38">
        <f t="shared" si="72"/>
        <v>1324.7476940639172</v>
      </c>
      <c r="O406" s="38">
        <f t="shared" si="72"/>
        <v>31.509999999999991</v>
      </c>
      <c r="P406" s="38">
        <f t="shared" si="72"/>
        <v>1034.0367314545365</v>
      </c>
      <c r="Q406" s="38">
        <f t="shared" si="72"/>
        <v>56.039463275142907</v>
      </c>
      <c r="S406" s="40"/>
    </row>
    <row r="407" spans="2:22">
      <c r="B407" s="5" t="s">
        <v>147</v>
      </c>
      <c r="F407" s="5" t="s">
        <v>164</v>
      </c>
      <c r="J407" s="58">
        <f t="shared" si="70"/>
        <v>71205.309017548469</v>
      </c>
      <c r="L407" s="38">
        <f t="shared" si="72"/>
        <v>195.34246575342695</v>
      </c>
      <c r="M407" s="38">
        <f t="shared" si="72"/>
        <v>20362.702276499942</v>
      </c>
      <c r="N407" s="38">
        <f t="shared" si="72"/>
        <v>32097.939554794692</v>
      </c>
      <c r="O407" s="38">
        <f t="shared" si="72"/>
        <v>223.2699999999968</v>
      </c>
      <c r="P407" s="38">
        <f t="shared" si="72"/>
        <v>17578.85334549332</v>
      </c>
      <c r="Q407" s="38">
        <f t="shared" si="72"/>
        <v>747.20137500709097</v>
      </c>
      <c r="S407" s="40"/>
    </row>
    <row r="408" spans="2:22">
      <c r="B408" s="5" t="s">
        <v>148</v>
      </c>
      <c r="F408" s="5" t="s">
        <v>164</v>
      </c>
      <c r="J408" s="58">
        <f t="shared" si="70"/>
        <v>494.49670574235876</v>
      </c>
      <c r="L408" s="38">
        <f t="shared" si="72"/>
        <v>1.515068493150685</v>
      </c>
      <c r="M408" s="38">
        <f t="shared" si="72"/>
        <v>204.2175655572546</v>
      </c>
      <c r="N408" s="38">
        <f t="shared" si="72"/>
        <v>307.41172501268375</v>
      </c>
      <c r="O408" s="38">
        <f t="shared" si="72"/>
        <v>2</v>
      </c>
      <c r="P408" s="38">
        <f t="shared" si="72"/>
        <v>-20.647989045606664</v>
      </c>
      <c r="Q408" s="38">
        <f t="shared" si="72"/>
        <v>3.3572487636235326E-4</v>
      </c>
      <c r="S408" s="40"/>
      <c r="V408" s="5" t="s">
        <v>124</v>
      </c>
    </row>
    <row r="409" spans="2:22">
      <c r="B409" s="5" t="s">
        <v>123</v>
      </c>
      <c r="F409" s="5" t="s">
        <v>164</v>
      </c>
      <c r="J409" s="58">
        <f t="shared" si="70"/>
        <v>26280.615484491365</v>
      </c>
      <c r="L409" s="38">
        <f t="shared" si="72"/>
        <v>-411</v>
      </c>
      <c r="M409" s="38">
        <f t="shared" si="72"/>
        <v>12088.256274817977</v>
      </c>
      <c r="N409" s="38">
        <f t="shared" si="72"/>
        <v>12246.989481227705</v>
      </c>
      <c r="O409" s="38">
        <f t="shared" si="72"/>
        <v>41</v>
      </c>
      <c r="P409" s="38">
        <f t="shared" si="72"/>
        <v>1750.9676217926899</v>
      </c>
      <c r="Q409" s="38">
        <f t="shared" si="72"/>
        <v>564.4021066529931</v>
      </c>
      <c r="S409" s="40"/>
    </row>
    <row r="412" spans="2:22">
      <c r="B412" s="27" t="s">
        <v>125</v>
      </c>
    </row>
    <row r="414" spans="2:22">
      <c r="B414" s="5" t="s">
        <v>126</v>
      </c>
      <c r="F414" s="5" t="s">
        <v>164</v>
      </c>
      <c r="J414" s="58">
        <f t="shared" ref="J414:J415" si="73">SUM(L414:Q414)</f>
        <v>27638793.755601436</v>
      </c>
      <c r="L414" s="38">
        <f>L186-L97</f>
        <v>1069203</v>
      </c>
      <c r="M414" s="38">
        <f t="shared" ref="M414:Q414" si="74">M186-M97</f>
        <v>-13928141.105499476</v>
      </c>
      <c r="N414" s="38">
        <f t="shared" si="74"/>
        <v>-5751370</v>
      </c>
      <c r="O414" s="38">
        <f t="shared" si="74"/>
        <v>5757286</v>
      </c>
      <c r="P414" s="38">
        <f t="shared" si="74"/>
        <v>40491815.861100912</v>
      </c>
      <c r="Q414" s="38">
        <f t="shared" si="74"/>
        <v>0</v>
      </c>
      <c r="S414" s="40"/>
    </row>
    <row r="415" spans="2:22">
      <c r="B415" s="5" t="s">
        <v>127</v>
      </c>
      <c r="F415" s="5" t="s">
        <v>164</v>
      </c>
      <c r="J415" s="58">
        <f t="shared" si="73"/>
        <v>-31562273.445323985</v>
      </c>
      <c r="L415" s="38">
        <f>L187-L98</f>
        <v>-52716</v>
      </c>
      <c r="M415" s="38">
        <f t="shared" ref="M415:Q415" si="75">M187-M98</f>
        <v>-34174074.69135803</v>
      </c>
      <c r="N415" s="38">
        <f t="shared" si="75"/>
        <v>241572</v>
      </c>
      <c r="O415" s="38">
        <f t="shared" si="75"/>
        <v>20812</v>
      </c>
      <c r="P415" s="38">
        <f t="shared" si="75"/>
        <v>2402133.2460340448</v>
      </c>
      <c r="Q415" s="38">
        <f t="shared" si="75"/>
        <v>0</v>
      </c>
      <c r="S415" s="40"/>
    </row>
    <row r="417" spans="2:17" s="11" customFormat="1">
      <c r="B417" s="11" t="s">
        <v>194</v>
      </c>
    </row>
    <row r="418" spans="2:17" s="42" customFormat="1">
      <c r="B418" s="43"/>
    </row>
    <row r="419" spans="2:17">
      <c r="B419" s="42" t="s">
        <v>84</v>
      </c>
      <c r="L419" s="38">
        <f>SUMPRODUCT($J$255:$J$282,L339:L366)</f>
        <v>0</v>
      </c>
      <c r="M419" s="38">
        <f t="shared" ref="M419:Q419" si="76">SUMPRODUCT($J$255:$J$282,M339:M366)</f>
        <v>824892.47193479398</v>
      </c>
      <c r="N419" s="38">
        <f t="shared" si="76"/>
        <v>7616482.4056766182</v>
      </c>
      <c r="O419" s="38">
        <f t="shared" si="76"/>
        <v>0</v>
      </c>
      <c r="P419" s="38">
        <f t="shared" si="76"/>
        <v>2464901.0642968901</v>
      </c>
      <c r="Q419" s="38">
        <f t="shared" si="76"/>
        <v>55786.068398621108</v>
      </c>
    </row>
    <row r="420" spans="2:17">
      <c r="B420" s="42" t="s">
        <v>85</v>
      </c>
      <c r="L420" s="38">
        <f>SUMPRODUCT($J$288:$J$303,L372:L387)</f>
        <v>60759.208457059518</v>
      </c>
      <c r="M420" s="38">
        <f t="shared" ref="M420:Q420" si="77">SUMPRODUCT($J$288:$J$303,M372:M387)</f>
        <v>6294951.0879723653</v>
      </c>
      <c r="N420" s="38">
        <f t="shared" si="77"/>
        <v>3497670.1670806101</v>
      </c>
      <c r="O420" s="38">
        <f t="shared" si="77"/>
        <v>23883.527770413697</v>
      </c>
      <c r="P420" s="38">
        <f t="shared" si="77"/>
        <v>2021961.1301569722</v>
      </c>
      <c r="Q420" s="38">
        <f t="shared" si="77"/>
        <v>598537.64048856858</v>
      </c>
    </row>
    <row r="421" spans="2:17">
      <c r="B421" s="42" t="s">
        <v>86</v>
      </c>
      <c r="L421" s="38">
        <f>SUMPRODUCT($J$309:$J$325,L393:L409)</f>
        <v>65246.898593606951</v>
      </c>
      <c r="M421" s="38">
        <f t="shared" ref="M421:Q421" si="78">SUMPRODUCT($J$309:$J$325,M393:M409)</f>
        <v>6156080.8125987584</v>
      </c>
      <c r="N421" s="38">
        <f t="shared" si="78"/>
        <v>7361785.2599296998</v>
      </c>
      <c r="O421" s="38">
        <f t="shared" si="78"/>
        <v>82893.254576940977</v>
      </c>
      <c r="P421" s="38">
        <f t="shared" si="78"/>
        <v>4182750.3118306287</v>
      </c>
      <c r="Q421" s="38">
        <f t="shared" si="78"/>
        <v>149755.95158195461</v>
      </c>
    </row>
    <row r="422" spans="2:17">
      <c r="B422" s="42" t="s">
        <v>87</v>
      </c>
      <c r="L422" s="38">
        <f>SUMPRODUCT($J$330:$J$331,L414:L415)</f>
        <v>4613.4688721870079</v>
      </c>
      <c r="M422" s="38">
        <f t="shared" ref="M422:Q422" si="79">SUMPRODUCT($J$330:$J$331,M414:M415)</f>
        <v>-259694.84699044755</v>
      </c>
      <c r="N422" s="38">
        <f t="shared" si="79"/>
        <v>-25056.833443656549</v>
      </c>
      <c r="O422" s="38">
        <f t="shared" si="79"/>
        <v>26586.319819867975</v>
      </c>
      <c r="P422" s="38">
        <f t="shared" si="79"/>
        <v>199900.82650032284</v>
      </c>
      <c r="Q422" s="38">
        <f t="shared" si="79"/>
        <v>0</v>
      </c>
    </row>
  </sheetData>
  <mergeCells count="3">
    <mergeCell ref="B5:M5"/>
    <mergeCell ref="B6:M6"/>
    <mergeCell ref="B7:M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A2:T72"/>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ColWidth="9.140625" defaultRowHeight="12.75"/>
  <cols>
    <col min="1" max="1" width="4.7109375" style="5" customWidth="1"/>
    <col min="2" max="2" width="59.42578125" style="5" customWidth="1"/>
    <col min="3" max="3" width="4.7109375" style="5" customWidth="1"/>
    <col min="4"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2" width="15.5703125" style="5" bestFit="1" customWidth="1"/>
    <col min="13" max="13" width="12.28515625" style="5" bestFit="1" customWidth="1"/>
    <col min="14" max="15" width="14" style="5" bestFit="1" customWidth="1"/>
    <col min="16" max="16" width="12.28515625" style="5" bestFit="1" customWidth="1"/>
    <col min="17" max="17" width="14" style="5" bestFit="1" customWidth="1"/>
    <col min="18" max="18" width="12.28515625" style="5" bestFit="1" customWidth="1"/>
    <col min="19" max="33" width="13.7109375" style="5" customWidth="1"/>
    <col min="34" max="16384" width="9.140625" style="5"/>
  </cols>
  <sheetData>
    <row r="2" spans="2:19" s="20" customFormat="1" ht="18">
      <c r="B2" s="20" t="s">
        <v>92</v>
      </c>
    </row>
    <row r="4" spans="2:19">
      <c r="B4" s="27" t="s">
        <v>54</v>
      </c>
      <c r="C4" s="4"/>
      <c r="D4" s="4"/>
    </row>
    <row r="5" spans="2:19">
      <c r="B5" s="5" t="s">
        <v>183</v>
      </c>
      <c r="C5" s="6"/>
      <c r="D5" s="6"/>
      <c r="H5" s="21"/>
    </row>
    <row r="6" spans="2:19">
      <c r="B6" s="7" t="s">
        <v>269</v>
      </c>
      <c r="C6" s="6"/>
      <c r="D6" s="6"/>
    </row>
    <row r="7" spans="2:19">
      <c r="B7" s="7" t="s">
        <v>270</v>
      </c>
      <c r="C7" s="6"/>
      <c r="D7" s="6"/>
    </row>
    <row r="8" spans="2:19">
      <c r="B8" s="7" t="s">
        <v>184</v>
      </c>
    </row>
    <row r="10" spans="2:19" s="11" customFormat="1">
      <c r="B10" s="11" t="s">
        <v>43</v>
      </c>
      <c r="F10" s="11" t="s">
        <v>26</v>
      </c>
      <c r="H10" s="11" t="s">
        <v>27</v>
      </c>
      <c r="J10" s="11" t="s">
        <v>46</v>
      </c>
      <c r="L10" s="11" t="s">
        <v>93</v>
      </c>
      <c r="M10" s="11" t="s">
        <v>70</v>
      </c>
      <c r="N10" s="11" t="s">
        <v>71</v>
      </c>
      <c r="O10" s="11" t="s">
        <v>72</v>
      </c>
      <c r="P10" s="11" t="s">
        <v>73</v>
      </c>
      <c r="Q10" s="11" t="s">
        <v>74</v>
      </c>
      <c r="S10" s="11" t="s">
        <v>45</v>
      </c>
    </row>
    <row r="13" spans="2:19" s="90" customFormat="1">
      <c r="B13" s="90" t="s">
        <v>182</v>
      </c>
    </row>
    <row r="15" spans="2:19">
      <c r="B15" s="27" t="s">
        <v>96</v>
      </c>
    </row>
    <row r="16" spans="2:19">
      <c r="B16" s="101" t="s">
        <v>97</v>
      </c>
      <c r="F16" s="5" t="s">
        <v>164</v>
      </c>
      <c r="J16" s="91">
        <f t="shared" ref="J16:J21" si="0">SUM(L16:Q16)</f>
        <v>1.9843007246376811</v>
      </c>
      <c r="L16" s="37">
        <f>'Rekenvolumes TD'!L16</f>
        <v>0</v>
      </c>
      <c r="M16" s="37">
        <f>'Rekenvolumes TD'!M16</f>
        <v>0</v>
      </c>
      <c r="N16" s="37">
        <f>'Rekenvolumes TD'!N16</f>
        <v>1.9843007246376811</v>
      </c>
      <c r="O16" s="37">
        <f>'Rekenvolumes TD'!O16</f>
        <v>0</v>
      </c>
      <c r="P16" s="37">
        <f>'Rekenvolumes TD'!P16</f>
        <v>0</v>
      </c>
      <c r="Q16" s="37">
        <f>'Rekenvolumes TD'!Q16</f>
        <v>0</v>
      </c>
    </row>
    <row r="17" spans="2:18">
      <c r="B17" s="101" t="s">
        <v>101</v>
      </c>
      <c r="F17" s="5" t="s">
        <v>164</v>
      </c>
      <c r="J17" s="91">
        <f t="shared" si="0"/>
        <v>2.5153115942028985</v>
      </c>
      <c r="L17" s="37">
        <f>'Rekenvolumes TD'!L21</f>
        <v>0</v>
      </c>
      <c r="M17" s="37">
        <f>'Rekenvolumes TD'!M21</f>
        <v>0</v>
      </c>
      <c r="N17" s="37">
        <f>'Rekenvolumes TD'!N21</f>
        <v>2.5153115942028985</v>
      </c>
      <c r="O17" s="37">
        <f>'Rekenvolumes TD'!O21</f>
        <v>0</v>
      </c>
      <c r="P17" s="37">
        <f>'Rekenvolumes TD'!P21</f>
        <v>0</v>
      </c>
      <c r="Q17" s="37">
        <f>'Rekenvolumes TD'!Q21</f>
        <v>0</v>
      </c>
    </row>
    <row r="18" spans="2:18">
      <c r="B18" s="101" t="s">
        <v>103</v>
      </c>
      <c r="F18" s="5" t="s">
        <v>164</v>
      </c>
      <c r="J18" s="91">
        <f t="shared" si="0"/>
        <v>91.717742753623199</v>
      </c>
      <c r="L18" s="37">
        <f>'Rekenvolumes TD'!L26</f>
        <v>0</v>
      </c>
      <c r="M18" s="37">
        <f>'Rekenvolumes TD'!M26</f>
        <v>4</v>
      </c>
      <c r="N18" s="37">
        <f>'Rekenvolumes TD'!N26</f>
        <v>7</v>
      </c>
      <c r="O18" s="37">
        <f>'Rekenvolumes TD'!O26</f>
        <v>0</v>
      </c>
      <c r="P18" s="37">
        <f>'Rekenvolumes TD'!P26</f>
        <v>80.717742753623199</v>
      </c>
      <c r="Q18" s="37">
        <f>'Rekenvolumes TD'!Q26</f>
        <v>0</v>
      </c>
    </row>
    <row r="19" spans="2:18">
      <c r="B19" s="101" t="s">
        <v>104</v>
      </c>
      <c r="F19" s="5" t="s">
        <v>164</v>
      </c>
      <c r="J19" s="91">
        <f t="shared" si="0"/>
        <v>16.666666666666664</v>
      </c>
      <c r="L19" s="37">
        <f>'Rekenvolumes TD'!L31</f>
        <v>0</v>
      </c>
      <c r="M19" s="37">
        <f>'Rekenvolumes TD'!M31</f>
        <v>2</v>
      </c>
      <c r="N19" s="37">
        <f>'Rekenvolumes TD'!N31</f>
        <v>8</v>
      </c>
      <c r="O19" s="37">
        <f>'Rekenvolumes TD'!O31</f>
        <v>0</v>
      </c>
      <c r="P19" s="37">
        <f>'Rekenvolumes TD'!P31</f>
        <v>6.6666666666666661</v>
      </c>
      <c r="Q19" s="37">
        <f>'Rekenvolumes TD'!Q31</f>
        <v>0</v>
      </c>
    </row>
    <row r="20" spans="2:18">
      <c r="B20" s="101" t="s">
        <v>167</v>
      </c>
      <c r="F20" s="5" t="s">
        <v>164</v>
      </c>
      <c r="J20" s="91">
        <f t="shared" si="0"/>
        <v>782.27292753623192</v>
      </c>
      <c r="L20" s="37">
        <f>'Rekenvolumes TD'!L36</f>
        <v>0</v>
      </c>
      <c r="M20" s="37">
        <f>'Rekenvolumes TD'!M36</f>
        <v>200.81021376811591</v>
      </c>
      <c r="N20" s="37">
        <f>'Rekenvolumes TD'!N36</f>
        <v>341.85083333333336</v>
      </c>
      <c r="O20" s="37">
        <f>'Rekenvolumes TD'!O36</f>
        <v>0</v>
      </c>
      <c r="P20" s="37">
        <f>'Rekenvolumes TD'!P36</f>
        <v>224.09856521739127</v>
      </c>
      <c r="Q20" s="37">
        <f>'Rekenvolumes TD'!Q36</f>
        <v>15.513315217391304</v>
      </c>
    </row>
    <row r="21" spans="2:18">
      <c r="B21" s="101" t="s">
        <v>168</v>
      </c>
      <c r="F21" s="5" t="s">
        <v>164</v>
      </c>
      <c r="J21" s="91">
        <f t="shared" si="0"/>
        <v>14.083333333333332</v>
      </c>
      <c r="L21" s="37">
        <f>'Rekenvolumes TD'!L41</f>
        <v>0</v>
      </c>
      <c r="M21" s="37">
        <f>'Rekenvolumes TD'!M41</f>
        <v>6</v>
      </c>
      <c r="N21" s="37">
        <f>'Rekenvolumes TD'!N41</f>
        <v>5</v>
      </c>
      <c r="O21" s="37">
        <f>'Rekenvolumes TD'!O41</f>
        <v>0</v>
      </c>
      <c r="P21" s="37">
        <f>'Rekenvolumes TD'!P41</f>
        <v>3.083333333333333</v>
      </c>
      <c r="Q21" s="37">
        <f>'Rekenvolumes TD'!Q41</f>
        <v>0</v>
      </c>
    </row>
    <row r="23" spans="2:18">
      <c r="B23" s="27" t="s">
        <v>107</v>
      </c>
    </row>
    <row r="24" spans="2:18">
      <c r="B24" s="101" t="s">
        <v>108</v>
      </c>
      <c r="F24" s="5" t="s">
        <v>164</v>
      </c>
      <c r="J24" s="91">
        <f>SUM(L24:Q24)</f>
        <v>333.44387755102025</v>
      </c>
      <c r="L24" s="85"/>
      <c r="M24" s="37">
        <f>'Rekenvolumes TD'!M49</f>
        <v>328.44387755102025</v>
      </c>
      <c r="N24" s="85"/>
      <c r="O24" s="37">
        <f>'Rekenvolumes TD'!O49</f>
        <v>5</v>
      </c>
      <c r="P24" s="85"/>
      <c r="Q24" s="85"/>
      <c r="R24" s="78"/>
    </row>
    <row r="25" spans="2:18">
      <c r="B25" s="101" t="s">
        <v>144</v>
      </c>
      <c r="F25" s="5" t="s">
        <v>164</v>
      </c>
      <c r="J25" s="91">
        <f>SUM(L25:Q25)</f>
        <v>13339.158299319726</v>
      </c>
      <c r="L25" s="85"/>
      <c r="M25" s="37">
        <f>'Rekenvolumes TD'!M55</f>
        <v>13323.408299319726</v>
      </c>
      <c r="N25" s="85"/>
      <c r="O25" s="37">
        <f>'Rekenvolumes TD'!O55</f>
        <v>15.75</v>
      </c>
      <c r="P25" s="85"/>
      <c r="Q25" s="85"/>
    </row>
    <row r="26" spans="2:18">
      <c r="B26" s="5" t="s">
        <v>163</v>
      </c>
      <c r="F26" s="5" t="s">
        <v>164</v>
      </c>
      <c r="J26" s="91">
        <f>SUM(L26:Q26)</f>
        <v>14123.652397959186</v>
      </c>
      <c r="L26" s="37">
        <f>'Rekenvolumes TD'!L61</f>
        <v>29</v>
      </c>
      <c r="M26" s="85"/>
      <c r="N26" s="37">
        <f>'Rekenvolumes TD'!N61</f>
        <v>9290.2931235827673</v>
      </c>
      <c r="O26" s="85"/>
      <c r="P26" s="37">
        <f>'Rekenvolumes TD'!P61</f>
        <v>4501.2856235827667</v>
      </c>
      <c r="Q26" s="37">
        <f>'Rekenvolumes TD'!Q61</f>
        <v>303.07365079365081</v>
      </c>
    </row>
    <row r="27" spans="2:18">
      <c r="B27" s="101" t="s">
        <v>111</v>
      </c>
      <c r="F27" s="5" t="s">
        <v>164</v>
      </c>
      <c r="J27" s="91">
        <f>SUM(L27:Q27)</f>
        <v>43850.930374149662</v>
      </c>
      <c r="L27" s="37">
        <f>'Rekenvolumes TD'!L67</f>
        <v>250</v>
      </c>
      <c r="M27" s="37">
        <f>'Rekenvolumes TD'!M67</f>
        <v>13491.779365079363</v>
      </c>
      <c r="N27" s="37">
        <f>'Rekenvolumes TD'!N67</f>
        <v>16182.951666666668</v>
      </c>
      <c r="O27" s="37">
        <f>'Rekenvolumes TD'!O67</f>
        <v>138.13</v>
      </c>
      <c r="P27" s="37">
        <f>'Rekenvolumes TD'!P67</f>
        <v>12979.238412698414</v>
      </c>
      <c r="Q27" s="37">
        <f>'Rekenvolumes TD'!Q67</f>
        <v>808.83092970521534</v>
      </c>
    </row>
    <row r="29" spans="2:18">
      <c r="B29" s="27" t="s">
        <v>112</v>
      </c>
    </row>
    <row r="30" spans="2:18">
      <c r="B30" s="101" t="s">
        <v>165</v>
      </c>
      <c r="F30" s="5" t="s">
        <v>164</v>
      </c>
      <c r="J30" s="91">
        <f>SUM(L30:Q30)</f>
        <v>23097.513333333332</v>
      </c>
      <c r="L30" s="37">
        <f>'Rekenvolumes TD'!L76</f>
        <v>362</v>
      </c>
      <c r="M30" s="37">
        <f>'Rekenvolumes TD'!M76</f>
        <v>6918.3411111111109</v>
      </c>
      <c r="N30" s="37">
        <f>'Rekenvolumes TD'!N76</f>
        <v>8280.8150000000005</v>
      </c>
      <c r="O30" s="37">
        <f>'Rekenvolumes TD'!O76</f>
        <v>162.54</v>
      </c>
      <c r="P30" s="37">
        <f>'Rekenvolumes TD'!P76</f>
        <v>7160.5027777777777</v>
      </c>
      <c r="Q30" s="37">
        <f>'Rekenvolumes TD'!Q76</f>
        <v>213.31444444444443</v>
      </c>
    </row>
    <row r="31" spans="2:18">
      <c r="B31" s="5" t="s">
        <v>116</v>
      </c>
      <c r="F31" s="5" t="s">
        <v>164</v>
      </c>
      <c r="J31" s="91">
        <f>SUM(L31:Q31)</f>
        <v>2769505.2433403186</v>
      </c>
      <c r="L31" s="37">
        <f>'Rekenvolumes TD'!L82</f>
        <v>25871</v>
      </c>
      <c r="M31" s="37">
        <f>'Rekenvolumes TD'!M82</f>
        <v>1235073.1814248627</v>
      </c>
      <c r="N31" s="37">
        <f>'Rekenvolumes TD'!N82</f>
        <v>786448.166803653</v>
      </c>
      <c r="O31" s="37">
        <f>'Rekenvolumes TD'!O82</f>
        <v>18957</v>
      </c>
      <c r="P31" s="37">
        <f>'Rekenvolumes TD'!P82</f>
        <v>675019.2535122222</v>
      </c>
      <c r="Q31" s="37">
        <f>'Rekenvolumes TD'!Q82</f>
        <v>28136.641599580427</v>
      </c>
    </row>
    <row r="32" spans="2:18">
      <c r="B32" s="5" t="s">
        <v>166</v>
      </c>
      <c r="F32" s="5" t="s">
        <v>164</v>
      </c>
      <c r="J32" s="91">
        <f t="shared" ref="J32" si="1">SUM(L32:Q32)</f>
        <v>8485560.34590091</v>
      </c>
      <c r="L32" s="37">
        <f>'Rekenvolumes TD'!L83</f>
        <v>54056.52602739726</v>
      </c>
      <c r="M32" s="37">
        <f>'Rekenvolumes TD'!M83</f>
        <v>2790858.8458728255</v>
      </c>
      <c r="N32" s="37">
        <f>'Rekenvolumes TD'!N83</f>
        <v>3230617.4382335572</v>
      </c>
      <c r="O32" s="37">
        <f>'Rekenvolumes TD'!O83</f>
        <v>33007.97</v>
      </c>
      <c r="P32" s="37">
        <f>'Rekenvolumes TD'!P83</f>
        <v>2315466.0113560166</v>
      </c>
      <c r="Q32" s="37">
        <f>'Rekenvolumes TD'!Q83</f>
        <v>61553.554411115023</v>
      </c>
    </row>
    <row r="34" spans="2:20">
      <c r="B34" s="4" t="s">
        <v>177</v>
      </c>
    </row>
    <row r="35" spans="2:20">
      <c r="B35" s="42" t="s">
        <v>84</v>
      </c>
      <c r="F35" s="5" t="s">
        <v>164</v>
      </c>
      <c r="H35" s="37">
        <f>'SO REG2022'!H23</f>
        <v>2760</v>
      </c>
    </row>
    <row r="36" spans="2:20">
      <c r="B36" s="42" t="s">
        <v>85</v>
      </c>
      <c r="F36" s="5" t="s">
        <v>164</v>
      </c>
      <c r="H36" s="37">
        <f>'SO REG2022'!H24</f>
        <v>441</v>
      </c>
    </row>
    <row r="37" spans="2:20">
      <c r="B37" s="42" t="s">
        <v>257</v>
      </c>
      <c r="F37" s="5" t="s">
        <v>164</v>
      </c>
      <c r="H37" s="37">
        <f>'SO REG2022'!H25</f>
        <v>17.999999999999996</v>
      </c>
    </row>
    <row r="38" spans="2:20">
      <c r="B38" s="45" t="s">
        <v>256</v>
      </c>
      <c r="H38" s="37">
        <f>'SO REG2022'!H26</f>
        <v>0.53176495625269216</v>
      </c>
    </row>
    <row r="39" spans="2:20">
      <c r="B39" s="45" t="s">
        <v>255</v>
      </c>
      <c r="H39" s="37">
        <f>'SO REG2022'!H27</f>
        <v>17.99791393999709</v>
      </c>
    </row>
    <row r="40" spans="2:20">
      <c r="B40" s="45"/>
      <c r="H40" s="40"/>
    </row>
    <row r="41" spans="2:20" s="11" customFormat="1">
      <c r="B41" s="11" t="s">
        <v>191</v>
      </c>
    </row>
    <row r="43" spans="2:20" s="42" customFormat="1">
      <c r="B43" s="43" t="s">
        <v>88</v>
      </c>
    </row>
    <row r="44" spans="2:20" s="42" customFormat="1">
      <c r="B44" s="42" t="s">
        <v>84</v>
      </c>
      <c r="F44" s="5" t="s">
        <v>164</v>
      </c>
      <c r="J44" s="44"/>
      <c r="K44" s="44"/>
      <c r="L44" s="37">
        <f>'SO REG2022'!J14</f>
        <v>0</v>
      </c>
      <c r="M44" s="37">
        <f>'SO REG2022'!K14</f>
        <v>57416603.515116461</v>
      </c>
      <c r="N44" s="37">
        <f>'SO REG2022'!L14</f>
        <v>94915521.304004267</v>
      </c>
      <c r="O44" s="37">
        <f>'SO REG2022'!M14</f>
        <v>0</v>
      </c>
      <c r="P44" s="37">
        <f>'SO REG2022'!N14</f>
        <v>69020912.622160107</v>
      </c>
      <c r="Q44" s="37">
        <f>'SO REG2022'!O14</f>
        <v>4191684.675233542</v>
      </c>
      <c r="R44" s="40"/>
      <c r="T44" s="45"/>
    </row>
    <row r="45" spans="2:20" s="42" customFormat="1">
      <c r="B45" s="42" t="s">
        <v>85</v>
      </c>
      <c r="F45" s="5" t="s">
        <v>164</v>
      </c>
      <c r="J45" s="44"/>
      <c r="K45" s="44"/>
      <c r="L45" s="37">
        <f>'SO REG2022'!J15</f>
        <v>5445147.5509059774</v>
      </c>
      <c r="M45" s="37">
        <f>'SO REG2022'!K15</f>
        <v>272652532.74936777</v>
      </c>
      <c r="N45" s="37">
        <f>'SO REG2022'!L15</f>
        <v>248535475.19544894</v>
      </c>
      <c r="O45" s="37">
        <f>'SO REG2022'!M15</f>
        <v>3255472.871173434</v>
      </c>
      <c r="P45" s="37">
        <f>'SO REG2022'!N15</f>
        <v>161553201.86528635</v>
      </c>
      <c r="Q45" s="37">
        <f>'SO REG2022'!O15</f>
        <v>23575537.218705785</v>
      </c>
      <c r="R45" s="40"/>
      <c r="T45" s="45"/>
    </row>
    <row r="46" spans="2:20" s="42" customFormat="1">
      <c r="B46" s="42" t="s">
        <v>86</v>
      </c>
      <c r="F46" s="5" t="s">
        <v>164</v>
      </c>
      <c r="J46" s="44"/>
      <c r="K46" s="44"/>
      <c r="L46" s="37">
        <f>'SO REG2022'!J16</f>
        <v>11753821.142769737</v>
      </c>
      <c r="M46" s="37">
        <f>'SO REG2022'!K16</f>
        <v>583925792.19280994</v>
      </c>
      <c r="N46" s="37">
        <f>'SO REG2022'!L16</f>
        <v>657845931.15053296</v>
      </c>
      <c r="O46" s="37">
        <f>'SO REG2022'!M16</f>
        <v>7105092.5580625758</v>
      </c>
      <c r="P46" s="37">
        <f>'SO REG2022'!N16</f>
        <v>472432219.88524222</v>
      </c>
      <c r="Q46" s="37">
        <f>'SO REG2022'!O16</f>
        <v>13503648.327437881</v>
      </c>
      <c r="R46" s="40"/>
      <c r="T46" s="45"/>
    </row>
    <row r="47" spans="2:20" s="42" customFormat="1">
      <c r="B47" s="42" t="s">
        <v>87</v>
      </c>
      <c r="F47" s="5" t="s">
        <v>164</v>
      </c>
      <c r="J47" s="44"/>
      <c r="K47" s="44"/>
      <c r="L47" s="37">
        <f>'SO REG2022'!J17</f>
        <v>12447.996642750428</v>
      </c>
      <c r="M47" s="37">
        <f>'SO REG2022'!K17</f>
        <v>1288966.3258320219</v>
      </c>
      <c r="N47" s="37">
        <f>'SO REG2022'!L17</f>
        <v>1742357.5370440413</v>
      </c>
      <c r="O47" s="37">
        <f>'SO REG2022'!M17</f>
        <v>21536.862756854152</v>
      </c>
      <c r="P47" s="37">
        <f>'SO REG2022'!N17</f>
        <v>1044166.3736654604</v>
      </c>
      <c r="Q47" s="37">
        <f>'SO REG2022'!O17</f>
        <v>0</v>
      </c>
      <c r="R47" s="40"/>
      <c r="T47" s="45"/>
    </row>
    <row r="48" spans="2:20" s="42" customFormat="1">
      <c r="J48" s="44"/>
      <c r="K48" s="44"/>
      <c r="L48" s="40"/>
      <c r="M48" s="40"/>
      <c r="N48" s="40"/>
      <c r="O48" s="40"/>
      <c r="P48" s="40"/>
      <c r="Q48" s="40"/>
      <c r="R48" s="40"/>
      <c r="T48" s="45"/>
    </row>
    <row r="49" spans="1:20" s="42" customFormat="1">
      <c r="B49" s="45" t="s">
        <v>179</v>
      </c>
      <c r="F49" s="5" t="s">
        <v>164</v>
      </c>
      <c r="J49" s="44"/>
      <c r="K49" s="44"/>
      <c r="L49" s="38">
        <f>$H$35*SUM(L16:L21)+$H$36*SUM(L24:L27)+$H$37*L30+$H$38*L31+$H$39*L32</f>
        <v>1116216.9945195222</v>
      </c>
      <c r="M49" s="38">
        <f t="shared" ref="M49:Q49" si="2">$H$35*SUM(M16:M21)+$H$36*SUM(M24:M27)+$H$37*M30+$H$38*M31+$H$39*M32</f>
        <v>63568633.802987985</v>
      </c>
      <c r="N49" s="38">
        <f t="shared" si="2"/>
        <v>70956463.053896785</v>
      </c>
      <c r="O49" s="38">
        <f t="shared" si="2"/>
        <v>677147.0716696881</v>
      </c>
      <c r="P49" s="38">
        <f t="shared" si="2"/>
        <v>50738512.74718757</v>
      </c>
      <c r="Q49" s="38">
        <f t="shared" si="2"/>
        <v>1659803.9849814749</v>
      </c>
      <c r="R49" s="40"/>
      <c r="T49" s="45"/>
    </row>
    <row r="50" spans="1:20">
      <c r="A50" s="42"/>
    </row>
    <row r="51" spans="1:20">
      <c r="A51" s="42"/>
      <c r="B51" s="4" t="s">
        <v>90</v>
      </c>
    </row>
    <row r="52" spans="1:20">
      <c r="B52" s="5" t="s">
        <v>89</v>
      </c>
      <c r="F52" s="5" t="s">
        <v>164</v>
      </c>
      <c r="L52" s="37">
        <f>'SO REG2022'!J20</f>
        <v>128432.46385201628</v>
      </c>
      <c r="M52" s="37">
        <f>'SO REG2022'!K20</f>
        <v>50228641.843107238</v>
      </c>
      <c r="N52" s="37">
        <f>'SO REG2022'!L20</f>
        <v>54103208.876988657</v>
      </c>
      <c r="O52" s="37">
        <f>'SO REG2022'!M20</f>
        <v>251222.66569830434</v>
      </c>
      <c r="P52" s="37">
        <f>'SO REG2022'!N20</f>
        <v>29239754.129577111</v>
      </c>
      <c r="Q52" s="37">
        <f>'SO REG2022'!O20</f>
        <v>5467022.2096555252</v>
      </c>
      <c r="R52" s="40"/>
    </row>
    <row r="54" spans="1:20" s="11" customFormat="1">
      <c r="B54" s="11" t="s">
        <v>171</v>
      </c>
    </row>
    <row r="56" spans="1:20" s="42" customFormat="1">
      <c r="B56" s="43" t="s">
        <v>171</v>
      </c>
    </row>
    <row r="57" spans="1:20" s="42" customFormat="1">
      <c r="B57" s="42" t="s">
        <v>84</v>
      </c>
      <c r="F57" s="5" t="s">
        <v>164</v>
      </c>
      <c r="J57" s="44"/>
      <c r="K57" s="44"/>
      <c r="L57" s="37">
        <f>'Ontwikkeling inkomsten TD'!L419</f>
        <v>0</v>
      </c>
      <c r="M57" s="37">
        <f>'Ontwikkeling inkomsten TD'!M419</f>
        <v>824892.47193479398</v>
      </c>
      <c r="N57" s="37">
        <f>'Ontwikkeling inkomsten TD'!N419</f>
        <v>7616482.4056766182</v>
      </c>
      <c r="O57" s="37">
        <f>'Ontwikkeling inkomsten TD'!O419</f>
        <v>0</v>
      </c>
      <c r="P57" s="37">
        <f>'Ontwikkeling inkomsten TD'!P419</f>
        <v>2464901.0642968901</v>
      </c>
      <c r="Q57" s="37">
        <f>'Ontwikkeling inkomsten TD'!Q419</f>
        <v>55786.068398621108</v>
      </c>
      <c r="R57" s="40"/>
      <c r="T57" s="45"/>
    </row>
    <row r="58" spans="1:20" s="42" customFormat="1">
      <c r="B58" s="42" t="s">
        <v>85</v>
      </c>
      <c r="F58" s="5" t="s">
        <v>164</v>
      </c>
      <c r="J58" s="44"/>
      <c r="K58" s="44"/>
      <c r="L58" s="37">
        <f>'Ontwikkeling inkomsten TD'!L420</f>
        <v>60759.208457059518</v>
      </c>
      <c r="M58" s="37">
        <f>'Ontwikkeling inkomsten TD'!M420</f>
        <v>6294951.0879723653</v>
      </c>
      <c r="N58" s="37">
        <f>'Ontwikkeling inkomsten TD'!N420</f>
        <v>3497670.1670806101</v>
      </c>
      <c r="O58" s="37">
        <f>'Ontwikkeling inkomsten TD'!O420</f>
        <v>23883.527770413697</v>
      </c>
      <c r="P58" s="37">
        <f>'Ontwikkeling inkomsten TD'!P420</f>
        <v>2021961.1301569722</v>
      </c>
      <c r="Q58" s="37">
        <f>'Ontwikkeling inkomsten TD'!Q420</f>
        <v>598537.64048856858</v>
      </c>
      <c r="R58" s="40"/>
      <c r="T58" s="45"/>
    </row>
    <row r="59" spans="1:20" s="42" customFormat="1">
      <c r="B59" s="42" t="s">
        <v>86</v>
      </c>
      <c r="F59" s="5" t="s">
        <v>164</v>
      </c>
      <c r="J59" s="44"/>
      <c r="K59" s="44"/>
      <c r="L59" s="37">
        <f>'Ontwikkeling inkomsten TD'!L421</f>
        <v>65246.898593606951</v>
      </c>
      <c r="M59" s="37">
        <f>'Ontwikkeling inkomsten TD'!M421</f>
        <v>6156080.8125987584</v>
      </c>
      <c r="N59" s="37">
        <f>'Ontwikkeling inkomsten TD'!N421</f>
        <v>7361785.2599296998</v>
      </c>
      <c r="O59" s="37">
        <f>'Ontwikkeling inkomsten TD'!O421</f>
        <v>82893.254576940977</v>
      </c>
      <c r="P59" s="37">
        <f>'Ontwikkeling inkomsten TD'!P421</f>
        <v>4182750.3118306287</v>
      </c>
      <c r="Q59" s="37">
        <f>'Ontwikkeling inkomsten TD'!Q421</f>
        <v>149755.95158195461</v>
      </c>
      <c r="R59" s="40"/>
      <c r="T59" s="45"/>
    </row>
    <row r="60" spans="1:20" s="42" customFormat="1">
      <c r="B60" s="42" t="s">
        <v>87</v>
      </c>
      <c r="F60" s="5" t="s">
        <v>164</v>
      </c>
      <c r="J60" s="44"/>
      <c r="K60" s="44"/>
      <c r="L60" s="37">
        <f>'Ontwikkeling inkomsten TD'!L422</f>
        <v>4613.4688721870079</v>
      </c>
      <c r="M60" s="37">
        <f>'Ontwikkeling inkomsten TD'!M422</f>
        <v>-259694.84699044755</v>
      </c>
      <c r="N60" s="37">
        <f>'Ontwikkeling inkomsten TD'!N422</f>
        <v>-25056.833443656549</v>
      </c>
      <c r="O60" s="37">
        <f>'Ontwikkeling inkomsten TD'!O422</f>
        <v>26586.319819867975</v>
      </c>
      <c r="P60" s="37">
        <f>'Ontwikkeling inkomsten TD'!P422</f>
        <v>199900.82650032284</v>
      </c>
      <c r="Q60" s="37">
        <f>'Ontwikkeling inkomsten TD'!Q422</f>
        <v>0</v>
      </c>
      <c r="R60" s="40"/>
      <c r="T60" s="45"/>
    </row>
    <row r="61" spans="1:20" s="42" customFormat="1">
      <c r="J61" s="44"/>
      <c r="K61" s="44"/>
      <c r="L61" s="44"/>
      <c r="M61" s="44"/>
      <c r="N61" s="44"/>
      <c r="O61" s="44"/>
      <c r="P61" s="44"/>
      <c r="Q61" s="44"/>
      <c r="R61" s="44"/>
    </row>
    <row r="62" spans="1:20" s="11" customFormat="1">
      <c r="B62" s="11" t="s">
        <v>91</v>
      </c>
    </row>
    <row r="64" spans="1:20">
      <c r="B64" s="5" t="s">
        <v>149</v>
      </c>
      <c r="F64" s="5" t="s">
        <v>83</v>
      </c>
      <c r="L64" s="46">
        <f>L52/(SUM(L44:L47)-L49)</f>
        <v>7.9795508151128333E-3</v>
      </c>
      <c r="M64" s="46">
        <f t="shared" ref="M64:Q64" si="3">M52/(SUM(M44:M47)-M49)</f>
        <v>5.8973513971447497E-2</v>
      </c>
      <c r="N64" s="46">
        <f t="shared" si="3"/>
        <v>5.8045495091487549E-2</v>
      </c>
      <c r="O64" s="46">
        <f t="shared" si="3"/>
        <v>2.5886020078919911E-2</v>
      </c>
      <c r="P64" s="46">
        <f t="shared" si="3"/>
        <v>4.4756187957191468E-2</v>
      </c>
      <c r="Q64" s="46">
        <f t="shared" si="3"/>
        <v>0.13801754734469318</v>
      </c>
      <c r="R64" s="51"/>
    </row>
    <row r="65" spans="2:19" s="118" customFormat="1">
      <c r="L65" s="51"/>
      <c r="M65" s="51"/>
      <c r="N65" s="51"/>
      <c r="O65" s="51"/>
      <c r="P65" s="51"/>
      <c r="Q65" s="51"/>
      <c r="R65" s="51"/>
    </row>
    <row r="66" spans="2:19">
      <c r="B66" s="119" t="s">
        <v>173</v>
      </c>
      <c r="F66" s="5" t="s">
        <v>176</v>
      </c>
      <c r="L66" s="29">
        <f>SUM(L57:L60)*L64</f>
        <v>1042.285543524898</v>
      </c>
      <c r="M66" s="29">
        <f t="shared" ref="M66:Q66" si="4">SUM(M57:M60)*M64</f>
        <v>767612.79377855407</v>
      </c>
      <c r="N66" s="29">
        <f t="shared" si="4"/>
        <v>1070990.5224751963</v>
      </c>
      <c r="O66" s="29">
        <f t="shared" si="4"/>
        <v>3452.2399404877729</v>
      </c>
      <c r="P66" s="29">
        <f t="shared" si="4"/>
        <v>396965.60581093282</v>
      </c>
      <c r="Q66" s="29">
        <f t="shared" si="4"/>
        <v>110977.10260770493</v>
      </c>
      <c r="R66" s="35"/>
      <c r="S66" s="115"/>
    </row>
    <row r="67" spans="2:19">
      <c r="L67" s="35"/>
    </row>
    <row r="68" spans="2:19">
      <c r="L68" s="2"/>
      <c r="M68" s="2"/>
      <c r="N68" s="2"/>
      <c r="O68" s="2"/>
      <c r="P68" s="2"/>
      <c r="Q68" s="2"/>
      <c r="R68" s="2"/>
    </row>
    <row r="69" spans="2:19">
      <c r="L69" s="35"/>
      <c r="M69" s="35"/>
      <c r="N69" s="35"/>
      <c r="O69" s="35"/>
      <c r="P69" s="35"/>
      <c r="Q69" s="35"/>
      <c r="R69" s="35"/>
    </row>
    <row r="72" spans="2:19">
      <c r="L72"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G38"/>
  <sheetViews>
    <sheetView showGridLines="0" zoomScale="85" zoomScaleNormal="85" workbookViewId="0">
      <pane ySplit="3" topLeftCell="A4" activePane="bottomLeft" state="frozen"/>
      <selection activeCell="W47" sqref="W47"/>
      <selection pane="bottomLeft" activeCell="A4" sqref="A4"/>
    </sheetView>
  </sheetViews>
  <sheetFormatPr defaultColWidth="9.140625" defaultRowHeight="12.75"/>
  <cols>
    <col min="1" max="1" width="4.7109375" style="5" customWidth="1"/>
    <col min="2" max="2" width="19.140625" style="5" customWidth="1"/>
    <col min="3" max="3" width="20.7109375" style="5" customWidth="1"/>
    <col min="4" max="4" width="56.85546875" style="5" customWidth="1"/>
    <col min="5" max="5" width="29.85546875" style="5" customWidth="1"/>
    <col min="6" max="6" width="24.7109375" style="5" customWidth="1"/>
    <col min="7" max="7" width="37.28515625" style="5" customWidth="1"/>
    <col min="8" max="16384" width="9.140625" style="5"/>
  </cols>
  <sheetData>
    <row r="2" spans="2:6" s="10" customFormat="1" ht="18">
      <c r="B2" s="10" t="s">
        <v>50</v>
      </c>
    </row>
    <row r="4" spans="2:6" s="11" customFormat="1">
      <c r="B4" s="11" t="s">
        <v>14</v>
      </c>
    </row>
    <row r="6" spans="2:6">
      <c r="B6" s="5" t="s">
        <v>264</v>
      </c>
    </row>
    <row r="8" spans="2:6" s="11" customFormat="1">
      <c r="B8" s="11" t="s">
        <v>15</v>
      </c>
    </row>
    <row r="10" spans="2:6">
      <c r="B10" s="27" t="s">
        <v>37</v>
      </c>
      <c r="D10" s="27" t="s">
        <v>16</v>
      </c>
      <c r="F10" s="8"/>
    </row>
    <row r="12" spans="2:6">
      <c r="B12" s="32">
        <v>123</v>
      </c>
      <c r="D12" s="5" t="s">
        <v>63</v>
      </c>
    </row>
    <row r="13" spans="2:6">
      <c r="B13" s="37">
        <f>B12</f>
        <v>123</v>
      </c>
      <c r="D13" s="5" t="s">
        <v>17</v>
      </c>
    </row>
    <row r="14" spans="2:6">
      <c r="B14" s="38">
        <f>B13+B12</f>
        <v>246</v>
      </c>
      <c r="D14" s="5" t="s">
        <v>18</v>
      </c>
    </row>
    <row r="15" spans="2:6">
      <c r="B15" s="29">
        <f>B13+B14</f>
        <v>369</v>
      </c>
      <c r="D15" s="5" t="s">
        <v>64</v>
      </c>
      <c r="E15" s="8"/>
      <c r="F15" s="8"/>
    </row>
    <row r="16" spans="2:6">
      <c r="B16" s="14"/>
      <c r="D16" s="5" t="s">
        <v>19</v>
      </c>
      <c r="E16" s="8"/>
    </row>
    <row r="18" spans="2:7">
      <c r="B18" s="28" t="s">
        <v>20</v>
      </c>
    </row>
    <row r="19" spans="2:7">
      <c r="B19" s="31">
        <f>B15+16</f>
        <v>385</v>
      </c>
      <c r="D19" s="5" t="s">
        <v>65</v>
      </c>
    </row>
    <row r="20" spans="2:7">
      <c r="B20" s="105">
        <f>B13*PI()</f>
        <v>386.41589639154455</v>
      </c>
      <c r="C20" s="16"/>
      <c r="D20" s="5" t="s">
        <v>21</v>
      </c>
    </row>
    <row r="21" spans="2:7">
      <c r="B21" s="16"/>
      <c r="C21" s="16"/>
    </row>
    <row r="22" spans="2:7">
      <c r="B22" s="28" t="s">
        <v>22</v>
      </c>
      <c r="C22" s="17"/>
    </row>
    <row r="23" spans="2:7">
      <c r="B23" s="36">
        <v>123</v>
      </c>
      <c r="C23" s="17"/>
      <c r="D23" s="5" t="s">
        <v>66</v>
      </c>
      <c r="G23" s="8"/>
    </row>
    <row r="24" spans="2:7">
      <c r="B24" s="33">
        <v>124</v>
      </c>
      <c r="C24" s="17"/>
      <c r="D24" s="5" t="s">
        <v>68</v>
      </c>
    </row>
    <row r="25" spans="2:7">
      <c r="B25" s="34">
        <f>B23-B24</f>
        <v>-1</v>
      </c>
      <c r="C25" s="18"/>
      <c r="D25" s="5" t="s">
        <v>55</v>
      </c>
    </row>
    <row r="28" spans="2:7">
      <c r="B28" s="27" t="s">
        <v>32</v>
      </c>
    </row>
    <row r="29" spans="2:7">
      <c r="B29" s="4"/>
    </row>
    <row r="30" spans="2:7">
      <c r="B30" s="28" t="s">
        <v>38</v>
      </c>
    </row>
    <row r="31" spans="2:7">
      <c r="B31" s="22" t="s">
        <v>31</v>
      </c>
      <c r="D31" s="6" t="s">
        <v>41</v>
      </c>
    </row>
    <row r="32" spans="2:7">
      <c r="B32" s="32" t="s">
        <v>29</v>
      </c>
      <c r="D32" s="6" t="s">
        <v>33</v>
      </c>
    </row>
    <row r="33" spans="2:4">
      <c r="B33" s="30" t="s">
        <v>30</v>
      </c>
      <c r="D33" s="6" t="s">
        <v>34</v>
      </c>
    </row>
    <row r="34" spans="2:4">
      <c r="B34" s="15" t="s">
        <v>30</v>
      </c>
      <c r="D34" s="6" t="s">
        <v>36</v>
      </c>
    </row>
    <row r="35" spans="2:4">
      <c r="D35" s="6"/>
    </row>
    <row r="36" spans="2:4">
      <c r="B36" s="28" t="s">
        <v>40</v>
      </c>
      <c r="D36" s="6"/>
    </row>
    <row r="37" spans="2:4">
      <c r="B37" s="23" t="s">
        <v>35</v>
      </c>
      <c r="D37" s="6" t="s">
        <v>42</v>
      </c>
    </row>
    <row r="38" spans="2:4">
      <c r="B38" s="24" t="s">
        <v>39</v>
      </c>
      <c r="D38" s="5" t="s">
        <v>67</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20"/>
  <sheetViews>
    <sheetView showGridLines="0" zoomScale="85" zoomScaleNormal="85" workbookViewId="0">
      <pane ySplit="3" topLeftCell="A4" activePane="bottomLeft" state="frozen"/>
      <selection activeCell="W47" sqref="W47"/>
      <selection pane="bottomLeft" activeCell="A4" sqref="A4"/>
    </sheetView>
  </sheetViews>
  <sheetFormatPr defaultColWidth="9.140625" defaultRowHeight="12.75"/>
  <cols>
    <col min="1" max="1" width="4.7109375" style="5" customWidth="1"/>
    <col min="2" max="2" width="7.5703125" style="5" customWidth="1"/>
    <col min="3" max="3" width="38.7109375" style="5" bestFit="1" customWidth="1"/>
    <col min="4" max="4" width="51.28515625" style="5" bestFit="1" customWidth="1"/>
    <col min="5" max="5" width="86.5703125" style="5" bestFit="1" customWidth="1"/>
    <col min="6" max="6" width="4.5703125" style="5" customWidth="1"/>
    <col min="7" max="7" width="43.42578125" style="5" customWidth="1"/>
    <col min="8" max="8" width="28.7109375" style="5" customWidth="1"/>
    <col min="9" max="9" width="18.42578125" style="5" customWidth="1"/>
    <col min="10" max="11" width="58.42578125" style="5" customWidth="1"/>
    <col min="12" max="16384" width="9.140625" style="5"/>
  </cols>
  <sheetData>
    <row r="2" spans="2:5" s="10" customFormat="1" ht="18">
      <c r="B2" s="10" t="s">
        <v>23</v>
      </c>
    </row>
    <row r="4" spans="2:5" s="11" customFormat="1">
      <c r="B4" s="11" t="s">
        <v>24</v>
      </c>
    </row>
    <row r="6" spans="2:5">
      <c r="B6" s="28" t="s">
        <v>59</v>
      </c>
    </row>
    <row r="7" spans="2:5">
      <c r="B7" s="28" t="s">
        <v>60</v>
      </c>
    </row>
    <row r="9" spans="2:5">
      <c r="B9" s="48" t="s">
        <v>51</v>
      </c>
      <c r="C9" s="48" t="s">
        <v>52</v>
      </c>
      <c r="D9" s="48" t="s">
        <v>53</v>
      </c>
      <c r="E9" s="48" t="s">
        <v>56</v>
      </c>
    </row>
    <row r="10" spans="2:5">
      <c r="B10" s="19"/>
      <c r="C10" s="25" t="s">
        <v>58</v>
      </c>
      <c r="D10" s="25" t="s">
        <v>25</v>
      </c>
      <c r="E10" s="25" t="s">
        <v>57</v>
      </c>
    </row>
    <row r="11" spans="2:5">
      <c r="B11" s="9">
        <v>1</v>
      </c>
      <c r="C11" s="9" t="s">
        <v>260</v>
      </c>
      <c r="D11" s="9" t="s">
        <v>260</v>
      </c>
      <c r="E11" s="9"/>
    </row>
    <row r="12" spans="2:5">
      <c r="B12" s="9">
        <v>2</v>
      </c>
      <c r="C12" s="9" t="s">
        <v>261</v>
      </c>
      <c r="D12" s="47"/>
      <c r="E12" s="9" t="s">
        <v>336</v>
      </c>
    </row>
    <row r="13" spans="2:5" ht="12.75" customHeight="1">
      <c r="B13" s="9">
        <v>3</v>
      </c>
      <c r="C13" s="9" t="s">
        <v>262</v>
      </c>
      <c r="D13" s="9" t="s">
        <v>262</v>
      </c>
      <c r="E13" s="49" t="s">
        <v>263</v>
      </c>
    </row>
    <row r="14" spans="2:5" ht="12.75" customHeight="1">
      <c r="B14" s="9">
        <v>4</v>
      </c>
      <c r="C14" s="9" t="s">
        <v>337</v>
      </c>
      <c r="D14" s="9" t="s">
        <v>337</v>
      </c>
      <c r="E14" s="49" t="s">
        <v>338</v>
      </c>
    </row>
    <row r="17" spans="2:2" s="11" customFormat="1">
      <c r="B17" s="11" t="s">
        <v>49</v>
      </c>
    </row>
    <row r="19" spans="2:2">
      <c r="B19" s="28" t="s">
        <v>47</v>
      </c>
    </row>
    <row r="20" spans="2:2">
      <c r="B20" s="28" t="s">
        <v>48</v>
      </c>
    </row>
  </sheetData>
  <hyperlinks>
    <hyperlink ref="E12" r:id="rId1" display="https://www.acm.nl/nl/zoeken-publicaties?text=tarievenbesluit+elektriciteit+2022&amp;combined_date%5Bradiobuttons%5D=custom&amp;combined_date%5Bmin%5D=2021-11-29&amp;combined_date%5Bmax%5D=2021-12-01&amp;combined_keyword=6244&amp;sort_by=search_api_relevance" xr:uid="{707EB65B-2829-4642-9A7A-E60E8075BAB2}"/>
    <hyperlink ref="E13" r:id="rId2" xr:uid="{91036806-8579-4B41-93E9-A6457523C99E}"/>
    <hyperlink ref="E14" r:id="rId3" xr:uid="{8DF825A1-37BF-43AB-8D20-47D6D7723965}"/>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
  <sheetViews>
    <sheetView showGridLines="0" zoomScale="85" zoomScaleNormal="85" workbookViewId="0"/>
  </sheetViews>
  <sheetFormatPr defaultColWidth="9.140625" defaultRowHeight="12.75"/>
  <cols>
    <col min="1" max="16384" width="9.140625" style="23"/>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1FFE1"/>
  </sheetPr>
  <dimension ref="B2:U253"/>
  <sheetViews>
    <sheetView showGridLines="0" zoomScale="85" zoomScaleNormal="85" workbookViewId="0">
      <pane xSplit="6" ySplit="8" topLeftCell="G9" activePane="bottomRight" state="frozen"/>
      <selection activeCell="W47" sqref="W47"/>
      <selection pane="topRight" activeCell="W47" sqref="W47"/>
      <selection pane="bottomLeft" activeCell="W47" sqref="W47"/>
      <selection pane="bottomRight" activeCell="G9" sqref="G9"/>
    </sheetView>
  </sheetViews>
  <sheetFormatPr defaultColWidth="9.140625" defaultRowHeight="12.75"/>
  <cols>
    <col min="1" max="1" width="4.7109375" style="5" customWidth="1"/>
    <col min="2" max="2" width="41.42578125" style="5" customWidth="1"/>
    <col min="3" max="3" width="4.7109375" style="5" customWidth="1"/>
    <col min="4" max="4" width="4.5703125" style="5" customWidth="1"/>
    <col min="5" max="5" width="6.140625" style="5" customWidth="1"/>
    <col min="6" max="6" width="13.7109375" style="5" customWidth="1"/>
    <col min="7" max="7" width="2.7109375" style="5" customWidth="1"/>
    <col min="8" max="8" width="13.7109375" style="5" customWidth="1"/>
    <col min="9" max="9" width="2.7109375" style="5" customWidth="1"/>
    <col min="10" max="10" width="16.5703125" style="5" bestFit="1" customWidth="1"/>
    <col min="11" max="11" width="2.7109375" style="5" customWidth="1"/>
    <col min="12" max="12" width="12.5703125" style="5" customWidth="1"/>
    <col min="13" max="17" width="14" style="5" bestFit="1" customWidth="1"/>
    <col min="18" max="18" width="4.42578125" style="5" customWidth="1"/>
    <col min="19" max="19" width="72" style="5" bestFit="1" customWidth="1"/>
    <col min="20" max="20" width="2.7109375" style="5" customWidth="1"/>
    <col min="21" max="21" width="13.7109375" style="5" customWidth="1"/>
    <col min="22" max="22" width="2.7109375" style="5" customWidth="1"/>
    <col min="23" max="37" width="13.7109375" style="5" customWidth="1"/>
    <col min="38" max="16384" width="9.140625" style="5"/>
  </cols>
  <sheetData>
    <row r="2" spans="2:21" s="95" customFormat="1" ht="18">
      <c r="B2" s="95" t="s">
        <v>265</v>
      </c>
    </row>
    <row r="4" spans="2:21">
      <c r="B4" s="27" t="s">
        <v>28</v>
      </c>
      <c r="C4" s="4"/>
      <c r="D4" s="4"/>
      <c r="L4"/>
    </row>
    <row r="5" spans="2:21">
      <c r="B5" s="5" t="s">
        <v>266</v>
      </c>
      <c r="H5" s="21"/>
    </row>
    <row r="7" spans="2:21" s="96" customFormat="1">
      <c r="F7" s="96" t="s">
        <v>26</v>
      </c>
      <c r="H7" s="96" t="s">
        <v>27</v>
      </c>
      <c r="J7" s="96" t="s">
        <v>46</v>
      </c>
      <c r="L7" s="96" t="s">
        <v>93</v>
      </c>
      <c r="M7" s="96" t="s">
        <v>70</v>
      </c>
      <c r="N7" s="96" t="s">
        <v>71</v>
      </c>
      <c r="O7" s="96" t="s">
        <v>72</v>
      </c>
      <c r="P7" s="96" t="s">
        <v>73</v>
      </c>
      <c r="Q7" s="96" t="s">
        <v>74</v>
      </c>
      <c r="S7" s="96" t="s">
        <v>44</v>
      </c>
      <c r="U7" s="96" t="s">
        <v>45</v>
      </c>
    </row>
    <row r="10" spans="2:21" s="97" customFormat="1">
      <c r="B10" s="97" t="s">
        <v>188</v>
      </c>
    </row>
    <row r="12" spans="2:21">
      <c r="B12" s="27" t="s">
        <v>96</v>
      </c>
    </row>
    <row r="14" spans="2:21">
      <c r="B14" s="27" t="s">
        <v>97</v>
      </c>
    </row>
    <row r="15" spans="2:21">
      <c r="B15" s="5" t="s">
        <v>98</v>
      </c>
      <c r="F15" s="5" t="s">
        <v>164</v>
      </c>
      <c r="J15" s="91">
        <f>SUM(L15:Q15)</f>
        <v>2.2705362318840581</v>
      </c>
      <c r="L15" s="85"/>
      <c r="M15" s="85"/>
      <c r="N15" s="32">
        <v>2.2705362318840581</v>
      </c>
      <c r="O15" s="85"/>
      <c r="P15" s="85"/>
      <c r="Q15" s="85"/>
      <c r="S15" s="5" t="s">
        <v>252</v>
      </c>
    </row>
    <row r="16" spans="2:21">
      <c r="B16" s="5" t="s">
        <v>99</v>
      </c>
      <c r="F16" s="5" t="s">
        <v>164</v>
      </c>
      <c r="J16" s="91">
        <f>SUM(L16:Q16)</f>
        <v>905575.77666666661</v>
      </c>
      <c r="L16" s="85"/>
      <c r="M16" s="85"/>
      <c r="N16" s="32">
        <v>905575.77666666661</v>
      </c>
      <c r="O16" s="85"/>
      <c r="P16" s="85"/>
      <c r="Q16" s="85"/>
      <c r="S16" s="5" t="s">
        <v>252</v>
      </c>
    </row>
    <row r="17" spans="2:19">
      <c r="B17" s="5" t="s">
        <v>100</v>
      </c>
      <c r="F17" s="5" t="s">
        <v>164</v>
      </c>
      <c r="J17" s="91">
        <f>SUM(L17:Q17)</f>
        <v>9352691.9032258056</v>
      </c>
      <c r="L17" s="85"/>
      <c r="M17" s="85"/>
      <c r="N17" s="32">
        <v>9352691.9032258056</v>
      </c>
      <c r="O17" s="85"/>
      <c r="P17" s="85"/>
      <c r="Q17" s="85"/>
      <c r="S17" s="5" t="s">
        <v>252</v>
      </c>
    </row>
    <row r="18" spans="2:19">
      <c r="N18" s="112"/>
      <c r="S18" s="7"/>
    </row>
    <row r="19" spans="2:19">
      <c r="B19" s="27" t="s">
        <v>101</v>
      </c>
      <c r="N19" s="112"/>
      <c r="S19" s="7"/>
    </row>
    <row r="20" spans="2:19">
      <c r="B20" s="5" t="s">
        <v>98</v>
      </c>
      <c r="F20" s="5" t="s">
        <v>164</v>
      </c>
      <c r="J20" s="91">
        <f>SUM(L20:Q20)</f>
        <v>2.3550724637681157</v>
      </c>
      <c r="L20" s="85"/>
      <c r="M20" s="85"/>
      <c r="N20" s="32">
        <v>2.3550724637681157</v>
      </c>
      <c r="O20" s="85"/>
      <c r="P20" s="85"/>
      <c r="Q20" s="85"/>
      <c r="S20" s="5" t="s">
        <v>252</v>
      </c>
    </row>
    <row r="21" spans="2:19">
      <c r="B21" s="5" t="s">
        <v>99</v>
      </c>
      <c r="F21" s="5" t="s">
        <v>164</v>
      </c>
      <c r="J21" s="91">
        <f t="shared" ref="J21:J22" si="0">SUM(L21:Q21)</f>
        <v>19029.335000000003</v>
      </c>
      <c r="L21" s="85"/>
      <c r="M21" s="85"/>
      <c r="N21" s="32">
        <v>19029.335000000003</v>
      </c>
      <c r="O21" s="85"/>
      <c r="P21" s="85"/>
      <c r="Q21" s="85"/>
      <c r="S21" s="5" t="s">
        <v>252</v>
      </c>
    </row>
    <row r="22" spans="2:19">
      <c r="B22" s="5" t="s">
        <v>102</v>
      </c>
      <c r="F22" s="5" t="s">
        <v>164</v>
      </c>
      <c r="J22" s="91">
        <f t="shared" si="0"/>
        <v>432434.67441860464</v>
      </c>
      <c r="L22" s="85"/>
      <c r="M22" s="85"/>
      <c r="N22" s="32">
        <v>432434.67441860464</v>
      </c>
      <c r="O22" s="85"/>
      <c r="P22" s="85"/>
      <c r="Q22" s="85"/>
      <c r="S22" s="5" t="s">
        <v>252</v>
      </c>
    </row>
    <row r="23" spans="2:19">
      <c r="N23" s="112"/>
      <c r="S23" s="7"/>
    </row>
    <row r="24" spans="2:19">
      <c r="B24" s="27" t="s">
        <v>103</v>
      </c>
      <c r="N24" s="112"/>
      <c r="S24" s="7"/>
    </row>
    <row r="25" spans="2:19">
      <c r="B25" s="5" t="s">
        <v>98</v>
      </c>
      <c r="F25" s="5" t="s">
        <v>164</v>
      </c>
      <c r="J25" s="91">
        <f>SUM(L25:Q25)</f>
        <v>93.545431159420289</v>
      </c>
      <c r="L25" s="85"/>
      <c r="M25" s="32">
        <v>5.4620978260869562</v>
      </c>
      <c r="N25" s="32">
        <v>7</v>
      </c>
      <c r="O25" s="85"/>
      <c r="P25" s="32">
        <v>81.083333333333329</v>
      </c>
      <c r="Q25" s="85"/>
      <c r="S25" s="5" t="s">
        <v>252</v>
      </c>
    </row>
    <row r="26" spans="2:19">
      <c r="B26" s="5" t="s">
        <v>99</v>
      </c>
      <c r="F26" s="5" t="s">
        <v>164</v>
      </c>
      <c r="J26" s="91">
        <f t="shared" ref="J26:J27" si="1">SUM(L26:Q26)</f>
        <v>1183072.911954165</v>
      </c>
      <c r="L26" s="85"/>
      <c r="M26" s="32">
        <v>130729.37976437979</v>
      </c>
      <c r="N26" s="32">
        <v>92938.998333333337</v>
      </c>
      <c r="O26" s="85"/>
      <c r="P26" s="32">
        <v>959404.53385645198</v>
      </c>
      <c r="Q26" s="85"/>
      <c r="S26" s="5" t="s">
        <v>252</v>
      </c>
    </row>
    <row r="27" spans="2:19">
      <c r="B27" s="5" t="s">
        <v>100</v>
      </c>
      <c r="F27" s="5" t="s">
        <v>164</v>
      </c>
      <c r="J27" s="91">
        <f t="shared" si="1"/>
        <v>9853937.1603643373</v>
      </c>
      <c r="L27" s="85"/>
      <c r="M27" s="32">
        <v>762272.90285714285</v>
      </c>
      <c r="N27" s="32">
        <v>831668.23178858496</v>
      </c>
      <c r="O27" s="85"/>
      <c r="P27" s="32">
        <v>8259996.0257186089</v>
      </c>
      <c r="Q27" s="85"/>
      <c r="S27" s="5" t="s">
        <v>252</v>
      </c>
    </row>
    <row r="28" spans="2:19">
      <c r="L28" s="78"/>
      <c r="M28" s="112"/>
      <c r="N28" s="112"/>
      <c r="O28" s="78"/>
      <c r="P28" s="112"/>
      <c r="Q28" s="78"/>
      <c r="S28" s="7"/>
    </row>
    <row r="29" spans="2:19">
      <c r="B29" s="27" t="s">
        <v>104</v>
      </c>
      <c r="M29" s="112"/>
      <c r="N29" s="112"/>
      <c r="P29" s="112"/>
      <c r="S29" s="7"/>
    </row>
    <row r="30" spans="2:19">
      <c r="B30" s="5" t="s">
        <v>98</v>
      </c>
      <c r="F30" s="5" t="s">
        <v>164</v>
      </c>
      <c r="J30" s="91">
        <f>SUM(L30:Q30)</f>
        <v>17</v>
      </c>
      <c r="L30" s="85"/>
      <c r="M30" s="32">
        <v>2</v>
      </c>
      <c r="N30" s="32">
        <v>8</v>
      </c>
      <c r="O30" s="85"/>
      <c r="P30" s="32">
        <v>7</v>
      </c>
      <c r="Q30" s="85"/>
      <c r="S30" s="5" t="s">
        <v>252</v>
      </c>
    </row>
    <row r="31" spans="2:19">
      <c r="B31" s="5" t="s">
        <v>99</v>
      </c>
      <c r="F31" s="5" t="s">
        <v>164</v>
      </c>
      <c r="J31" s="91">
        <f t="shared" ref="J31:J32" si="2">SUM(L31:Q31)</f>
        <v>155655.35957243358</v>
      </c>
      <c r="L31" s="85"/>
      <c r="M31" s="32">
        <v>26129.991689750696</v>
      </c>
      <c r="N31" s="32">
        <v>77127.674166666679</v>
      </c>
      <c r="O31" s="85"/>
      <c r="P31" s="32">
        <v>52397.69371601622</v>
      </c>
      <c r="Q31" s="85"/>
      <c r="S31" s="5" t="s">
        <v>252</v>
      </c>
    </row>
    <row r="32" spans="2:19">
      <c r="B32" s="5" t="s">
        <v>102</v>
      </c>
      <c r="F32" s="5" t="s">
        <v>164</v>
      </c>
      <c r="J32" s="91">
        <f t="shared" si="2"/>
        <v>1971473.3135719218</v>
      </c>
      <c r="L32" s="85"/>
      <c r="M32" s="32">
        <v>237274.57377049184</v>
      </c>
      <c r="N32" s="32">
        <v>1401050.7127035279</v>
      </c>
      <c r="O32" s="85"/>
      <c r="P32" s="32">
        <v>333148.02709790203</v>
      </c>
      <c r="Q32" s="85"/>
      <c r="S32" s="5" t="s">
        <v>252</v>
      </c>
    </row>
    <row r="33" spans="2:19">
      <c r="M33" s="112"/>
      <c r="N33" s="112"/>
      <c r="P33" s="112"/>
      <c r="S33" s="7"/>
    </row>
    <row r="34" spans="2:19">
      <c r="B34" s="27" t="s">
        <v>167</v>
      </c>
      <c r="M34" s="112"/>
      <c r="N34" s="112"/>
      <c r="P34" s="112"/>
      <c r="S34" s="7"/>
    </row>
    <row r="35" spans="2:19">
      <c r="B35" s="5" t="s">
        <v>98</v>
      </c>
      <c r="F35" s="5" t="s">
        <v>164</v>
      </c>
      <c r="J35" s="91">
        <f>SUM(L35:Q35)</f>
        <v>807.18114130434788</v>
      </c>
      <c r="L35" s="85"/>
      <c r="M35" s="32">
        <v>200.31437681159423</v>
      </c>
      <c r="N35" s="32">
        <v>364.37833333333327</v>
      </c>
      <c r="O35" s="85"/>
      <c r="P35" s="32">
        <v>228.48843115942032</v>
      </c>
      <c r="Q35" s="32">
        <v>14</v>
      </c>
      <c r="S35" s="5" t="s">
        <v>252</v>
      </c>
    </row>
    <row r="36" spans="2:19">
      <c r="B36" s="5" t="s">
        <v>99</v>
      </c>
      <c r="F36" s="5" t="s">
        <v>164</v>
      </c>
      <c r="J36" s="91">
        <f t="shared" ref="J36:J37" si="3">SUM(L36:Q36)</f>
        <v>4103251.2280564304</v>
      </c>
      <c r="L36" s="85"/>
      <c r="M36" s="32">
        <v>1270089.1838966203</v>
      </c>
      <c r="N36" s="32">
        <v>1931132.2324999999</v>
      </c>
      <c r="O36" s="85"/>
      <c r="P36" s="32">
        <v>797651.1448639303</v>
      </c>
      <c r="Q36" s="32">
        <v>104378.66679587991</v>
      </c>
      <c r="S36" s="5" t="s">
        <v>252</v>
      </c>
    </row>
    <row r="37" spans="2:19">
      <c r="B37" s="5" t="s">
        <v>100</v>
      </c>
      <c r="F37" s="5" t="s">
        <v>164</v>
      </c>
      <c r="J37" s="91">
        <f t="shared" si="3"/>
        <v>33231522.166838359</v>
      </c>
      <c r="L37" s="85"/>
      <c r="M37" s="32">
        <v>11296431.723300971</v>
      </c>
      <c r="N37" s="32">
        <v>14417780.396851415</v>
      </c>
      <c r="O37" s="85"/>
      <c r="P37" s="32">
        <v>6600453.0492391679</v>
      </c>
      <c r="Q37" s="32">
        <v>916856.99744680838</v>
      </c>
      <c r="S37" s="5" t="s">
        <v>252</v>
      </c>
    </row>
    <row r="38" spans="2:19">
      <c r="M38" s="112"/>
      <c r="N38" s="112"/>
      <c r="P38" s="112"/>
      <c r="S38" s="7"/>
    </row>
    <row r="39" spans="2:19">
      <c r="B39" s="27" t="s">
        <v>168</v>
      </c>
      <c r="M39" s="112"/>
      <c r="N39" s="112"/>
      <c r="P39" s="112"/>
      <c r="S39" s="7"/>
    </row>
    <row r="40" spans="2:19">
      <c r="B40" s="5" t="s">
        <v>98</v>
      </c>
      <c r="F40" s="5" t="s">
        <v>164</v>
      </c>
      <c r="J40" s="91">
        <f>SUM(L40:Q40)</f>
        <v>13.916666666666666</v>
      </c>
      <c r="L40" s="85"/>
      <c r="M40" s="32">
        <v>7</v>
      </c>
      <c r="N40" s="32">
        <v>5</v>
      </c>
      <c r="O40" s="85"/>
      <c r="P40" s="32">
        <v>1.9166666666666665</v>
      </c>
      <c r="Q40" s="85"/>
      <c r="S40" s="5" t="s">
        <v>252</v>
      </c>
    </row>
    <row r="41" spans="2:19">
      <c r="B41" s="5" t="s">
        <v>99</v>
      </c>
      <c r="F41" s="5" t="s">
        <v>164</v>
      </c>
      <c r="J41" s="91">
        <f t="shared" ref="J41:J42" si="4">SUM(L41:Q41)</f>
        <v>144162.63144167414</v>
      </c>
      <c r="L41" s="85"/>
      <c r="M41" s="32">
        <v>108353.17992047711</v>
      </c>
      <c r="N41" s="32">
        <v>32626.726666666666</v>
      </c>
      <c r="O41" s="85"/>
      <c r="P41" s="32">
        <v>3182.7248545303446</v>
      </c>
      <c r="Q41" s="85"/>
      <c r="S41" s="5" t="s">
        <v>252</v>
      </c>
    </row>
    <row r="42" spans="2:19">
      <c r="B42" s="5" t="s">
        <v>102</v>
      </c>
      <c r="F42" s="5" t="s">
        <v>164</v>
      </c>
      <c r="J42" s="91">
        <f t="shared" si="4"/>
        <v>1575308.1623521789</v>
      </c>
      <c r="L42" s="85"/>
      <c r="M42" s="32">
        <v>1224046.8309859156</v>
      </c>
      <c r="N42" s="32">
        <v>307202.74308922037</v>
      </c>
      <c r="O42" s="85"/>
      <c r="P42" s="32">
        <v>44058.588277043134</v>
      </c>
      <c r="Q42" s="85"/>
      <c r="S42" s="5" t="s">
        <v>252</v>
      </c>
    </row>
    <row r="43" spans="2:19">
      <c r="S43" s="7"/>
    </row>
    <row r="44" spans="2:19">
      <c r="S44" s="7"/>
    </row>
    <row r="45" spans="2:19">
      <c r="B45" s="27" t="s">
        <v>107</v>
      </c>
      <c r="S45" s="7"/>
    </row>
    <row r="46" spans="2:19">
      <c r="S46" s="7"/>
    </row>
    <row r="47" spans="2:19">
      <c r="B47" s="27" t="s">
        <v>108</v>
      </c>
      <c r="S47" s="7"/>
    </row>
    <row r="48" spans="2:19">
      <c r="B48" s="5" t="s">
        <v>98</v>
      </c>
      <c r="F48" s="5" t="s">
        <v>164</v>
      </c>
      <c r="J48" s="91">
        <f>SUM(L48:Q48)</f>
        <v>344.02306122448982</v>
      </c>
      <c r="L48" s="85"/>
      <c r="M48" s="32">
        <v>339.02306122448982</v>
      </c>
      <c r="N48" s="85"/>
      <c r="O48" s="32">
        <v>5</v>
      </c>
      <c r="P48" s="85"/>
      <c r="Q48" s="85"/>
      <c r="R48" s="78"/>
      <c r="S48" s="5" t="s">
        <v>252</v>
      </c>
    </row>
    <row r="49" spans="2:19">
      <c r="B49" s="5" t="s">
        <v>109</v>
      </c>
      <c r="F49" s="5" t="s">
        <v>164</v>
      </c>
      <c r="J49" s="91">
        <f t="shared" ref="J49:J50" si="5">SUM(L49:Q49)</f>
        <v>965790.88726016879</v>
      </c>
      <c r="L49" s="85"/>
      <c r="M49" s="32">
        <v>947956.18726016884</v>
      </c>
      <c r="N49" s="85"/>
      <c r="O49" s="32">
        <v>17834.7</v>
      </c>
      <c r="P49" s="85"/>
      <c r="Q49" s="85"/>
      <c r="R49" s="78"/>
      <c r="S49" s="5" t="s">
        <v>252</v>
      </c>
    </row>
    <row r="50" spans="2:19">
      <c r="B50" s="5" t="s">
        <v>100</v>
      </c>
      <c r="F50" s="5" t="s">
        <v>164</v>
      </c>
      <c r="J50" s="91">
        <f t="shared" si="5"/>
        <v>8319497.3285714323</v>
      </c>
      <c r="L50" s="85"/>
      <c r="M50" s="32">
        <v>8152128.3285714323</v>
      </c>
      <c r="N50" s="85"/>
      <c r="O50" s="32">
        <v>167369</v>
      </c>
      <c r="P50" s="85"/>
      <c r="Q50" s="85"/>
      <c r="R50" s="78"/>
      <c r="S50" s="5" t="s">
        <v>252</v>
      </c>
    </row>
    <row r="51" spans="2:19">
      <c r="B51" s="5" t="s">
        <v>110</v>
      </c>
      <c r="F51" s="5" t="s">
        <v>164</v>
      </c>
      <c r="J51" s="91">
        <f>SUM(L51:Q51)</f>
        <v>3276768719.9420295</v>
      </c>
      <c r="L51" s="85"/>
      <c r="M51" s="32">
        <v>3228318615.9420295</v>
      </c>
      <c r="N51" s="85"/>
      <c r="O51" s="32">
        <v>48450104</v>
      </c>
      <c r="P51" s="85"/>
      <c r="Q51" s="85"/>
      <c r="R51" s="78"/>
      <c r="S51" s="5" t="s">
        <v>252</v>
      </c>
    </row>
    <row r="52" spans="2:19">
      <c r="M52" s="113"/>
      <c r="O52" s="113"/>
      <c r="S52" s="7"/>
    </row>
    <row r="53" spans="2:19">
      <c r="B53" s="27" t="s">
        <v>144</v>
      </c>
      <c r="M53" s="113"/>
      <c r="O53" s="113"/>
      <c r="S53" s="7"/>
    </row>
    <row r="54" spans="2:19">
      <c r="B54" s="5" t="s">
        <v>98</v>
      </c>
      <c r="F54" s="5" t="s">
        <v>164</v>
      </c>
      <c r="J54" s="91">
        <f>SUM(L54:Q54)</f>
        <v>13984.031179138323</v>
      </c>
      <c r="L54" s="85"/>
      <c r="M54" s="32">
        <v>13967.421179138322</v>
      </c>
      <c r="N54" s="85"/>
      <c r="O54" s="32">
        <v>16.61</v>
      </c>
      <c r="P54" s="85"/>
      <c r="Q54" s="85"/>
      <c r="S54" s="5" t="s">
        <v>252</v>
      </c>
    </row>
    <row r="55" spans="2:19">
      <c r="B55" s="5" t="s">
        <v>109</v>
      </c>
      <c r="F55" s="5" t="s">
        <v>164</v>
      </c>
      <c r="J55" s="91">
        <f t="shared" ref="J55:J56" si="6">SUM(L55:Q55)</f>
        <v>3694942.5559440558</v>
      </c>
      <c r="L55" s="85"/>
      <c r="M55" s="32">
        <v>3677461.0559440558</v>
      </c>
      <c r="N55" s="85"/>
      <c r="O55" s="32">
        <v>17481.5</v>
      </c>
      <c r="P55" s="85"/>
      <c r="Q55" s="85"/>
      <c r="S55" s="5" t="s">
        <v>252</v>
      </c>
    </row>
    <row r="56" spans="2:19">
      <c r="B56" s="5" t="s">
        <v>100</v>
      </c>
      <c r="F56" s="5" t="s">
        <v>164</v>
      </c>
      <c r="J56" s="91">
        <f t="shared" si="6"/>
        <v>28292573.864705879</v>
      </c>
      <c r="L56" s="85"/>
      <c r="M56" s="32">
        <v>28136205.864705879</v>
      </c>
      <c r="N56" s="85"/>
      <c r="O56" s="32">
        <v>156368</v>
      </c>
      <c r="P56" s="85"/>
      <c r="Q56" s="85"/>
      <c r="S56" s="5" t="s">
        <v>252</v>
      </c>
    </row>
    <row r="57" spans="2:19">
      <c r="B57" s="5" t="s">
        <v>110</v>
      </c>
      <c r="F57" s="5" t="s">
        <v>164</v>
      </c>
      <c r="J57" s="91">
        <f>SUM(L57:Q57)</f>
        <v>8080800551.8558598</v>
      </c>
      <c r="L57" s="85"/>
      <c r="M57" s="32">
        <v>8021906255.8558598</v>
      </c>
      <c r="N57" s="85"/>
      <c r="O57" s="32">
        <v>58894296</v>
      </c>
      <c r="P57" s="85"/>
      <c r="Q57" s="85"/>
      <c r="S57" s="5" t="s">
        <v>252</v>
      </c>
    </row>
    <row r="58" spans="2:19">
      <c r="S58" s="7"/>
    </row>
    <row r="59" spans="2:19">
      <c r="B59" s="4" t="s">
        <v>163</v>
      </c>
      <c r="S59" s="7"/>
    </row>
    <row r="60" spans="2:19">
      <c r="B60" s="5" t="s">
        <v>98</v>
      </c>
      <c r="F60" s="5" t="s">
        <v>164</v>
      </c>
      <c r="J60" s="91">
        <f>SUM(L60:Q60)</f>
        <v>14527.358344671204</v>
      </c>
      <c r="L60" s="32">
        <v>29</v>
      </c>
      <c r="M60" s="85"/>
      <c r="N60" s="32">
        <v>9508.9168707483004</v>
      </c>
      <c r="O60" s="85"/>
      <c r="P60" s="32">
        <v>4681.3130158730155</v>
      </c>
      <c r="Q60" s="32">
        <v>308.1284580498866</v>
      </c>
      <c r="S60" s="5" t="s">
        <v>252</v>
      </c>
    </row>
    <row r="61" spans="2:19">
      <c r="B61" s="5" t="s">
        <v>109</v>
      </c>
      <c r="F61" s="5" t="s">
        <v>164</v>
      </c>
      <c r="J61" s="91">
        <f>SUM(L61:Q61)</f>
        <v>6118652.0393979494</v>
      </c>
      <c r="L61" s="32">
        <v>46927</v>
      </c>
      <c r="M61" s="85"/>
      <c r="N61" s="32">
        <v>3661724.3802961432</v>
      </c>
      <c r="O61" s="85"/>
      <c r="P61" s="32">
        <v>1972096.0362400906</v>
      </c>
      <c r="Q61" s="32">
        <v>437904.6228617148</v>
      </c>
      <c r="S61" s="5" t="s">
        <v>252</v>
      </c>
    </row>
    <row r="62" spans="2:19">
      <c r="B62" s="5" t="s">
        <v>100</v>
      </c>
      <c r="F62" s="5" t="s">
        <v>164</v>
      </c>
      <c r="J62" s="91">
        <f>SUM(L62:Q62)</f>
        <v>46096708.500831164</v>
      </c>
      <c r="L62" s="32">
        <v>360310</v>
      </c>
      <c r="M62" s="85"/>
      <c r="N62" s="32">
        <v>27206108.561008204</v>
      </c>
      <c r="O62" s="85"/>
      <c r="P62" s="32">
        <v>15313448.266987206</v>
      </c>
      <c r="Q62" s="32">
        <v>3216841.6728357547</v>
      </c>
      <c r="S62" s="5" t="s">
        <v>252</v>
      </c>
    </row>
    <row r="63" spans="2:19">
      <c r="B63" s="5" t="s">
        <v>110</v>
      </c>
      <c r="F63" s="5" t="s">
        <v>164</v>
      </c>
      <c r="J63" s="91">
        <f>SUM(L63:Q63)</f>
        <v>13300895717.440157</v>
      </c>
      <c r="L63" s="32">
        <v>125838019</v>
      </c>
      <c r="M63" s="85"/>
      <c r="N63" s="32">
        <v>8144644595.5466862</v>
      </c>
      <c r="O63" s="85"/>
      <c r="P63" s="32">
        <v>4547431074.2268038</v>
      </c>
      <c r="Q63" s="32">
        <v>482982028.66666669</v>
      </c>
      <c r="S63" s="5" t="s">
        <v>252</v>
      </c>
    </row>
    <row r="64" spans="2:19">
      <c r="S64" s="7"/>
    </row>
    <row r="65" spans="2:19">
      <c r="B65" s="27" t="s">
        <v>111</v>
      </c>
      <c r="S65" s="7"/>
    </row>
    <row r="66" spans="2:19">
      <c r="B66" s="5" t="s">
        <v>98</v>
      </c>
      <c r="F66" s="5" t="s">
        <v>164</v>
      </c>
      <c r="J66" s="91">
        <f>SUM(L66:Q66)</f>
        <v>44462.918463718823</v>
      </c>
      <c r="L66" s="32">
        <v>249</v>
      </c>
      <c r="M66" s="32">
        <v>13404.729750566892</v>
      </c>
      <c r="N66" s="32">
        <v>16536.7225</v>
      </c>
      <c r="O66" s="32">
        <v>139.03</v>
      </c>
      <c r="P66" s="32">
        <v>13320.663401360544</v>
      </c>
      <c r="Q66" s="32">
        <v>812.77281179138322</v>
      </c>
      <c r="S66" s="5" t="s">
        <v>252</v>
      </c>
    </row>
    <row r="67" spans="2:19">
      <c r="B67" s="5" t="s">
        <v>109</v>
      </c>
      <c r="F67" s="5" t="s">
        <v>164</v>
      </c>
      <c r="J67" s="91">
        <f t="shared" ref="J67:J68" si="7">SUM(L67:Q67)</f>
        <v>3890897.5563556291</v>
      </c>
      <c r="L67" s="32">
        <v>53763</v>
      </c>
      <c r="M67" s="32">
        <v>1086960.8959966982</v>
      </c>
      <c r="N67" s="32">
        <v>1378514.6258333332</v>
      </c>
      <c r="O67" s="32">
        <v>25763.5</v>
      </c>
      <c r="P67" s="32">
        <v>1183760.343684606</v>
      </c>
      <c r="Q67" s="32">
        <v>162135.19084099136</v>
      </c>
      <c r="S67" s="5" t="s">
        <v>252</v>
      </c>
    </row>
    <row r="68" spans="2:19">
      <c r="B68" s="5" t="s">
        <v>100</v>
      </c>
      <c r="F68" s="5" t="s">
        <v>164</v>
      </c>
      <c r="J68" s="91">
        <f t="shared" si="7"/>
        <v>28222330.79539321</v>
      </c>
      <c r="L68" s="32">
        <v>418171</v>
      </c>
      <c r="M68" s="32">
        <v>7817150.2705882359</v>
      </c>
      <c r="N68" s="32">
        <v>9883497.0444166046</v>
      </c>
      <c r="O68" s="32">
        <v>204240</v>
      </c>
      <c r="P68" s="32">
        <v>8714953.4582348969</v>
      </c>
      <c r="Q68" s="32">
        <v>1184319.0221534721</v>
      </c>
      <c r="S68" s="5" t="s">
        <v>252</v>
      </c>
    </row>
    <row r="69" spans="2:19">
      <c r="B69" s="5" t="s">
        <v>110</v>
      </c>
      <c r="F69" s="5" t="s">
        <v>164</v>
      </c>
      <c r="J69" s="91">
        <f>SUM(L69:Q69)</f>
        <v>6767787204.1953268</v>
      </c>
      <c r="L69" s="32">
        <v>113570372</v>
      </c>
      <c r="M69" s="32">
        <v>1785431538.7387381</v>
      </c>
      <c r="N69" s="32">
        <v>2391666630.6232553</v>
      </c>
      <c r="O69" s="32">
        <v>55509348</v>
      </c>
      <c r="P69" s="32">
        <v>2151850200</v>
      </c>
      <c r="Q69" s="32">
        <v>269759114.83333337</v>
      </c>
      <c r="S69" s="5" t="s">
        <v>252</v>
      </c>
    </row>
    <row r="70" spans="2:19">
      <c r="S70" s="7"/>
    </row>
    <row r="71" spans="2:19">
      <c r="S71" s="7"/>
    </row>
    <row r="72" spans="2:19">
      <c r="B72" s="27" t="s">
        <v>112</v>
      </c>
      <c r="S72" s="7"/>
    </row>
    <row r="73" spans="2:19">
      <c r="S73" s="7"/>
    </row>
    <row r="74" spans="2:19">
      <c r="B74" s="27" t="s">
        <v>165</v>
      </c>
      <c r="S74" s="7"/>
    </row>
    <row r="75" spans="2:19">
      <c r="B75" s="5" t="s">
        <v>98</v>
      </c>
      <c r="F75" s="5" t="s">
        <v>164</v>
      </c>
      <c r="J75" s="91">
        <f>SUM(L75:Q75)</f>
        <v>23626.368888888886</v>
      </c>
      <c r="L75" s="32">
        <v>366</v>
      </c>
      <c r="M75" s="32">
        <v>7348.5077777777769</v>
      </c>
      <c r="N75" s="32">
        <v>8387.36</v>
      </c>
      <c r="O75" s="32">
        <v>168.67</v>
      </c>
      <c r="P75" s="32">
        <v>7142.7955555555554</v>
      </c>
      <c r="Q75" s="32">
        <v>213.03555555555556</v>
      </c>
      <c r="S75" s="5" t="s">
        <v>252</v>
      </c>
    </row>
    <row r="76" spans="2:19">
      <c r="B76" s="5" t="s">
        <v>109</v>
      </c>
      <c r="F76" s="5" t="s">
        <v>164</v>
      </c>
      <c r="J76" s="91">
        <f t="shared" ref="J76:J77" si="8">SUM(L76:Q76)</f>
        <v>900975.47096618102</v>
      </c>
      <c r="L76" s="32">
        <v>25812</v>
      </c>
      <c r="M76" s="32">
        <v>211616.92316784864</v>
      </c>
      <c r="N76" s="32">
        <v>260220.70250000001</v>
      </c>
      <c r="O76" s="32">
        <v>10969</v>
      </c>
      <c r="P76" s="32">
        <v>385678.74422484584</v>
      </c>
      <c r="Q76" s="32">
        <v>6678.1010734864622</v>
      </c>
      <c r="S76" s="5" t="s">
        <v>252</v>
      </c>
    </row>
    <row r="77" spans="2:19">
      <c r="B77" s="5" t="s">
        <v>114</v>
      </c>
      <c r="F77" s="5" t="s">
        <v>164</v>
      </c>
      <c r="J77" s="91">
        <f t="shared" si="8"/>
        <v>541169081.50445187</v>
      </c>
      <c r="L77" s="32">
        <v>12368749</v>
      </c>
      <c r="M77" s="32">
        <v>117516194.32989688</v>
      </c>
      <c r="N77" s="32">
        <v>155651145.87469721</v>
      </c>
      <c r="O77" s="32">
        <v>7560028</v>
      </c>
      <c r="P77" s="32">
        <v>243760373.88889894</v>
      </c>
      <c r="Q77" s="32">
        <v>4312590.4109589048</v>
      </c>
      <c r="S77" s="5" t="s">
        <v>252</v>
      </c>
    </row>
    <row r="78" spans="2:19">
      <c r="B78" s="5" t="s">
        <v>110</v>
      </c>
      <c r="F78" s="5" t="s">
        <v>164</v>
      </c>
      <c r="J78" s="91">
        <f>SUM(L78:Q78)</f>
        <v>749365449.54911685</v>
      </c>
      <c r="L78" s="32">
        <v>21598577</v>
      </c>
      <c r="M78" s="32">
        <v>154806145.55256063</v>
      </c>
      <c r="N78" s="32">
        <v>209683978.59280664</v>
      </c>
      <c r="O78" s="32">
        <v>11765477</v>
      </c>
      <c r="P78" s="32">
        <v>346065251.07278037</v>
      </c>
      <c r="Q78" s="32">
        <v>5446020.3309692666</v>
      </c>
      <c r="S78" s="5" t="s">
        <v>252</v>
      </c>
    </row>
    <row r="79" spans="2:19">
      <c r="L79" s="113"/>
      <c r="M79" s="113"/>
      <c r="N79" s="113"/>
      <c r="O79" s="113"/>
      <c r="P79" s="113"/>
      <c r="Q79" s="113"/>
      <c r="S79" s="7"/>
    </row>
    <row r="80" spans="2:19">
      <c r="B80" s="27" t="s">
        <v>115</v>
      </c>
      <c r="L80" s="113"/>
      <c r="M80" s="113"/>
      <c r="N80" s="113"/>
      <c r="O80" s="113"/>
      <c r="P80" s="113"/>
      <c r="Q80" s="113"/>
      <c r="S80" s="7"/>
    </row>
    <row r="81" spans="2:21">
      <c r="B81" s="5" t="s">
        <v>116</v>
      </c>
      <c r="F81" s="5" t="s">
        <v>164</v>
      </c>
      <c r="J81" s="91">
        <f>SUM(L81:Q81)</f>
        <v>2795785.9160836344</v>
      </c>
      <c r="L81" s="32">
        <v>25460</v>
      </c>
      <c r="M81" s="32">
        <v>1247161.4376996807</v>
      </c>
      <c r="N81" s="32">
        <v>798695.21354370518</v>
      </c>
      <c r="O81" s="32">
        <v>18998</v>
      </c>
      <c r="P81" s="32">
        <v>676770.22113401489</v>
      </c>
      <c r="Q81" s="32">
        <v>28701.04370623342</v>
      </c>
      <c r="S81" s="5" t="s">
        <v>252</v>
      </c>
    </row>
    <row r="82" spans="2:21">
      <c r="B82" s="5" t="s">
        <v>166</v>
      </c>
      <c r="F82" s="5" t="s">
        <v>164</v>
      </c>
      <c r="J82" s="91">
        <f t="shared" ref="J82" si="9">SUM(L82:Q82)</f>
        <v>8564468.6893148571</v>
      </c>
      <c r="L82" s="32">
        <v>54285</v>
      </c>
      <c r="M82" s="32">
        <v>2814157.3708985434</v>
      </c>
      <c r="N82" s="32">
        <v>3265559.7887782152</v>
      </c>
      <c r="O82" s="32">
        <v>33277.199999999997</v>
      </c>
      <c r="P82" s="32">
        <v>2334822.439762508</v>
      </c>
      <c r="Q82" s="32">
        <v>62366.889875589972</v>
      </c>
      <c r="S82" s="5" t="s">
        <v>252</v>
      </c>
    </row>
    <row r="83" spans="2:21">
      <c r="L83" s="114"/>
      <c r="M83" s="114"/>
      <c r="N83" s="114"/>
      <c r="O83" s="114"/>
      <c r="P83" s="114"/>
      <c r="Q83" s="114"/>
      <c r="S83" s="7"/>
    </row>
    <row r="84" spans="2:21">
      <c r="B84" s="27" t="s">
        <v>118</v>
      </c>
      <c r="L84" s="114"/>
      <c r="M84" s="114"/>
      <c r="N84" s="114"/>
      <c r="O84" s="114"/>
      <c r="P84" s="114"/>
      <c r="Q84" s="114"/>
      <c r="S84" s="7"/>
    </row>
    <row r="85" spans="2:21">
      <c r="B85" s="5" t="s">
        <v>119</v>
      </c>
      <c r="F85" s="5" t="s">
        <v>164</v>
      </c>
      <c r="J85" s="91">
        <f>SUM(L85:Q85)</f>
        <v>62903.061979793485</v>
      </c>
      <c r="L85" s="32">
        <v>297</v>
      </c>
      <c r="M85" s="32">
        <v>24545.259185303468</v>
      </c>
      <c r="N85" s="32">
        <v>24475.149726027394</v>
      </c>
      <c r="O85" s="32">
        <v>198.8</v>
      </c>
      <c r="P85" s="32">
        <v>12759.479851409515</v>
      </c>
      <c r="Q85" s="32">
        <v>627.37321705310808</v>
      </c>
      <c r="S85" s="5" t="s">
        <v>252</v>
      </c>
    </row>
    <row r="86" spans="2:21">
      <c r="B86" s="5" t="s">
        <v>120</v>
      </c>
      <c r="F86" s="5" t="s">
        <v>164</v>
      </c>
      <c r="J86" s="91">
        <f t="shared" ref="J86:J87" si="10">SUM(L86:Q86)</f>
        <v>63262.536352500982</v>
      </c>
      <c r="L86" s="32">
        <v>340</v>
      </c>
      <c r="M86" s="32">
        <v>22890.733379925477</v>
      </c>
      <c r="N86" s="32">
        <v>22924.390022831045</v>
      </c>
      <c r="O86" s="32">
        <v>223.6</v>
      </c>
      <c r="P86" s="32">
        <v>16364.197346844887</v>
      </c>
      <c r="Q86" s="32">
        <v>519.6156028995722</v>
      </c>
      <c r="S86" s="5" t="s">
        <v>252</v>
      </c>
    </row>
    <row r="87" spans="2:21">
      <c r="B87" s="5" t="s">
        <v>121</v>
      </c>
      <c r="F87" s="5" t="s">
        <v>164</v>
      </c>
      <c r="J87" s="91">
        <f t="shared" si="10"/>
        <v>72084.267546459087</v>
      </c>
      <c r="L87" s="32">
        <v>417</v>
      </c>
      <c r="M87" s="32">
        <v>25891.882747603824</v>
      </c>
      <c r="N87" s="32">
        <v>27576.351632420086</v>
      </c>
      <c r="O87" s="32">
        <v>288</v>
      </c>
      <c r="P87" s="32">
        <v>17143.878436413001</v>
      </c>
      <c r="Q87" s="32">
        <v>767.15473002216731</v>
      </c>
      <c r="S87" s="5" t="s">
        <v>252</v>
      </c>
    </row>
    <row r="88" spans="2:21">
      <c r="B88" s="5" t="s">
        <v>122</v>
      </c>
      <c r="F88" s="5" t="s">
        <v>164</v>
      </c>
      <c r="J88" s="91">
        <f>SUM(L88:Q88)</f>
        <v>184537.7076792712</v>
      </c>
      <c r="L88" s="32">
        <v>1103</v>
      </c>
      <c r="M88" s="32">
        <v>67182.244129392871</v>
      </c>
      <c r="N88" s="32">
        <v>67309.567111872137</v>
      </c>
      <c r="O88" s="32">
        <v>617.75</v>
      </c>
      <c r="P88" s="32">
        <v>46678.392018960942</v>
      </c>
      <c r="Q88" s="32">
        <v>1646.7544190452518</v>
      </c>
      <c r="S88" s="5" t="s">
        <v>252</v>
      </c>
    </row>
    <row r="89" spans="2:21">
      <c r="B89" s="5" t="s">
        <v>147</v>
      </c>
      <c r="F89" s="5" t="s">
        <v>164</v>
      </c>
      <c r="J89" s="91">
        <f>SUM(L89:Q89)</f>
        <v>8163875.1208624374</v>
      </c>
      <c r="L89" s="32">
        <v>52126</v>
      </c>
      <c r="M89" s="32">
        <v>2667197.4453540812</v>
      </c>
      <c r="N89" s="32">
        <v>3113788.5654807203</v>
      </c>
      <c r="O89" s="32">
        <v>31936.6</v>
      </c>
      <c r="P89" s="32">
        <v>2240022.5176952118</v>
      </c>
      <c r="Q89" s="32">
        <v>58803.992332424299</v>
      </c>
      <c r="S89" s="5" t="s">
        <v>252</v>
      </c>
    </row>
    <row r="90" spans="2:21">
      <c r="B90" s="5" t="s">
        <v>148</v>
      </c>
      <c r="F90" s="5" t="s">
        <v>164</v>
      </c>
      <c r="J90" s="91">
        <f t="shared" ref="J90:J91" si="11">SUM(L90:Q90)</f>
        <v>17215.78362731541</v>
      </c>
      <c r="L90" s="32">
        <v>2</v>
      </c>
      <c r="M90" s="32">
        <v>6188.1027689030907</v>
      </c>
      <c r="N90" s="32">
        <v>9158.3065449010646</v>
      </c>
      <c r="O90" s="32">
        <v>12.4</v>
      </c>
      <c r="P90" s="32">
        <v>1853.9744136681672</v>
      </c>
      <c r="Q90" s="32">
        <v>0.99989984308750368</v>
      </c>
      <c r="S90" s="5" t="s">
        <v>252</v>
      </c>
      <c r="U90" s="5" t="s">
        <v>124</v>
      </c>
    </row>
    <row r="91" spans="2:21">
      <c r="B91" s="5" t="s">
        <v>123</v>
      </c>
      <c r="F91" s="5" t="s">
        <v>164</v>
      </c>
      <c r="J91" s="91">
        <f t="shared" si="11"/>
        <v>2795785.7877948759</v>
      </c>
      <c r="L91" s="32">
        <v>25460</v>
      </c>
      <c r="M91" s="32">
        <v>1247161.4376996807</v>
      </c>
      <c r="N91" s="32">
        <v>798695.08525494672</v>
      </c>
      <c r="O91" s="32">
        <v>18998</v>
      </c>
      <c r="P91" s="32">
        <v>676770.22113401489</v>
      </c>
      <c r="Q91" s="32">
        <v>28701.04370623342</v>
      </c>
      <c r="S91" s="5" t="s">
        <v>252</v>
      </c>
    </row>
    <row r="92" spans="2:21">
      <c r="J92" s="78"/>
      <c r="K92" s="78"/>
      <c r="L92" s="78"/>
      <c r="M92" s="78"/>
      <c r="N92" s="78"/>
      <c r="O92" s="78"/>
      <c r="P92" s="78"/>
      <c r="Q92" s="78"/>
      <c r="S92" s="7"/>
    </row>
    <row r="93" spans="2:21">
      <c r="S93" s="7"/>
    </row>
    <row r="94" spans="2:21">
      <c r="B94" s="27" t="s">
        <v>125</v>
      </c>
      <c r="S94" s="7"/>
    </row>
    <row r="95" spans="2:21">
      <c r="S95" s="7"/>
    </row>
    <row r="96" spans="2:21">
      <c r="B96" s="5" t="s">
        <v>126</v>
      </c>
      <c r="F96" s="5" t="s">
        <v>164</v>
      </c>
      <c r="J96" s="91">
        <f>SUM(L96:Q96)</f>
        <v>853706387.7369324</v>
      </c>
      <c r="L96" s="32">
        <v>3881317</v>
      </c>
      <c r="M96" s="32">
        <v>213043061.36363634</v>
      </c>
      <c r="N96" s="32">
        <v>376466598</v>
      </c>
      <c r="O96" s="32">
        <v>10590026</v>
      </c>
      <c r="P96" s="32">
        <v>249725385.37329599</v>
      </c>
      <c r="Q96" s="85"/>
      <c r="S96" s="5" t="s">
        <v>252</v>
      </c>
    </row>
    <row r="97" spans="2:19">
      <c r="B97" s="5" t="s">
        <v>127</v>
      </c>
      <c r="F97" s="5" t="s">
        <v>164</v>
      </c>
      <c r="J97" s="91">
        <f t="shared" ref="J97" si="12">SUM(L97:Q97)</f>
        <v>63681206.124082819</v>
      </c>
      <c r="L97" s="32">
        <v>28151</v>
      </c>
      <c r="M97" s="32">
        <v>17229250</v>
      </c>
      <c r="N97" s="32">
        <v>19196729</v>
      </c>
      <c r="O97" s="32">
        <v>182588</v>
      </c>
      <c r="P97" s="32">
        <v>27044488.124082822</v>
      </c>
      <c r="Q97" s="85"/>
      <c r="S97" s="5" t="s">
        <v>252</v>
      </c>
    </row>
    <row r="99" spans="2:19" s="90" customFormat="1">
      <c r="B99" s="90" t="s">
        <v>170</v>
      </c>
    </row>
    <row r="101" spans="2:19">
      <c r="B101" s="27" t="s">
        <v>96</v>
      </c>
    </row>
    <row r="103" spans="2:19">
      <c r="B103" s="27" t="s">
        <v>97</v>
      </c>
    </row>
    <row r="104" spans="2:19">
      <c r="B104" s="5" t="s">
        <v>98</v>
      </c>
      <c r="F104" s="5" t="s">
        <v>164</v>
      </c>
      <c r="J104" s="91">
        <f>SUM(L104:Q104)</f>
        <v>0</v>
      </c>
      <c r="L104" s="85"/>
      <c r="M104" s="85"/>
      <c r="N104" s="85"/>
      <c r="O104" s="85"/>
      <c r="P104" s="85"/>
      <c r="Q104" s="85"/>
      <c r="S104" s="5" t="s">
        <v>252</v>
      </c>
    </row>
    <row r="105" spans="2:19">
      <c r="B105" s="5" t="s">
        <v>99</v>
      </c>
      <c r="F105" s="5" t="s">
        <v>164</v>
      </c>
      <c r="J105" s="91">
        <f t="shared" ref="J105:J106" si="13">SUM(L105:Q105)</f>
        <v>0</v>
      </c>
      <c r="L105" s="85"/>
      <c r="M105" s="85"/>
      <c r="N105" s="85"/>
      <c r="O105" s="85"/>
      <c r="P105" s="85"/>
      <c r="Q105" s="85"/>
      <c r="S105" s="5" t="s">
        <v>252</v>
      </c>
    </row>
    <row r="106" spans="2:19">
      <c r="B106" s="5" t="s">
        <v>100</v>
      </c>
      <c r="F106" s="5" t="s">
        <v>164</v>
      </c>
      <c r="J106" s="91">
        <f t="shared" si="13"/>
        <v>0</v>
      </c>
      <c r="L106" s="85"/>
      <c r="M106" s="85"/>
      <c r="N106" s="85"/>
      <c r="O106" s="85"/>
      <c r="P106" s="85"/>
      <c r="Q106" s="85"/>
      <c r="S106" s="5" t="s">
        <v>252</v>
      </c>
    </row>
    <row r="107" spans="2:19">
      <c r="S107" s="7"/>
    </row>
    <row r="108" spans="2:19">
      <c r="B108" s="27" t="s">
        <v>101</v>
      </c>
      <c r="S108" s="7"/>
    </row>
    <row r="109" spans="2:19">
      <c r="B109" s="5" t="s">
        <v>98</v>
      </c>
      <c r="F109" s="5" t="s">
        <v>164</v>
      </c>
      <c r="J109" s="91">
        <f>SUM(L109:Q109)</f>
        <v>0</v>
      </c>
      <c r="L109" s="85"/>
      <c r="M109" s="85"/>
      <c r="N109" s="85"/>
      <c r="O109" s="85"/>
      <c r="P109" s="85"/>
      <c r="Q109" s="85"/>
      <c r="S109" s="5" t="s">
        <v>252</v>
      </c>
    </row>
    <row r="110" spans="2:19">
      <c r="B110" s="5" t="s">
        <v>99</v>
      </c>
      <c r="F110" s="5" t="s">
        <v>164</v>
      </c>
      <c r="J110" s="91">
        <f t="shared" ref="J110:J111" si="14">SUM(L110:Q110)</f>
        <v>0</v>
      </c>
      <c r="L110" s="85"/>
      <c r="M110" s="85"/>
      <c r="N110" s="85"/>
      <c r="O110" s="85"/>
      <c r="P110" s="85"/>
      <c r="Q110" s="85"/>
      <c r="S110" s="5" t="s">
        <v>252</v>
      </c>
    </row>
    <row r="111" spans="2:19">
      <c r="B111" s="5" t="s">
        <v>102</v>
      </c>
      <c r="F111" s="5" t="s">
        <v>164</v>
      </c>
      <c r="J111" s="91">
        <f t="shared" si="14"/>
        <v>0</v>
      </c>
      <c r="L111" s="85"/>
      <c r="M111" s="85"/>
      <c r="N111" s="85"/>
      <c r="O111" s="85"/>
      <c r="P111" s="85"/>
      <c r="Q111" s="85"/>
      <c r="S111" s="5" t="s">
        <v>252</v>
      </c>
    </row>
    <row r="112" spans="2:19">
      <c r="S112" s="7"/>
    </row>
    <row r="113" spans="2:19">
      <c r="B113" s="27" t="s">
        <v>103</v>
      </c>
      <c r="S113" s="7"/>
    </row>
    <row r="114" spans="2:19">
      <c r="B114" s="5" t="s">
        <v>98</v>
      </c>
      <c r="F114" s="5" t="s">
        <v>164</v>
      </c>
      <c r="J114" s="91">
        <f>SUM(L114:Q114)</f>
        <v>0</v>
      </c>
      <c r="L114" s="85"/>
      <c r="M114" s="85"/>
      <c r="N114" s="85"/>
      <c r="O114" s="85"/>
      <c r="P114" s="85"/>
      <c r="Q114" s="85"/>
      <c r="S114" s="5" t="s">
        <v>252</v>
      </c>
    </row>
    <row r="115" spans="2:19">
      <c r="B115" s="5" t="s">
        <v>99</v>
      </c>
      <c r="F115" s="5" t="s">
        <v>164</v>
      </c>
      <c r="J115" s="91">
        <f t="shared" ref="J115:J116" si="15">SUM(L115:Q115)</f>
        <v>210668.0889319994</v>
      </c>
      <c r="L115" s="85"/>
      <c r="M115" s="32">
        <v>1901</v>
      </c>
      <c r="N115" s="32">
        <v>10184.054627110669</v>
      </c>
      <c r="O115" s="85"/>
      <c r="P115" s="32">
        <v>198583.03430488874</v>
      </c>
      <c r="Q115" s="85"/>
      <c r="S115" s="5" t="s">
        <v>252</v>
      </c>
    </row>
    <row r="116" spans="2:19">
      <c r="B116" s="5" t="s">
        <v>100</v>
      </c>
      <c r="F116" s="5" t="s">
        <v>164</v>
      </c>
      <c r="J116" s="91">
        <f t="shared" si="15"/>
        <v>1714098.4819265404</v>
      </c>
      <c r="L116" s="85"/>
      <c r="M116" s="32">
        <v>19598</v>
      </c>
      <c r="N116" s="32">
        <v>105406.37671322748</v>
      </c>
      <c r="O116" s="85"/>
      <c r="P116" s="32">
        <v>1589094.1052133129</v>
      </c>
      <c r="Q116" s="85"/>
      <c r="S116" s="5" t="s">
        <v>252</v>
      </c>
    </row>
    <row r="117" spans="2:19">
      <c r="M117" s="113"/>
      <c r="N117" s="113"/>
      <c r="P117" s="113"/>
      <c r="S117" s="7"/>
    </row>
    <row r="118" spans="2:19">
      <c r="B118" s="27" t="s">
        <v>104</v>
      </c>
      <c r="M118" s="113"/>
      <c r="N118" s="113"/>
      <c r="P118" s="113"/>
      <c r="S118" s="7"/>
    </row>
    <row r="119" spans="2:19">
      <c r="B119" s="5" t="s">
        <v>98</v>
      </c>
      <c r="F119" s="5" t="s">
        <v>164</v>
      </c>
      <c r="J119" s="91">
        <f>SUM(L119:Q119)</f>
        <v>0</v>
      </c>
      <c r="L119" s="85"/>
      <c r="M119" s="85"/>
      <c r="N119" s="85"/>
      <c r="O119" s="85"/>
      <c r="P119" s="85"/>
      <c r="Q119" s="85"/>
      <c r="S119" s="5" t="s">
        <v>252</v>
      </c>
    </row>
    <row r="120" spans="2:19">
      <c r="B120" s="5" t="s">
        <v>99</v>
      </c>
      <c r="F120" s="5" t="s">
        <v>164</v>
      </c>
      <c r="J120" s="91">
        <f t="shared" ref="J120:J121" si="16">SUM(L120:Q120)</f>
        <v>0</v>
      </c>
      <c r="L120" s="85"/>
      <c r="M120" s="85"/>
      <c r="N120" s="85"/>
      <c r="O120" s="85"/>
      <c r="P120" s="85"/>
      <c r="Q120" s="85"/>
      <c r="S120" s="5" t="s">
        <v>252</v>
      </c>
    </row>
    <row r="121" spans="2:19">
      <c r="B121" s="5" t="s">
        <v>102</v>
      </c>
      <c r="F121" s="5" t="s">
        <v>164</v>
      </c>
      <c r="J121" s="91">
        <f t="shared" si="16"/>
        <v>0</v>
      </c>
      <c r="L121" s="85"/>
      <c r="M121" s="85"/>
      <c r="N121" s="85"/>
      <c r="O121" s="85"/>
      <c r="P121" s="85"/>
      <c r="Q121" s="85"/>
      <c r="S121" s="5" t="s">
        <v>252</v>
      </c>
    </row>
    <row r="122" spans="2:19">
      <c r="M122" s="113"/>
      <c r="N122" s="113"/>
      <c r="P122" s="113"/>
      <c r="S122" s="7"/>
    </row>
    <row r="123" spans="2:19">
      <c r="B123" s="27" t="s">
        <v>167</v>
      </c>
      <c r="M123" s="113"/>
      <c r="N123" s="113"/>
      <c r="P123" s="113"/>
      <c r="S123" s="7"/>
    </row>
    <row r="124" spans="2:19">
      <c r="B124" s="5" t="s">
        <v>98</v>
      </c>
      <c r="F124" s="5" t="s">
        <v>164</v>
      </c>
      <c r="J124" s="91">
        <f>SUM(L124:Q124)</f>
        <v>0</v>
      </c>
      <c r="L124" s="85"/>
      <c r="M124" s="85"/>
      <c r="N124" s="85"/>
      <c r="O124" s="85"/>
      <c r="P124" s="85"/>
      <c r="Q124" s="85"/>
      <c r="S124" s="5" t="s">
        <v>252</v>
      </c>
    </row>
    <row r="125" spans="2:19">
      <c r="B125" s="5" t="s">
        <v>99</v>
      </c>
      <c r="F125" s="5" t="s">
        <v>164</v>
      </c>
      <c r="J125" s="91">
        <f t="shared" ref="J125:J126" si="17">SUM(L125:Q125)</f>
        <v>44351.509102225507</v>
      </c>
      <c r="L125" s="85"/>
      <c r="M125" s="32">
        <v>31025</v>
      </c>
      <c r="N125" s="32">
        <v>10141.441025820342</v>
      </c>
      <c r="O125" s="85"/>
      <c r="P125" s="32">
        <v>3185.0680764051667</v>
      </c>
      <c r="Q125" s="85"/>
      <c r="S125" s="5" t="s">
        <v>252</v>
      </c>
    </row>
    <row r="126" spans="2:19">
      <c r="B126" s="5" t="s">
        <v>100</v>
      </c>
      <c r="F126" s="5" t="s">
        <v>164</v>
      </c>
      <c r="J126" s="91">
        <f t="shared" si="17"/>
        <v>424891.66747652367</v>
      </c>
      <c r="L126" s="85"/>
      <c r="M126" s="32">
        <v>296273</v>
      </c>
      <c r="N126" s="32">
        <v>91629.005084479693</v>
      </c>
      <c r="O126" s="85"/>
      <c r="P126" s="32">
        <v>36989.662392043974</v>
      </c>
      <c r="Q126" s="85"/>
      <c r="S126" s="5" t="s">
        <v>252</v>
      </c>
    </row>
    <row r="127" spans="2:19">
      <c r="S127" s="7"/>
    </row>
    <row r="128" spans="2:19">
      <c r="B128" s="27" t="s">
        <v>168</v>
      </c>
      <c r="S128" s="7"/>
    </row>
    <row r="129" spans="2:19">
      <c r="B129" s="5" t="s">
        <v>98</v>
      </c>
      <c r="F129" s="5" t="s">
        <v>164</v>
      </c>
      <c r="J129" s="91">
        <f>SUM(L129:Q129)</f>
        <v>0</v>
      </c>
      <c r="L129" s="85"/>
      <c r="M129" s="85"/>
      <c r="N129" s="85"/>
      <c r="O129" s="85"/>
      <c r="P129" s="85"/>
      <c r="Q129" s="85"/>
      <c r="S129" s="5" t="s">
        <v>252</v>
      </c>
    </row>
    <row r="130" spans="2:19">
      <c r="B130" s="5" t="s">
        <v>99</v>
      </c>
      <c r="F130" s="5" t="s">
        <v>164</v>
      </c>
      <c r="J130" s="91">
        <f t="shared" ref="J130:J131" si="18">SUM(L130:Q130)</f>
        <v>0</v>
      </c>
      <c r="L130" s="85"/>
      <c r="M130" s="85"/>
      <c r="N130" s="85"/>
      <c r="O130" s="85"/>
      <c r="P130" s="85"/>
      <c r="Q130" s="85"/>
      <c r="S130" s="5" t="s">
        <v>252</v>
      </c>
    </row>
    <row r="131" spans="2:19">
      <c r="B131" s="5" t="s">
        <v>102</v>
      </c>
      <c r="F131" s="5" t="s">
        <v>164</v>
      </c>
      <c r="J131" s="91">
        <f t="shared" si="18"/>
        <v>0</v>
      </c>
      <c r="L131" s="85"/>
      <c r="M131" s="85"/>
      <c r="N131" s="85"/>
      <c r="O131" s="85"/>
      <c r="P131" s="85"/>
      <c r="Q131" s="85"/>
      <c r="S131" s="5" t="s">
        <v>252</v>
      </c>
    </row>
    <row r="132" spans="2:19">
      <c r="S132" s="7"/>
    </row>
    <row r="133" spans="2:19">
      <c r="S133" s="7"/>
    </row>
    <row r="134" spans="2:19">
      <c r="B134" s="27" t="s">
        <v>107</v>
      </c>
      <c r="S134" s="7"/>
    </row>
    <row r="135" spans="2:19">
      <c r="S135" s="7"/>
    </row>
    <row r="136" spans="2:19">
      <c r="B136" s="27" t="s">
        <v>108</v>
      </c>
      <c r="S136" s="7"/>
    </row>
    <row r="137" spans="2:19">
      <c r="B137" s="5" t="s">
        <v>98</v>
      </c>
      <c r="F137" s="5" t="s">
        <v>164</v>
      </c>
      <c r="J137" s="91">
        <f>SUM(L137:Q137)</f>
        <v>0</v>
      </c>
      <c r="L137" s="85"/>
      <c r="M137" s="85"/>
      <c r="N137" s="85"/>
      <c r="O137" s="85"/>
      <c r="P137" s="85"/>
      <c r="Q137" s="85"/>
      <c r="S137" s="5" t="s">
        <v>252</v>
      </c>
    </row>
    <row r="138" spans="2:19">
      <c r="B138" s="5" t="s">
        <v>109</v>
      </c>
      <c r="F138" s="5" t="s">
        <v>164</v>
      </c>
      <c r="J138" s="91">
        <f t="shared" ref="J138:J140" si="19">SUM(L138:Q138)</f>
        <v>0</v>
      </c>
      <c r="L138" s="85"/>
      <c r="M138" s="85"/>
      <c r="N138" s="85"/>
      <c r="O138" s="85"/>
      <c r="P138" s="85"/>
      <c r="Q138" s="85"/>
      <c r="S138" s="5" t="s">
        <v>252</v>
      </c>
    </row>
    <row r="139" spans="2:19">
      <c r="B139" s="5" t="s">
        <v>100</v>
      </c>
      <c r="F139" s="5" t="s">
        <v>164</v>
      </c>
      <c r="J139" s="91">
        <f t="shared" si="19"/>
        <v>0</v>
      </c>
      <c r="L139" s="85"/>
      <c r="M139" s="85"/>
      <c r="N139" s="85"/>
      <c r="O139" s="85"/>
      <c r="P139" s="85"/>
      <c r="Q139" s="85"/>
      <c r="S139" s="5" t="s">
        <v>252</v>
      </c>
    </row>
    <row r="140" spans="2:19">
      <c r="B140" s="5" t="s">
        <v>110</v>
      </c>
      <c r="F140" s="5" t="s">
        <v>164</v>
      </c>
      <c r="J140" s="91">
        <f t="shared" si="19"/>
        <v>0</v>
      </c>
      <c r="L140" s="85"/>
      <c r="M140" s="85"/>
      <c r="N140" s="85"/>
      <c r="O140" s="85"/>
      <c r="P140" s="85"/>
      <c r="Q140" s="85"/>
      <c r="S140" s="5" t="s">
        <v>252</v>
      </c>
    </row>
    <row r="141" spans="2:19">
      <c r="S141" s="7"/>
    </row>
    <row r="142" spans="2:19">
      <c r="B142" s="27" t="s">
        <v>144</v>
      </c>
      <c r="S142" s="7"/>
    </row>
    <row r="143" spans="2:19">
      <c r="B143" s="5" t="s">
        <v>98</v>
      </c>
      <c r="F143" s="5" t="s">
        <v>164</v>
      </c>
      <c r="J143" s="91">
        <f>SUM(L143:Q143)</f>
        <v>0</v>
      </c>
      <c r="L143" s="85"/>
      <c r="M143" s="85"/>
      <c r="N143" s="85"/>
      <c r="O143" s="85"/>
      <c r="P143" s="85"/>
      <c r="Q143" s="85"/>
      <c r="S143" s="5" t="s">
        <v>252</v>
      </c>
    </row>
    <row r="144" spans="2:19">
      <c r="B144" s="5" t="s">
        <v>109</v>
      </c>
      <c r="F144" s="5" t="s">
        <v>164</v>
      </c>
      <c r="J144" s="91">
        <f t="shared" ref="J144:J146" si="20">SUM(L144:Q144)</f>
        <v>0</v>
      </c>
      <c r="L144" s="85"/>
      <c r="M144" s="85"/>
      <c r="N144" s="85"/>
      <c r="O144" s="85"/>
      <c r="P144" s="85"/>
      <c r="Q144" s="85"/>
      <c r="S144" s="5" t="s">
        <v>252</v>
      </c>
    </row>
    <row r="145" spans="2:19">
      <c r="B145" s="5" t="s">
        <v>100</v>
      </c>
      <c r="F145" s="5" t="s">
        <v>164</v>
      </c>
      <c r="J145" s="91">
        <f t="shared" si="20"/>
        <v>0</v>
      </c>
      <c r="L145" s="85"/>
      <c r="M145" s="85"/>
      <c r="N145" s="85"/>
      <c r="O145" s="85"/>
      <c r="P145" s="85"/>
      <c r="Q145" s="85"/>
      <c r="S145" s="5" t="s">
        <v>252</v>
      </c>
    </row>
    <row r="146" spans="2:19">
      <c r="B146" s="5" t="s">
        <v>110</v>
      </c>
      <c r="F146" s="5" t="s">
        <v>164</v>
      </c>
      <c r="J146" s="91">
        <f t="shared" si="20"/>
        <v>0</v>
      </c>
      <c r="L146" s="85"/>
      <c r="M146" s="85"/>
      <c r="N146" s="85"/>
      <c r="O146" s="85"/>
      <c r="P146" s="85"/>
      <c r="Q146" s="85"/>
      <c r="S146" s="5" t="s">
        <v>252</v>
      </c>
    </row>
    <row r="147" spans="2:19">
      <c r="S147" s="7"/>
    </row>
    <row r="148" spans="2:19">
      <c r="B148" s="27" t="s">
        <v>163</v>
      </c>
      <c r="S148" s="7"/>
    </row>
    <row r="149" spans="2:19">
      <c r="B149" s="5" t="s">
        <v>98</v>
      </c>
      <c r="F149" s="5" t="s">
        <v>164</v>
      </c>
      <c r="J149" s="91">
        <f>SUM(L149:Q149)</f>
        <v>0</v>
      </c>
      <c r="L149" s="85"/>
      <c r="M149" s="85"/>
      <c r="N149" s="85"/>
      <c r="O149" s="85"/>
      <c r="P149" s="85"/>
      <c r="Q149" s="85"/>
      <c r="S149" s="5" t="s">
        <v>252</v>
      </c>
    </row>
    <row r="150" spans="2:19">
      <c r="B150" s="5" t="s">
        <v>109</v>
      </c>
      <c r="F150" s="5" t="s">
        <v>164</v>
      </c>
      <c r="J150" s="91">
        <f t="shared" ref="J150:J152" si="21">SUM(L150:Q150)</f>
        <v>0</v>
      </c>
      <c r="L150" s="85"/>
      <c r="M150" s="85"/>
      <c r="N150" s="85"/>
      <c r="O150" s="85"/>
      <c r="P150" s="85"/>
      <c r="Q150" s="85"/>
      <c r="S150" s="5" t="s">
        <v>252</v>
      </c>
    </row>
    <row r="151" spans="2:19">
      <c r="B151" s="5" t="s">
        <v>100</v>
      </c>
      <c r="F151" s="5" t="s">
        <v>164</v>
      </c>
      <c r="J151" s="91">
        <f t="shared" si="21"/>
        <v>0</v>
      </c>
      <c r="L151" s="85"/>
      <c r="M151" s="85"/>
      <c r="N151" s="85"/>
      <c r="O151" s="85"/>
      <c r="P151" s="85"/>
      <c r="Q151" s="85"/>
      <c r="S151" s="5" t="s">
        <v>252</v>
      </c>
    </row>
    <row r="152" spans="2:19">
      <c r="B152" s="5" t="s">
        <v>110</v>
      </c>
      <c r="F152" s="5" t="s">
        <v>164</v>
      </c>
      <c r="J152" s="91">
        <f t="shared" si="21"/>
        <v>0</v>
      </c>
      <c r="L152" s="85"/>
      <c r="M152" s="85"/>
      <c r="N152" s="85"/>
      <c r="O152" s="85"/>
      <c r="P152" s="85"/>
      <c r="Q152" s="85"/>
      <c r="S152" s="5" t="s">
        <v>252</v>
      </c>
    </row>
    <row r="153" spans="2:19">
      <c r="S153" s="7"/>
    </row>
    <row r="154" spans="2:19">
      <c r="B154" s="27" t="s">
        <v>111</v>
      </c>
      <c r="S154" s="7"/>
    </row>
    <row r="155" spans="2:19">
      <c r="B155" s="5" t="s">
        <v>98</v>
      </c>
      <c r="F155" s="5" t="s">
        <v>164</v>
      </c>
      <c r="J155" s="91">
        <f>SUM(L155:Q155)</f>
        <v>0</v>
      </c>
      <c r="L155" s="85"/>
      <c r="M155" s="85"/>
      <c r="N155" s="85"/>
      <c r="O155" s="85"/>
      <c r="P155" s="85"/>
      <c r="Q155" s="85"/>
      <c r="S155" s="5" t="s">
        <v>252</v>
      </c>
    </row>
    <row r="156" spans="2:19">
      <c r="B156" s="5" t="s">
        <v>109</v>
      </c>
      <c r="F156" s="5" t="s">
        <v>164</v>
      </c>
      <c r="J156" s="91">
        <f t="shared" ref="J156:J158" si="22">SUM(L156:Q156)</f>
        <v>0</v>
      </c>
      <c r="L156" s="85"/>
      <c r="M156" s="85"/>
      <c r="N156" s="85"/>
      <c r="O156" s="85"/>
      <c r="P156" s="85"/>
      <c r="Q156" s="85"/>
      <c r="S156" s="5" t="s">
        <v>252</v>
      </c>
    </row>
    <row r="157" spans="2:19">
      <c r="B157" s="5" t="s">
        <v>100</v>
      </c>
      <c r="F157" s="5" t="s">
        <v>164</v>
      </c>
      <c r="J157" s="91">
        <f t="shared" si="22"/>
        <v>0</v>
      </c>
      <c r="L157" s="85"/>
      <c r="M157" s="85"/>
      <c r="N157" s="85"/>
      <c r="O157" s="85"/>
      <c r="P157" s="85"/>
      <c r="Q157" s="85"/>
      <c r="S157" s="5" t="s">
        <v>252</v>
      </c>
    </row>
    <row r="158" spans="2:19">
      <c r="B158" s="5" t="s">
        <v>110</v>
      </c>
      <c r="F158" s="5" t="s">
        <v>164</v>
      </c>
      <c r="J158" s="91">
        <f t="shared" si="22"/>
        <v>0</v>
      </c>
      <c r="L158" s="85"/>
      <c r="M158" s="85"/>
      <c r="N158" s="85"/>
      <c r="O158" s="85"/>
      <c r="P158" s="85"/>
      <c r="Q158" s="85"/>
      <c r="S158" s="5" t="s">
        <v>252</v>
      </c>
    </row>
    <row r="159" spans="2:19">
      <c r="S159" s="7"/>
    </row>
    <row r="160" spans="2:19" s="96" customFormat="1">
      <c r="B160" s="96" t="s">
        <v>156</v>
      </c>
      <c r="J160" s="96" t="s">
        <v>95</v>
      </c>
    </row>
    <row r="161" spans="2:21" s="52" customFormat="1"/>
    <row r="162" spans="2:21" s="52" customFormat="1">
      <c r="B162" s="55" t="s">
        <v>96</v>
      </c>
      <c r="N162" s="76"/>
      <c r="U162"/>
    </row>
    <row r="163" spans="2:21" s="52" customFormat="1">
      <c r="B163" s="56"/>
      <c r="J163" s="54"/>
      <c r="K163" s="54"/>
    </row>
    <row r="164" spans="2:21" s="52" customFormat="1">
      <c r="B164" s="57" t="s">
        <v>97</v>
      </c>
      <c r="J164" s="54"/>
      <c r="K164" s="54"/>
    </row>
    <row r="165" spans="2:21" s="52" customFormat="1">
      <c r="B165" s="52" t="s">
        <v>98</v>
      </c>
      <c r="F165" s="109" t="s">
        <v>241</v>
      </c>
      <c r="J165" s="54"/>
      <c r="K165" s="54"/>
      <c r="L165" s="98"/>
      <c r="M165" s="98"/>
      <c r="N165" s="98">
        <v>2760</v>
      </c>
      <c r="O165" s="98"/>
      <c r="P165" s="98"/>
      <c r="Q165" s="98"/>
      <c r="S165" s="52" t="s">
        <v>216</v>
      </c>
    </row>
    <row r="166" spans="2:21" s="52" customFormat="1">
      <c r="B166" s="52" t="s">
        <v>99</v>
      </c>
      <c r="F166" s="109" t="s">
        <v>242</v>
      </c>
      <c r="J166" s="54"/>
      <c r="K166" s="54"/>
      <c r="L166" s="98"/>
      <c r="M166" s="98"/>
      <c r="N166" s="98">
        <v>12</v>
      </c>
      <c r="O166" s="98"/>
      <c r="P166" s="98"/>
      <c r="Q166" s="98"/>
      <c r="S166" s="52" t="s">
        <v>217</v>
      </c>
    </row>
    <row r="167" spans="2:21" s="52" customFormat="1">
      <c r="B167" s="52" t="s">
        <v>100</v>
      </c>
      <c r="F167" s="109" t="s">
        <v>243</v>
      </c>
      <c r="J167" s="54"/>
      <c r="K167" s="54"/>
      <c r="L167" s="98"/>
      <c r="M167" s="98"/>
      <c r="N167" s="98">
        <v>1.24</v>
      </c>
      <c r="O167" s="98"/>
      <c r="P167" s="98"/>
      <c r="Q167" s="98"/>
      <c r="S167" s="52" t="s">
        <v>218</v>
      </c>
    </row>
    <row r="168" spans="2:21" s="52" customFormat="1">
      <c r="F168" s="110"/>
      <c r="J168" s="54"/>
      <c r="K168" s="54"/>
      <c r="L168" s="75"/>
      <c r="M168" s="75"/>
      <c r="N168" s="75"/>
      <c r="O168" s="75"/>
      <c r="P168" s="75"/>
      <c r="Q168" s="75"/>
    </row>
    <row r="169" spans="2:21" s="52" customFormat="1">
      <c r="B169" s="56" t="s">
        <v>101</v>
      </c>
      <c r="F169" s="110"/>
      <c r="J169" s="54"/>
      <c r="K169" s="54"/>
      <c r="L169" s="75"/>
      <c r="M169" s="75"/>
      <c r="N169" s="75"/>
      <c r="O169" s="75"/>
      <c r="P169" s="75"/>
      <c r="Q169" s="75"/>
    </row>
    <row r="170" spans="2:21" s="52" customFormat="1">
      <c r="B170" s="52" t="s">
        <v>98</v>
      </c>
      <c r="F170" s="109" t="s">
        <v>241</v>
      </c>
      <c r="J170" s="54"/>
      <c r="K170" s="54"/>
      <c r="L170" s="98"/>
      <c r="M170" s="98"/>
      <c r="N170" s="98">
        <v>2760</v>
      </c>
      <c r="O170" s="98"/>
      <c r="P170" s="98"/>
      <c r="Q170" s="98"/>
      <c r="S170" s="52" t="s">
        <v>219</v>
      </c>
    </row>
    <row r="171" spans="2:21" s="52" customFormat="1">
      <c r="B171" s="52" t="s">
        <v>99</v>
      </c>
      <c r="F171" s="109" t="s">
        <v>242</v>
      </c>
      <c r="J171" s="54"/>
      <c r="K171" s="54"/>
      <c r="L171" s="98"/>
      <c r="M171" s="98"/>
      <c r="N171" s="98">
        <v>6</v>
      </c>
      <c r="O171" s="98"/>
      <c r="P171" s="98"/>
      <c r="Q171" s="98"/>
      <c r="S171" s="52" t="s">
        <v>220</v>
      </c>
    </row>
    <row r="172" spans="2:21" s="52" customFormat="1">
      <c r="B172" s="52" t="s">
        <v>102</v>
      </c>
      <c r="F172" s="109" t="s">
        <v>244</v>
      </c>
      <c r="J172" s="54"/>
      <c r="K172" s="54"/>
      <c r="L172" s="98"/>
      <c r="M172" s="98"/>
      <c r="N172" s="98">
        <v>0.42920000000000003</v>
      </c>
      <c r="O172" s="98"/>
      <c r="P172" s="98"/>
      <c r="Q172" s="98"/>
      <c r="S172" s="52" t="s">
        <v>221</v>
      </c>
    </row>
    <row r="173" spans="2:21" s="52" customFormat="1">
      <c r="F173" s="110"/>
      <c r="J173" s="54"/>
      <c r="K173" s="54"/>
      <c r="L173" s="75"/>
      <c r="M173" s="75"/>
      <c r="N173" s="75"/>
      <c r="O173" s="75"/>
      <c r="P173" s="75"/>
      <c r="Q173" s="75"/>
    </row>
    <row r="174" spans="2:21" s="52" customFormat="1">
      <c r="B174" s="56" t="s">
        <v>103</v>
      </c>
      <c r="F174" s="110"/>
      <c r="J174" s="54"/>
      <c r="K174" s="54"/>
      <c r="L174" s="75"/>
      <c r="M174" s="75"/>
      <c r="N174" s="75"/>
      <c r="O174" s="75"/>
      <c r="P174" s="75"/>
      <c r="Q174" s="75"/>
    </row>
    <row r="175" spans="2:21" s="52" customFormat="1">
      <c r="B175" s="52" t="s">
        <v>98</v>
      </c>
      <c r="F175" s="109" t="s">
        <v>241</v>
      </c>
      <c r="J175" s="54"/>
      <c r="K175" s="54"/>
      <c r="L175" s="98"/>
      <c r="M175" s="98">
        <v>2760</v>
      </c>
      <c r="N175" s="98">
        <v>2760</v>
      </c>
      <c r="O175" s="98"/>
      <c r="P175" s="98">
        <v>2760</v>
      </c>
      <c r="Q175" s="98"/>
      <c r="S175" s="52" t="s">
        <v>222</v>
      </c>
    </row>
    <row r="176" spans="2:21" s="52" customFormat="1">
      <c r="B176" s="52" t="s">
        <v>99</v>
      </c>
      <c r="F176" s="109" t="s">
        <v>242</v>
      </c>
      <c r="J176" s="54"/>
      <c r="K176" s="54"/>
      <c r="L176" s="98"/>
      <c r="M176" s="98">
        <v>14.43</v>
      </c>
      <c r="N176" s="98">
        <v>23.16</v>
      </c>
      <c r="O176" s="98"/>
      <c r="P176" s="98">
        <v>23.245200000000001</v>
      </c>
      <c r="Q176" s="98"/>
      <c r="S176" s="52" t="s">
        <v>223</v>
      </c>
    </row>
    <row r="177" spans="2:19" s="52" customFormat="1">
      <c r="B177" s="52" t="s">
        <v>100</v>
      </c>
      <c r="F177" s="109" t="s">
        <v>243</v>
      </c>
      <c r="J177" s="54"/>
      <c r="K177" s="54"/>
      <c r="L177" s="98"/>
      <c r="M177" s="98">
        <v>1.75</v>
      </c>
      <c r="N177" s="98">
        <v>2.5</v>
      </c>
      <c r="O177" s="98"/>
      <c r="P177" s="98">
        <v>2.6440000000000001</v>
      </c>
      <c r="Q177" s="98"/>
      <c r="S177" s="52" t="s">
        <v>224</v>
      </c>
    </row>
    <row r="178" spans="2:19" s="52" customFormat="1">
      <c r="F178" s="110"/>
      <c r="J178" s="54"/>
      <c r="K178" s="54"/>
      <c r="L178" s="75"/>
      <c r="M178" s="75"/>
      <c r="N178" s="75"/>
      <c r="O178" s="75"/>
      <c r="P178" s="75"/>
      <c r="Q178" s="75"/>
    </row>
    <row r="179" spans="2:19" s="52" customFormat="1">
      <c r="B179" s="56" t="s">
        <v>104</v>
      </c>
      <c r="F179" s="110"/>
      <c r="J179" s="54"/>
      <c r="K179" s="54"/>
      <c r="L179" s="75"/>
      <c r="M179" s="75"/>
      <c r="N179" s="75"/>
      <c r="O179" s="75"/>
      <c r="P179" s="75"/>
      <c r="Q179" s="75"/>
    </row>
    <row r="180" spans="2:19" s="52" customFormat="1">
      <c r="B180" s="52" t="s">
        <v>98</v>
      </c>
      <c r="F180" s="109" t="s">
        <v>241</v>
      </c>
      <c r="J180" s="54"/>
      <c r="K180" s="54"/>
      <c r="L180" s="98"/>
      <c r="M180" s="98">
        <v>2760</v>
      </c>
      <c r="N180" s="98">
        <v>2760</v>
      </c>
      <c r="O180" s="98"/>
      <c r="P180" s="98">
        <v>2760</v>
      </c>
      <c r="Q180" s="98"/>
      <c r="S180" s="52" t="s">
        <v>225</v>
      </c>
    </row>
    <row r="181" spans="2:19" s="52" customFormat="1">
      <c r="B181" s="52" t="s">
        <v>99</v>
      </c>
      <c r="F181" s="109" t="s">
        <v>242</v>
      </c>
      <c r="J181" s="54"/>
      <c r="K181" s="54"/>
      <c r="L181" s="98"/>
      <c r="M181" s="98">
        <v>7.22</v>
      </c>
      <c r="N181" s="98">
        <v>11.58</v>
      </c>
      <c r="O181" s="98"/>
      <c r="P181" s="98">
        <v>11.6226</v>
      </c>
      <c r="Q181" s="98"/>
      <c r="S181" s="52" t="s">
        <v>226</v>
      </c>
    </row>
    <row r="182" spans="2:19" s="52" customFormat="1">
      <c r="B182" s="52" t="s">
        <v>102</v>
      </c>
      <c r="F182" s="109" t="s">
        <v>244</v>
      </c>
      <c r="J182" s="54"/>
      <c r="K182" s="54"/>
      <c r="L182" s="98"/>
      <c r="M182" s="98">
        <v>0.61</v>
      </c>
      <c r="N182" s="98">
        <v>0.86529999999999996</v>
      </c>
      <c r="O182" s="98"/>
      <c r="P182" s="98">
        <v>0.91520000000000001</v>
      </c>
      <c r="Q182" s="98"/>
      <c r="S182" s="52" t="s">
        <v>227</v>
      </c>
    </row>
    <row r="183" spans="2:19" s="52" customFormat="1">
      <c r="F183" s="110"/>
      <c r="J183" s="54"/>
      <c r="K183" s="54"/>
      <c r="L183" s="75"/>
      <c r="M183" s="75"/>
      <c r="N183" s="75"/>
      <c r="O183" s="75"/>
      <c r="P183" s="75"/>
      <c r="Q183" s="75"/>
    </row>
    <row r="184" spans="2:19" s="52" customFormat="1">
      <c r="B184" s="56" t="s">
        <v>105</v>
      </c>
      <c r="F184" s="110"/>
      <c r="J184" s="54"/>
      <c r="K184" s="54"/>
      <c r="L184" s="75"/>
      <c r="M184" s="75"/>
      <c r="N184" s="75"/>
      <c r="O184" s="75"/>
      <c r="P184" s="75"/>
      <c r="Q184" s="75"/>
    </row>
    <row r="185" spans="2:19" s="52" customFormat="1">
      <c r="B185" s="52" t="s">
        <v>98</v>
      </c>
      <c r="F185" s="109" t="s">
        <v>241</v>
      </c>
      <c r="J185" s="54"/>
      <c r="K185" s="54"/>
      <c r="L185" s="98"/>
      <c r="M185" s="98">
        <v>2760</v>
      </c>
      <c r="N185" s="98">
        <v>2760</v>
      </c>
      <c r="O185" s="98"/>
      <c r="P185" s="98">
        <v>2760.0000000000005</v>
      </c>
      <c r="Q185" s="98">
        <v>2760</v>
      </c>
      <c r="S185" s="52" t="s">
        <v>228</v>
      </c>
    </row>
    <row r="186" spans="2:19" s="52" customFormat="1">
      <c r="B186" s="52" t="s">
        <v>99</v>
      </c>
      <c r="F186" s="109" t="s">
        <v>242</v>
      </c>
      <c r="J186" s="54"/>
      <c r="K186" s="54"/>
      <c r="L186" s="98"/>
      <c r="M186" s="98">
        <v>20.12</v>
      </c>
      <c r="N186" s="98">
        <v>23.28</v>
      </c>
      <c r="O186" s="98"/>
      <c r="P186" s="98">
        <v>24.0608</v>
      </c>
      <c r="Q186" s="98">
        <v>21.669600000000003</v>
      </c>
      <c r="S186" s="52" t="s">
        <v>229</v>
      </c>
    </row>
    <row r="187" spans="2:19" s="52" customFormat="1">
      <c r="B187" s="52" t="s">
        <v>100</v>
      </c>
      <c r="F187" s="109" t="s">
        <v>243</v>
      </c>
      <c r="J187" s="54"/>
      <c r="K187" s="54"/>
      <c r="L187" s="98"/>
      <c r="M187" s="98">
        <v>2.06</v>
      </c>
      <c r="N187" s="98">
        <v>2.7</v>
      </c>
      <c r="O187" s="98"/>
      <c r="P187" s="98">
        <v>2.6747000000000001</v>
      </c>
      <c r="Q187" s="98">
        <v>2.35</v>
      </c>
      <c r="S187" s="52" t="s">
        <v>230</v>
      </c>
    </row>
    <row r="188" spans="2:19" s="52" customFormat="1">
      <c r="F188" s="110"/>
      <c r="J188" s="54"/>
      <c r="K188" s="54"/>
      <c r="L188" s="75"/>
      <c r="M188" s="75"/>
      <c r="N188" s="75"/>
      <c r="O188" s="75"/>
      <c r="P188" s="75"/>
      <c r="Q188" s="75"/>
    </row>
    <row r="189" spans="2:19" s="52" customFormat="1">
      <c r="B189" s="56" t="s">
        <v>106</v>
      </c>
      <c r="F189" s="110"/>
      <c r="J189" s="54"/>
      <c r="K189" s="54"/>
      <c r="L189" s="75"/>
      <c r="M189" s="75"/>
      <c r="N189" s="75"/>
      <c r="O189" s="75"/>
      <c r="P189" s="75"/>
      <c r="Q189" s="75"/>
    </row>
    <row r="190" spans="2:19" s="52" customFormat="1">
      <c r="B190" s="52" t="s">
        <v>98</v>
      </c>
      <c r="F190" s="109" t="s">
        <v>241</v>
      </c>
      <c r="J190" s="54"/>
      <c r="K190" s="54"/>
      <c r="L190" s="98"/>
      <c r="M190" s="98">
        <v>2760</v>
      </c>
      <c r="N190" s="98">
        <v>2760</v>
      </c>
      <c r="O190" s="98"/>
      <c r="P190" s="98">
        <v>2760</v>
      </c>
      <c r="Q190" s="98"/>
      <c r="S190" s="52" t="s">
        <v>231</v>
      </c>
    </row>
    <row r="191" spans="2:19" s="52" customFormat="1">
      <c r="B191" s="52" t="s">
        <v>99</v>
      </c>
      <c r="F191" s="109" t="s">
        <v>242</v>
      </c>
      <c r="J191" s="54"/>
      <c r="K191" s="54"/>
      <c r="L191" s="98"/>
      <c r="M191" s="98">
        <v>10.06</v>
      </c>
      <c r="N191" s="98">
        <v>11.64</v>
      </c>
      <c r="O191" s="98"/>
      <c r="P191" s="98">
        <v>12.0304</v>
      </c>
      <c r="Q191" s="98"/>
      <c r="S191" s="52" t="s">
        <v>232</v>
      </c>
    </row>
    <row r="192" spans="2:19" s="52" customFormat="1">
      <c r="B192" s="52" t="s">
        <v>102</v>
      </c>
      <c r="F192" s="109" t="s">
        <v>244</v>
      </c>
      <c r="J192" s="54"/>
      <c r="K192" s="54"/>
      <c r="L192" s="98"/>
      <c r="M192" s="98">
        <v>0.71</v>
      </c>
      <c r="N192" s="98">
        <v>0.93459999999999999</v>
      </c>
      <c r="O192" s="98"/>
      <c r="P192" s="98">
        <v>0.92589999999999995</v>
      </c>
      <c r="Q192" s="98"/>
      <c r="S192" s="52" t="s">
        <v>233</v>
      </c>
    </row>
    <row r="193" spans="2:19" s="52" customFormat="1">
      <c r="J193" s="54"/>
      <c r="K193" s="54"/>
      <c r="L193" s="59"/>
      <c r="M193" s="59"/>
      <c r="N193" s="59"/>
      <c r="O193" s="59"/>
      <c r="P193" s="59"/>
      <c r="Q193" s="59"/>
    </row>
    <row r="194" spans="2:19" s="52" customFormat="1">
      <c r="J194" s="54"/>
      <c r="K194" s="54"/>
      <c r="L194" s="59"/>
      <c r="M194" s="59"/>
      <c r="N194" s="59"/>
      <c r="O194" s="59"/>
      <c r="P194" s="59"/>
      <c r="Q194" s="59"/>
    </row>
    <row r="195" spans="2:19" s="52" customFormat="1">
      <c r="B195" s="55" t="s">
        <v>107</v>
      </c>
      <c r="J195" s="54"/>
      <c r="K195" s="54"/>
      <c r="L195" s="59"/>
      <c r="M195" s="59"/>
      <c r="N195" s="59"/>
      <c r="O195" s="59"/>
      <c r="P195" s="59"/>
      <c r="Q195" s="59"/>
    </row>
    <row r="196" spans="2:19" s="52" customFormat="1">
      <c r="J196" s="54"/>
      <c r="K196" s="54"/>
      <c r="L196" s="59"/>
      <c r="M196" s="59"/>
      <c r="N196" s="59"/>
      <c r="O196" s="59"/>
      <c r="P196" s="59"/>
      <c r="Q196" s="59"/>
    </row>
    <row r="197" spans="2:19" s="52" customFormat="1">
      <c r="B197" s="56" t="s">
        <v>108</v>
      </c>
      <c r="J197" s="54"/>
      <c r="K197" s="54"/>
      <c r="L197" s="59"/>
      <c r="M197" s="59"/>
      <c r="N197" s="59"/>
      <c r="O197" s="59"/>
      <c r="P197" s="59"/>
      <c r="Q197" s="59"/>
    </row>
    <row r="198" spans="2:19" s="52" customFormat="1">
      <c r="B198" s="52" t="s">
        <v>98</v>
      </c>
      <c r="F198" s="109" t="s">
        <v>241</v>
      </c>
      <c r="I198" s="59"/>
      <c r="J198" s="54"/>
      <c r="K198" s="54"/>
      <c r="L198" s="98"/>
      <c r="M198" s="98">
        <v>441</v>
      </c>
      <c r="N198" s="98"/>
      <c r="O198" s="98">
        <v>441</v>
      </c>
      <c r="P198" s="98"/>
      <c r="Q198" s="98"/>
    </row>
    <row r="199" spans="2:19" s="52" customFormat="1">
      <c r="B199" s="52" t="s">
        <v>109</v>
      </c>
      <c r="F199" s="109" t="s">
        <v>242</v>
      </c>
      <c r="I199" s="59"/>
      <c r="J199" s="54"/>
      <c r="K199" s="54"/>
      <c r="L199" s="98"/>
      <c r="M199" s="98">
        <v>13.03</v>
      </c>
      <c r="N199" s="98"/>
      <c r="O199" s="98">
        <v>10.199999999999999</v>
      </c>
      <c r="P199" s="98"/>
      <c r="Q199" s="98"/>
    </row>
    <row r="200" spans="2:19" s="52" customFormat="1">
      <c r="B200" s="52" t="s">
        <v>100</v>
      </c>
      <c r="F200" s="109" t="s">
        <v>243</v>
      </c>
      <c r="I200" s="59"/>
      <c r="J200" s="54"/>
      <c r="K200" s="54"/>
      <c r="L200" s="98"/>
      <c r="M200" s="98">
        <v>1.4</v>
      </c>
      <c r="N200" s="98"/>
      <c r="O200" s="98">
        <v>1.04</v>
      </c>
      <c r="P200" s="98"/>
      <c r="Q200" s="98"/>
    </row>
    <row r="201" spans="2:19" s="52" customFormat="1">
      <c r="B201" s="52" t="s">
        <v>110</v>
      </c>
      <c r="F201" s="109" t="s">
        <v>245</v>
      </c>
      <c r="I201" s="59"/>
      <c r="J201" s="54"/>
      <c r="K201" s="54"/>
      <c r="L201" s="98"/>
      <c r="M201" s="98">
        <v>6.8999999999999999E-3</v>
      </c>
      <c r="N201" s="98"/>
      <c r="O201" s="98">
        <v>6.4000000000000003E-3</v>
      </c>
      <c r="P201" s="98"/>
      <c r="Q201" s="98"/>
    </row>
    <row r="202" spans="2:19" s="52" customFormat="1">
      <c r="I202" s="59"/>
      <c r="J202" s="54"/>
      <c r="K202" s="54"/>
      <c r="L202" s="75"/>
      <c r="M202" s="75"/>
      <c r="N202" s="75"/>
      <c r="O202" s="75"/>
      <c r="P202" s="75"/>
      <c r="Q202" s="75"/>
    </row>
    <row r="203" spans="2:19" s="52" customFormat="1">
      <c r="B203" s="56" t="s">
        <v>80</v>
      </c>
      <c r="I203" s="59"/>
      <c r="J203" s="54"/>
      <c r="K203" s="54"/>
      <c r="L203" s="75"/>
      <c r="M203" s="75"/>
      <c r="N203" s="75"/>
      <c r="O203" s="75"/>
      <c r="P203" s="75"/>
      <c r="Q203" s="75"/>
    </row>
    <row r="204" spans="2:19" s="52" customFormat="1">
      <c r="B204" s="52" t="s">
        <v>98</v>
      </c>
      <c r="F204" s="109" t="s">
        <v>241</v>
      </c>
      <c r="I204" s="59"/>
      <c r="J204" s="54"/>
      <c r="K204" s="54"/>
      <c r="L204" s="98">
        <v>441</v>
      </c>
      <c r="M204" s="98">
        <v>441</v>
      </c>
      <c r="N204" s="98">
        <v>441</v>
      </c>
      <c r="O204" s="98">
        <v>441</v>
      </c>
      <c r="P204" s="98">
        <v>441.00000000000006</v>
      </c>
      <c r="Q204" s="98">
        <v>441</v>
      </c>
      <c r="S204" s="52" t="s">
        <v>234</v>
      </c>
    </row>
    <row r="205" spans="2:19" s="52" customFormat="1">
      <c r="B205" s="52" t="s">
        <v>109</v>
      </c>
      <c r="F205" s="109" t="s">
        <v>242</v>
      </c>
      <c r="I205" s="59"/>
      <c r="J205" s="54"/>
      <c r="K205" s="54"/>
      <c r="L205" s="98">
        <v>10.771000000000001</v>
      </c>
      <c r="M205" s="98">
        <v>14.3</v>
      </c>
      <c r="N205" s="98">
        <v>14.52</v>
      </c>
      <c r="O205" s="98">
        <v>14.65</v>
      </c>
      <c r="P205" s="98">
        <v>12.715400000000001</v>
      </c>
      <c r="Q205" s="98">
        <v>15.123100000000001</v>
      </c>
      <c r="S205" s="52" t="s">
        <v>235</v>
      </c>
    </row>
    <row r="206" spans="2:19" s="52" customFormat="1">
      <c r="B206" s="52" t="s">
        <v>100</v>
      </c>
      <c r="F206" s="109" t="s">
        <v>243</v>
      </c>
      <c r="I206" s="59"/>
      <c r="J206" s="54"/>
      <c r="K206" s="54"/>
      <c r="L206" s="98">
        <v>1.3317000000000001</v>
      </c>
      <c r="M206" s="98">
        <v>1.7</v>
      </c>
      <c r="N206" s="98">
        <v>1.73</v>
      </c>
      <c r="O206" s="98">
        <v>1.55</v>
      </c>
      <c r="P206" s="98">
        <v>1.5966</v>
      </c>
      <c r="Q206" s="98">
        <v>1.8101</v>
      </c>
      <c r="S206" s="52" t="s">
        <v>236</v>
      </c>
    </row>
    <row r="207" spans="2:19" s="52" customFormat="1">
      <c r="B207" s="52" t="s">
        <v>110</v>
      </c>
      <c r="F207" s="109" t="s">
        <v>245</v>
      </c>
      <c r="I207" s="59"/>
      <c r="J207" s="54"/>
      <c r="K207" s="54"/>
      <c r="L207" s="98">
        <v>7.3000000000000001E-3</v>
      </c>
      <c r="M207" s="98">
        <v>1.11E-2</v>
      </c>
      <c r="N207" s="98">
        <v>1.0699999999999999E-2</v>
      </c>
      <c r="O207" s="98">
        <v>7.3000000000000001E-3</v>
      </c>
      <c r="P207" s="98">
        <v>9.7000000000000003E-3</v>
      </c>
      <c r="Q207" s="98">
        <v>1.2E-2</v>
      </c>
      <c r="S207" s="52" t="s">
        <v>237</v>
      </c>
    </row>
    <row r="208" spans="2:19" s="52" customFormat="1">
      <c r="I208" s="59"/>
      <c r="J208" s="54"/>
      <c r="K208" s="54"/>
      <c r="L208" s="75"/>
      <c r="M208" s="75"/>
      <c r="N208" s="75"/>
      <c r="O208" s="75"/>
      <c r="P208" s="75"/>
      <c r="Q208" s="75"/>
    </row>
    <row r="209" spans="2:19" s="52" customFormat="1">
      <c r="B209" s="56" t="s">
        <v>111</v>
      </c>
      <c r="I209" s="59"/>
      <c r="J209" s="54"/>
      <c r="K209" s="54"/>
      <c r="L209" s="75"/>
      <c r="M209" s="75"/>
      <c r="N209" s="75"/>
      <c r="O209" s="75"/>
      <c r="P209" s="75"/>
      <c r="Q209" s="75"/>
    </row>
    <row r="210" spans="2:19" s="52" customFormat="1">
      <c r="B210" s="52" t="s">
        <v>98</v>
      </c>
      <c r="F210" s="109" t="s">
        <v>241</v>
      </c>
      <c r="I210" s="59"/>
      <c r="J210" s="54"/>
      <c r="K210" s="54"/>
      <c r="L210" s="98">
        <v>441</v>
      </c>
      <c r="M210" s="98">
        <v>441</v>
      </c>
      <c r="N210" s="98">
        <v>441</v>
      </c>
      <c r="O210" s="98">
        <v>441</v>
      </c>
      <c r="P210" s="98">
        <v>441</v>
      </c>
      <c r="Q210" s="98">
        <v>441</v>
      </c>
      <c r="S210" s="52" t="s">
        <v>199</v>
      </c>
    </row>
    <row r="211" spans="2:19" s="52" customFormat="1">
      <c r="B211" s="52" t="s">
        <v>109</v>
      </c>
      <c r="F211" s="109" t="s">
        <v>242</v>
      </c>
      <c r="I211" s="59"/>
      <c r="J211" s="54"/>
      <c r="K211" s="54"/>
      <c r="L211" s="98">
        <v>13.2255</v>
      </c>
      <c r="M211" s="98">
        <v>24.23</v>
      </c>
      <c r="N211" s="98">
        <v>23.04</v>
      </c>
      <c r="O211" s="98">
        <v>18.100000000000001</v>
      </c>
      <c r="P211" s="98">
        <v>25.040800000000001</v>
      </c>
      <c r="Q211" s="98">
        <v>29.435499999999998</v>
      </c>
      <c r="S211" s="52" t="s">
        <v>200</v>
      </c>
    </row>
    <row r="212" spans="2:19" s="52" customFormat="1">
      <c r="B212" s="52" t="s">
        <v>100</v>
      </c>
      <c r="F212" s="109" t="s">
        <v>243</v>
      </c>
      <c r="I212" s="59"/>
      <c r="J212" s="54"/>
      <c r="K212" s="54"/>
      <c r="L212" s="98">
        <v>1.3317000000000001</v>
      </c>
      <c r="M212" s="98">
        <v>1.7</v>
      </c>
      <c r="N212" s="98">
        <v>1.73</v>
      </c>
      <c r="O212" s="98">
        <v>1.55</v>
      </c>
      <c r="P212" s="98">
        <v>1.5966</v>
      </c>
      <c r="Q212" s="98">
        <v>1.8101</v>
      </c>
      <c r="S212" s="52" t="s">
        <v>201</v>
      </c>
    </row>
    <row r="213" spans="2:19" s="52" customFormat="1">
      <c r="B213" s="52" t="s">
        <v>110</v>
      </c>
      <c r="F213" s="109" t="s">
        <v>245</v>
      </c>
      <c r="I213" s="59"/>
      <c r="J213" s="54"/>
      <c r="K213" s="54"/>
      <c r="L213" s="98">
        <v>7.3000000000000001E-3</v>
      </c>
      <c r="M213" s="98">
        <v>1.11E-2</v>
      </c>
      <c r="N213" s="98">
        <v>1.0699999999999999E-2</v>
      </c>
      <c r="O213" s="98">
        <v>7.3000000000000001E-3</v>
      </c>
      <c r="P213" s="98">
        <v>9.7000000000000003E-3</v>
      </c>
      <c r="Q213" s="98">
        <v>1.2E-2</v>
      </c>
      <c r="S213" s="52" t="s">
        <v>202</v>
      </c>
    </row>
    <row r="214" spans="2:19" s="52" customFormat="1">
      <c r="I214" s="59"/>
      <c r="J214" s="54"/>
      <c r="K214" s="54"/>
      <c r="L214" s="75"/>
      <c r="M214" s="75"/>
      <c r="N214" s="75"/>
      <c r="O214" s="75"/>
      <c r="P214" s="75"/>
      <c r="Q214" s="75"/>
    </row>
    <row r="215" spans="2:19" s="52" customFormat="1">
      <c r="I215" s="59"/>
      <c r="J215" s="54"/>
      <c r="K215" s="54"/>
      <c r="L215" s="75"/>
      <c r="M215" s="75"/>
      <c r="N215" s="75"/>
      <c r="O215" s="75"/>
      <c r="P215" s="75"/>
      <c r="Q215" s="75"/>
    </row>
    <row r="216" spans="2:19" s="52" customFormat="1">
      <c r="B216" s="55" t="s">
        <v>112</v>
      </c>
      <c r="I216" s="59"/>
      <c r="J216" s="54"/>
      <c r="K216" s="54"/>
      <c r="L216" s="75"/>
      <c r="M216" s="75"/>
      <c r="N216" s="75"/>
      <c r="O216" s="75"/>
      <c r="P216" s="75"/>
      <c r="Q216" s="75"/>
    </row>
    <row r="217" spans="2:19" s="52" customFormat="1">
      <c r="I217" s="59"/>
      <c r="J217" s="54"/>
      <c r="K217" s="54"/>
      <c r="L217" s="75"/>
      <c r="M217" s="75"/>
      <c r="N217" s="75"/>
      <c r="O217" s="75"/>
      <c r="P217" s="75"/>
      <c r="Q217" s="75"/>
    </row>
    <row r="218" spans="2:19" s="52" customFormat="1">
      <c r="B218" s="56" t="s">
        <v>113</v>
      </c>
      <c r="I218" s="59"/>
      <c r="J218" s="54"/>
      <c r="K218" s="54"/>
      <c r="L218" s="75"/>
      <c r="M218" s="75"/>
      <c r="N218" s="75"/>
      <c r="O218" s="75"/>
      <c r="P218" s="75"/>
      <c r="Q218" s="75"/>
    </row>
    <row r="219" spans="2:19" s="52" customFormat="1">
      <c r="B219" s="52" t="s">
        <v>98</v>
      </c>
      <c r="F219" s="109" t="s">
        <v>241</v>
      </c>
      <c r="I219" s="59"/>
      <c r="J219" s="54"/>
      <c r="K219" s="54"/>
      <c r="L219" s="98">
        <v>18</v>
      </c>
      <c r="M219" s="98">
        <v>18</v>
      </c>
      <c r="N219" s="98">
        <v>18</v>
      </c>
      <c r="O219" s="98">
        <v>18</v>
      </c>
      <c r="P219" s="98">
        <v>18</v>
      </c>
      <c r="Q219" s="98">
        <v>18</v>
      </c>
      <c r="S219" s="52" t="s">
        <v>203</v>
      </c>
    </row>
    <row r="220" spans="2:19" s="52" customFormat="1">
      <c r="B220" s="52" t="s">
        <v>109</v>
      </c>
      <c r="F220" s="109" t="s">
        <v>242</v>
      </c>
      <c r="I220" s="59"/>
      <c r="J220" s="54"/>
      <c r="K220" s="54"/>
      <c r="L220" s="98">
        <v>7.6344000000000003</v>
      </c>
      <c r="M220" s="98">
        <v>8.4600000000000009</v>
      </c>
      <c r="N220" s="98">
        <v>8.64</v>
      </c>
      <c r="O220" s="98">
        <v>8.52</v>
      </c>
      <c r="P220" s="98">
        <v>9.3498000000000001</v>
      </c>
      <c r="Q220" s="98">
        <v>10.135200000000001</v>
      </c>
      <c r="S220" s="52" t="s">
        <v>204</v>
      </c>
    </row>
    <row r="221" spans="2:19" s="52" customFormat="1">
      <c r="B221" s="52" t="s">
        <v>114</v>
      </c>
      <c r="F221" s="109" t="s">
        <v>245</v>
      </c>
      <c r="I221" s="59"/>
      <c r="J221" s="54"/>
      <c r="K221" s="54"/>
      <c r="L221" s="98">
        <v>1.34E-2</v>
      </c>
      <c r="M221" s="98">
        <v>1.9400000000000001E-2</v>
      </c>
      <c r="N221" s="98">
        <v>1.9100000000000002E-2</v>
      </c>
      <c r="O221" s="98">
        <v>1.46E-2</v>
      </c>
      <c r="P221" s="98">
        <v>2.35E-2</v>
      </c>
      <c r="Q221" s="98">
        <v>2.1899999999999999E-2</v>
      </c>
      <c r="S221" s="52" t="s">
        <v>205</v>
      </c>
    </row>
    <row r="222" spans="2:19" s="52" customFormat="1">
      <c r="B222" s="52" t="s">
        <v>110</v>
      </c>
      <c r="F222" s="109" t="s">
        <v>245</v>
      </c>
      <c r="I222" s="59"/>
      <c r="J222" s="54"/>
      <c r="K222" s="54"/>
      <c r="L222" s="98">
        <v>3.3799999999999997E-2</v>
      </c>
      <c r="M222" s="98">
        <v>3.7100000000000001E-2</v>
      </c>
      <c r="N222" s="98">
        <v>3.6299999999999999E-2</v>
      </c>
      <c r="O222" s="98">
        <v>2.7400000000000001E-2</v>
      </c>
      <c r="P222" s="98">
        <v>3.8100000000000002E-2</v>
      </c>
      <c r="Q222" s="98">
        <v>4.2299999999999997E-2</v>
      </c>
      <c r="S222" s="52" t="s">
        <v>206</v>
      </c>
    </row>
    <row r="223" spans="2:19" s="52" customFormat="1">
      <c r="F223" s="110"/>
      <c r="I223" s="59"/>
      <c r="J223" s="54"/>
      <c r="K223" s="54"/>
      <c r="L223" s="99"/>
      <c r="M223" s="75"/>
      <c r="N223" s="75"/>
      <c r="O223" s="75"/>
      <c r="P223" s="75"/>
      <c r="Q223" s="75"/>
    </row>
    <row r="224" spans="2:19" s="52" customFormat="1">
      <c r="B224" s="56" t="s">
        <v>115</v>
      </c>
      <c r="F224" s="110"/>
      <c r="I224" s="59"/>
      <c r="J224" s="54"/>
      <c r="K224" s="54"/>
      <c r="L224" s="75"/>
      <c r="M224" s="75"/>
      <c r="N224" s="75"/>
      <c r="O224" s="75"/>
      <c r="P224" s="75"/>
      <c r="Q224" s="75"/>
    </row>
    <row r="225" spans="2:21" s="52" customFormat="1">
      <c r="B225" s="52" t="s">
        <v>116</v>
      </c>
      <c r="F225" s="109" t="s">
        <v>241</v>
      </c>
      <c r="I225" s="59"/>
      <c r="J225" s="54"/>
      <c r="K225" s="54"/>
      <c r="L225" s="98">
        <v>0.54</v>
      </c>
      <c r="M225" s="98">
        <v>0.54</v>
      </c>
      <c r="N225" s="98">
        <v>0.51100000000000001</v>
      </c>
      <c r="O225" s="98">
        <v>0.54</v>
      </c>
      <c r="P225" s="98">
        <v>0.54</v>
      </c>
      <c r="Q225" s="98">
        <v>0.54</v>
      </c>
      <c r="S225" s="52" t="s">
        <v>207</v>
      </c>
    </row>
    <row r="226" spans="2:21" s="52" customFormat="1">
      <c r="B226" s="52" t="s">
        <v>117</v>
      </c>
      <c r="F226" s="109" t="s">
        <v>241</v>
      </c>
      <c r="I226" s="59"/>
      <c r="J226" s="54"/>
      <c r="K226" s="54"/>
      <c r="L226" s="98">
        <v>18</v>
      </c>
      <c r="M226" s="98">
        <v>18</v>
      </c>
      <c r="N226" s="98">
        <v>17.994499999999999</v>
      </c>
      <c r="O226" s="98">
        <v>18</v>
      </c>
      <c r="P226" s="98">
        <v>18.000000000000004</v>
      </c>
      <c r="Q226" s="98">
        <v>18</v>
      </c>
      <c r="S226" s="52" t="s">
        <v>208</v>
      </c>
    </row>
    <row r="227" spans="2:21" s="52" customFormat="1">
      <c r="F227" s="110"/>
      <c r="I227" s="59"/>
      <c r="J227" s="54"/>
      <c r="K227" s="54"/>
      <c r="L227" s="75"/>
      <c r="M227" s="75"/>
      <c r="N227" s="75"/>
      <c r="O227" s="75"/>
      <c r="P227" s="75"/>
      <c r="Q227" s="75"/>
    </row>
    <row r="228" spans="2:21" s="52" customFormat="1">
      <c r="B228" s="56" t="s">
        <v>118</v>
      </c>
      <c r="I228" s="59"/>
      <c r="J228" s="54"/>
      <c r="K228" s="54"/>
      <c r="L228" s="75"/>
      <c r="M228" s="75"/>
      <c r="N228" s="75"/>
      <c r="O228" s="75"/>
      <c r="P228" s="75"/>
      <c r="Q228" s="75"/>
    </row>
    <row r="229" spans="2:21" s="52" customFormat="1">
      <c r="B229" s="52" t="s">
        <v>119</v>
      </c>
      <c r="F229" s="109" t="s">
        <v>241</v>
      </c>
      <c r="I229" s="59"/>
      <c r="J229" s="54"/>
      <c r="K229" s="54"/>
      <c r="L229" s="98">
        <v>1580.7</v>
      </c>
      <c r="M229" s="98">
        <v>1878</v>
      </c>
      <c r="N229" s="98">
        <v>1971</v>
      </c>
      <c r="O229" s="98">
        <v>1372</v>
      </c>
      <c r="P229" s="98">
        <v>1870</v>
      </c>
      <c r="Q229" s="98">
        <v>2246.6</v>
      </c>
      <c r="S229" s="52" t="s">
        <v>209</v>
      </c>
    </row>
    <row r="230" spans="2:21" s="52" customFormat="1">
      <c r="B230" s="52" t="s">
        <v>120</v>
      </c>
      <c r="F230" s="109" t="s">
        <v>241</v>
      </c>
      <c r="I230" s="59"/>
      <c r="J230" s="54"/>
      <c r="K230" s="54"/>
      <c r="L230" s="98">
        <v>1264.56</v>
      </c>
      <c r="M230" s="98">
        <v>1502.4</v>
      </c>
      <c r="N230" s="98">
        <v>1576.8000000000002</v>
      </c>
      <c r="O230" s="98">
        <v>1097.6000000000001</v>
      </c>
      <c r="P230" s="98">
        <v>1496</v>
      </c>
      <c r="Q230" s="98">
        <v>1797.2800000000002</v>
      </c>
      <c r="S230" s="52" t="s">
        <v>210</v>
      </c>
    </row>
    <row r="231" spans="2:21" s="52" customFormat="1">
      <c r="B231" s="52" t="s">
        <v>121</v>
      </c>
      <c r="F231" s="109" t="s">
        <v>241</v>
      </c>
      <c r="I231" s="59"/>
      <c r="J231" s="54"/>
      <c r="K231" s="54"/>
      <c r="L231" s="98">
        <v>948.42000000000007</v>
      </c>
      <c r="M231" s="98">
        <v>1126.8000000000002</v>
      </c>
      <c r="N231" s="98">
        <v>1182.6000000000001</v>
      </c>
      <c r="O231" s="98">
        <v>823.2</v>
      </c>
      <c r="P231" s="98">
        <v>1122</v>
      </c>
      <c r="Q231" s="98">
        <v>1347.96</v>
      </c>
      <c r="S231" s="52" t="s">
        <v>211</v>
      </c>
    </row>
    <row r="232" spans="2:21" s="52" customFormat="1">
      <c r="B232" s="52" t="s">
        <v>122</v>
      </c>
      <c r="F232" s="109" t="s">
        <v>241</v>
      </c>
      <c r="I232" s="59"/>
      <c r="J232" s="54"/>
      <c r="K232" s="54"/>
      <c r="L232" s="98">
        <v>632.28</v>
      </c>
      <c r="M232" s="98">
        <v>751.2</v>
      </c>
      <c r="N232" s="98">
        <v>788.40000000000009</v>
      </c>
      <c r="O232" s="98">
        <v>548.80000000000007</v>
      </c>
      <c r="P232" s="98">
        <v>748</v>
      </c>
      <c r="Q232" s="98">
        <v>898.6400000000001</v>
      </c>
      <c r="S232" s="52" t="s">
        <v>212</v>
      </c>
    </row>
    <row r="233" spans="2:21" s="52" customFormat="1">
      <c r="B233" s="52" t="s">
        <v>147</v>
      </c>
      <c r="F233" s="109" t="s">
        <v>241</v>
      </c>
      <c r="I233" s="59"/>
      <c r="J233" s="54"/>
      <c r="K233" s="54"/>
      <c r="L233" s="98">
        <v>126.456</v>
      </c>
      <c r="M233" s="98">
        <v>150.24</v>
      </c>
      <c r="N233" s="98">
        <v>157.68</v>
      </c>
      <c r="O233" s="98">
        <v>109.76</v>
      </c>
      <c r="P233" s="98">
        <v>149.6</v>
      </c>
      <c r="Q233" s="98">
        <v>179.72800000000001</v>
      </c>
      <c r="S233" s="52" t="s">
        <v>213</v>
      </c>
    </row>
    <row r="234" spans="2:21" s="52" customFormat="1">
      <c r="B234" s="52" t="s">
        <v>148</v>
      </c>
      <c r="F234" s="109" t="s">
        <v>241</v>
      </c>
      <c r="I234" s="59"/>
      <c r="J234" s="54"/>
      <c r="K234" s="54"/>
      <c r="L234" s="98">
        <v>15.807</v>
      </c>
      <c r="M234" s="98">
        <v>18.78</v>
      </c>
      <c r="N234" s="98">
        <v>19.71</v>
      </c>
      <c r="O234" s="98">
        <v>13.72</v>
      </c>
      <c r="P234" s="98">
        <v>18.7</v>
      </c>
      <c r="Q234" s="98">
        <v>22.466000000000001</v>
      </c>
      <c r="S234" s="52" t="s">
        <v>214</v>
      </c>
      <c r="U234" s="52" t="s">
        <v>124</v>
      </c>
    </row>
    <row r="235" spans="2:21" s="52" customFormat="1">
      <c r="B235" s="52" t="s">
        <v>123</v>
      </c>
      <c r="F235" s="109" t="s">
        <v>241</v>
      </c>
      <c r="I235" s="59"/>
      <c r="J235" s="54"/>
      <c r="K235" s="54"/>
      <c r="L235" s="98">
        <v>1.5807000000000002</v>
      </c>
      <c r="M235" s="98">
        <v>1.8780000000000001</v>
      </c>
      <c r="N235" s="98">
        <v>1.9710000000000001</v>
      </c>
      <c r="O235" s="98">
        <v>1.3720000000000001</v>
      </c>
      <c r="P235" s="98">
        <v>1.87</v>
      </c>
      <c r="Q235" s="98">
        <v>2.2466000000000004</v>
      </c>
      <c r="S235" s="52" t="s">
        <v>215</v>
      </c>
    </row>
    <row r="236" spans="2:21" s="52" customFormat="1">
      <c r="B236" s="76"/>
      <c r="I236" s="59"/>
      <c r="J236" s="54"/>
      <c r="K236" s="54"/>
      <c r="L236" s="75"/>
      <c r="M236" s="75"/>
      <c r="N236" s="75"/>
      <c r="O236" s="75"/>
      <c r="P236" s="75"/>
      <c r="Q236" s="75"/>
    </row>
    <row r="237" spans="2:21" s="52" customFormat="1">
      <c r="I237" s="59"/>
      <c r="J237" s="54"/>
      <c r="K237" s="54"/>
      <c r="L237" s="75"/>
      <c r="M237" s="75"/>
      <c r="N237" s="75"/>
      <c r="O237" s="75"/>
      <c r="P237" s="75"/>
      <c r="Q237" s="75"/>
    </row>
    <row r="238" spans="2:21" s="52" customFormat="1">
      <c r="B238" s="55" t="s">
        <v>125</v>
      </c>
      <c r="I238" s="59"/>
      <c r="J238" s="54"/>
      <c r="K238" s="54"/>
      <c r="L238" s="75"/>
      <c r="M238" s="75"/>
      <c r="N238" s="75"/>
      <c r="O238" s="75"/>
      <c r="P238" s="75"/>
      <c r="Q238" s="75"/>
    </row>
    <row r="239" spans="2:21" s="52" customFormat="1">
      <c r="I239" s="59"/>
      <c r="J239" s="54"/>
      <c r="K239" s="54"/>
      <c r="L239" s="75"/>
      <c r="M239" s="75"/>
      <c r="N239" s="75"/>
      <c r="O239" s="75"/>
      <c r="P239" s="75"/>
      <c r="Q239" s="75"/>
    </row>
    <row r="240" spans="2:21" s="52" customFormat="1">
      <c r="B240" s="52" t="s">
        <v>126</v>
      </c>
      <c r="F240" s="109" t="s">
        <v>246</v>
      </c>
      <c r="I240" s="59"/>
      <c r="J240" s="54"/>
      <c r="K240" s="54"/>
      <c r="L240" s="100">
        <v>1.15E-2</v>
      </c>
      <c r="M240" s="100">
        <v>8.8000000000000005E-3</v>
      </c>
      <c r="N240" s="100">
        <v>0</v>
      </c>
      <c r="O240" s="100">
        <v>7.7999999999999996E-3</v>
      </c>
      <c r="P240" s="100">
        <v>8.8000000000000005E-3</v>
      </c>
      <c r="Q240" s="100"/>
      <c r="S240" s="52" t="s">
        <v>238</v>
      </c>
    </row>
    <row r="241" spans="2:21" s="52" customFormat="1">
      <c r="B241" s="52" t="s">
        <v>127</v>
      </c>
      <c r="F241" s="109" t="s">
        <v>246</v>
      </c>
      <c r="I241" s="59"/>
      <c r="J241" s="54"/>
      <c r="K241" s="54"/>
      <c r="L241" s="100">
        <v>1.7100000000000001E-2</v>
      </c>
      <c r="M241" s="100">
        <v>8.8000000000000005E-3</v>
      </c>
      <c r="N241" s="100">
        <v>0</v>
      </c>
      <c r="O241" s="100">
        <v>1.18E-2</v>
      </c>
      <c r="P241" s="100">
        <v>8.8000000000000005E-3</v>
      </c>
      <c r="Q241" s="100"/>
      <c r="S241" s="52" t="s">
        <v>239</v>
      </c>
    </row>
    <row r="242" spans="2:21" s="52" customFormat="1"/>
    <row r="243" spans="2:21" s="96" customFormat="1">
      <c r="B243" s="96" t="s">
        <v>250</v>
      </c>
    </row>
    <row r="244" spans="2:21" s="52" customFormat="1"/>
    <row r="245" spans="2:21" s="52" customFormat="1">
      <c r="B245" s="52" t="s">
        <v>251</v>
      </c>
      <c r="F245" t="s">
        <v>176</v>
      </c>
      <c r="J245" s="54"/>
      <c r="L245" s="32">
        <v>1130680.0708000003</v>
      </c>
      <c r="M245" s="32">
        <v>87556179.404506519</v>
      </c>
      <c r="N245" s="32">
        <v>96973031.748762503</v>
      </c>
      <c r="O245" s="32">
        <v>970545.37210000004</v>
      </c>
      <c r="P245" s="32">
        <v>69351372.333833337</v>
      </c>
      <c r="Q245" s="32">
        <v>2622434.1911530788</v>
      </c>
      <c r="S245" s="5" t="s">
        <v>253</v>
      </c>
    </row>
    <row r="246" spans="2:21" s="52" customFormat="1">
      <c r="J246" s="54"/>
    </row>
    <row r="247" spans="2:21" s="96" customFormat="1">
      <c r="B247" s="96" t="s">
        <v>128</v>
      </c>
    </row>
    <row r="248" spans="2:21" s="52" customFormat="1"/>
    <row r="249" spans="2:21" s="52" customFormat="1">
      <c r="B249" s="53" t="s">
        <v>175</v>
      </c>
      <c r="U249"/>
    </row>
    <row r="250" spans="2:21" s="52" customFormat="1">
      <c r="B250" s="60" t="s">
        <v>157</v>
      </c>
      <c r="C250" s="60"/>
      <c r="D250" s="60"/>
      <c r="F250" t="s">
        <v>176</v>
      </c>
      <c r="J250" s="91">
        <f>SUM(L250:Q250)</f>
        <v>61912801.313816004</v>
      </c>
      <c r="L250" s="32">
        <v>-1589.2174598135769</v>
      </c>
      <c r="M250" s="32">
        <v>740268.87252175051</v>
      </c>
      <c r="N250" s="32">
        <v>39137904.255905978</v>
      </c>
      <c r="O250" s="32">
        <v>-895337.1756867877</v>
      </c>
      <c r="P250" s="32">
        <v>22948383.125507765</v>
      </c>
      <c r="Q250" s="32">
        <v>-16828.546972896329</v>
      </c>
      <c r="S250" s="52" t="s">
        <v>195</v>
      </c>
    </row>
    <row r="251" spans="2:21" s="52" customFormat="1">
      <c r="B251" s="62" t="s">
        <v>158</v>
      </c>
      <c r="C251" s="62"/>
      <c r="D251" s="60"/>
      <c r="F251" t="s">
        <v>176</v>
      </c>
      <c r="J251" s="91">
        <f t="shared" ref="J251:J253" si="23">SUM(L251:Q251)</f>
        <v>145708952.85264385</v>
      </c>
      <c r="L251" s="32">
        <v>-807899.93752657296</v>
      </c>
      <c r="M251" s="32">
        <v>50966553.703541659</v>
      </c>
      <c r="N251" s="32">
        <v>56659158.201894619</v>
      </c>
      <c r="O251" s="32">
        <v>-456290.78644955665</v>
      </c>
      <c r="P251" s="32">
        <v>37918008.271429673</v>
      </c>
      <c r="Q251" s="32">
        <v>1429423.3997540609</v>
      </c>
      <c r="S251" s="52" t="s">
        <v>196</v>
      </c>
    </row>
    <row r="252" spans="2:21" s="52" customFormat="1">
      <c r="B252" s="62" t="s">
        <v>159</v>
      </c>
      <c r="C252" s="62"/>
      <c r="D252" s="60"/>
      <c r="F252" s="52" t="s">
        <v>176</v>
      </c>
      <c r="J252" s="91">
        <f t="shared" si="23"/>
        <v>759859.71928811888</v>
      </c>
      <c r="L252" s="106"/>
      <c r="M252" s="106"/>
      <c r="N252" s="106"/>
      <c r="O252" s="32">
        <v>759859.71928811888</v>
      </c>
      <c r="P252" s="106"/>
      <c r="Q252" s="106"/>
      <c r="S252" s="52" t="s">
        <v>197</v>
      </c>
    </row>
    <row r="253" spans="2:21" s="52" customFormat="1">
      <c r="B253" s="62" t="s">
        <v>249</v>
      </c>
      <c r="C253" s="62"/>
      <c r="D253" s="60"/>
      <c r="F253" s="52" t="s">
        <v>176</v>
      </c>
      <c r="J253" s="91">
        <f t="shared" si="23"/>
        <v>8673185.8538702354</v>
      </c>
      <c r="L253" s="32">
        <v>53497.799303793247</v>
      </c>
      <c r="M253" s="32">
        <v>2923967.2752856151</v>
      </c>
      <c r="N253" s="32">
        <v>3208804.688872966</v>
      </c>
      <c r="O253" s="32">
        <v>32960.369645666557</v>
      </c>
      <c r="P253" s="32">
        <v>2311349.3027581051</v>
      </c>
      <c r="Q253" s="32">
        <v>142606.41800408953</v>
      </c>
      <c r="S253" s="52" t="s">
        <v>198</v>
      </c>
    </row>
  </sheetData>
  <phoneticPr fontId="7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1FFE1"/>
  </sheetPr>
  <dimension ref="A2:S27"/>
  <sheetViews>
    <sheetView showGridLines="0" zoomScale="85" zoomScaleNormal="85" workbookViewId="0">
      <pane xSplit="4" ySplit="9" topLeftCell="E10" activePane="bottomRight" state="frozen"/>
      <selection activeCell="W47" sqref="W47"/>
      <selection pane="topRight" activeCell="W47" sqref="W47"/>
      <selection pane="bottomLeft" activeCell="W47" sqref="W47"/>
      <selection pane="bottomRight" activeCell="E10" sqref="E10"/>
    </sheetView>
  </sheetViews>
  <sheetFormatPr defaultColWidth="9.140625" defaultRowHeight="12.75"/>
  <cols>
    <col min="1" max="1" width="4.7109375" style="5" customWidth="1"/>
    <col min="2" max="2" width="41.42578125" style="5" customWidth="1"/>
    <col min="3" max="3" width="4.5703125" style="5" customWidth="1"/>
    <col min="4" max="4" width="13.7109375" style="5" customWidth="1"/>
    <col min="5" max="5" width="2.7109375" style="5" customWidth="1"/>
    <col min="6" max="6" width="10.28515625" style="5" customWidth="1"/>
    <col min="7" max="7" width="2.7109375" style="5" customWidth="1"/>
    <col min="8" max="8" width="13.7109375" style="5" customWidth="1"/>
    <col min="9" max="9" width="2.7109375" style="5" customWidth="1"/>
    <col min="10" max="11" width="12.5703125" style="5" customWidth="1"/>
    <col min="12" max="13" width="14" style="5" bestFit="1" customWidth="1"/>
    <col min="14" max="14" width="12.5703125" style="5" customWidth="1"/>
    <col min="15" max="15" width="14" style="5" bestFit="1" customWidth="1"/>
    <col min="16" max="16" width="4.42578125" style="5" customWidth="1"/>
    <col min="17" max="17" width="81.42578125" style="5" bestFit="1" customWidth="1"/>
    <col min="18" max="18" width="2.7109375" style="5" customWidth="1"/>
    <col min="19" max="19" width="13.7109375" style="5" customWidth="1"/>
    <col min="20" max="20" width="2.7109375" style="5" customWidth="1"/>
    <col min="21" max="35" width="13.7109375" style="5" customWidth="1"/>
    <col min="36" max="16384" width="9.140625" style="5"/>
  </cols>
  <sheetData>
    <row r="2" spans="1:19" s="20" customFormat="1" ht="18">
      <c r="B2" s="20" t="s">
        <v>180</v>
      </c>
    </row>
    <row r="4" spans="1:19">
      <c r="B4" s="27" t="s">
        <v>28</v>
      </c>
      <c r="J4"/>
    </row>
    <row r="5" spans="1:19">
      <c r="B5" s="5" t="s">
        <v>186</v>
      </c>
      <c r="F5" s="21"/>
    </row>
    <row r="6" spans="1:19">
      <c r="B6" s="5" t="s">
        <v>185</v>
      </c>
      <c r="F6" s="21"/>
    </row>
    <row r="8" spans="1:19" s="11" customFormat="1">
      <c r="B8" s="11" t="s">
        <v>151</v>
      </c>
      <c r="D8" s="11" t="s">
        <v>26</v>
      </c>
      <c r="F8" s="11" t="s">
        <v>27</v>
      </c>
      <c r="H8" s="11" t="s">
        <v>46</v>
      </c>
      <c r="J8" s="11" t="s">
        <v>93</v>
      </c>
      <c r="K8" s="11" t="s">
        <v>70</v>
      </c>
      <c r="L8" s="11" t="s">
        <v>71</v>
      </c>
      <c r="M8" s="11" t="s">
        <v>72</v>
      </c>
      <c r="N8" s="11" t="s">
        <v>73</v>
      </c>
      <c r="O8" s="11" t="s">
        <v>74</v>
      </c>
      <c r="Q8" s="11" t="s">
        <v>44</v>
      </c>
      <c r="S8" s="11" t="s">
        <v>45</v>
      </c>
    </row>
    <row r="11" spans="1:19" s="11" customFormat="1">
      <c r="B11" s="11" t="s">
        <v>152</v>
      </c>
    </row>
    <row r="13" spans="1:19" s="42" customFormat="1">
      <c r="A13" s="5"/>
      <c r="B13" s="43" t="s">
        <v>153</v>
      </c>
      <c r="J13" s="43"/>
    </row>
    <row r="14" spans="1:19" s="42" customFormat="1">
      <c r="A14" s="5"/>
      <c r="B14" s="42" t="s">
        <v>84</v>
      </c>
      <c r="H14" s="38">
        <f>SUM(J14:O14)</f>
        <v>225544722.11651438</v>
      </c>
      <c r="I14" s="44"/>
      <c r="J14" s="32">
        <v>0</v>
      </c>
      <c r="K14" s="32">
        <v>57416603.515116461</v>
      </c>
      <c r="L14" s="32">
        <v>94915521.304004267</v>
      </c>
      <c r="M14" s="32">
        <v>0</v>
      </c>
      <c r="N14" s="32">
        <v>69020912.622160107</v>
      </c>
      <c r="O14" s="32">
        <v>4191684.675233542</v>
      </c>
      <c r="P14" s="81"/>
      <c r="Q14" s="45" t="s">
        <v>271</v>
      </c>
    </row>
    <row r="15" spans="1:19" s="42" customFormat="1">
      <c r="A15" s="5"/>
      <c r="B15" s="42" t="s">
        <v>85</v>
      </c>
      <c r="H15" s="38">
        <f>SUM(J15:O15)</f>
        <v>715017367.45088828</v>
      </c>
      <c r="I15" s="44"/>
      <c r="J15" s="32">
        <v>5445147.5509059774</v>
      </c>
      <c r="K15" s="32">
        <v>272652532.74936777</v>
      </c>
      <c r="L15" s="32">
        <v>248535475.19544894</v>
      </c>
      <c r="M15" s="32">
        <v>3255472.871173434</v>
      </c>
      <c r="N15" s="32">
        <v>161553201.86528635</v>
      </c>
      <c r="O15" s="32">
        <v>23575537.218705785</v>
      </c>
      <c r="P15" s="81"/>
      <c r="Q15" s="45" t="s">
        <v>272</v>
      </c>
    </row>
    <row r="16" spans="1:19" s="42" customFormat="1">
      <c r="A16" s="5"/>
      <c r="B16" s="42" t="s">
        <v>86</v>
      </c>
      <c r="H16" s="38">
        <f>SUM(J16:O16)</f>
        <v>1746566505.2568552</v>
      </c>
      <c r="I16" s="44"/>
      <c r="J16" s="32">
        <v>11753821.142769737</v>
      </c>
      <c r="K16" s="32">
        <v>583925792.19280994</v>
      </c>
      <c r="L16" s="32">
        <v>657845931.15053296</v>
      </c>
      <c r="M16" s="32">
        <v>7105092.5580625758</v>
      </c>
      <c r="N16" s="32">
        <v>472432219.88524222</v>
      </c>
      <c r="O16" s="32">
        <v>13503648.327437881</v>
      </c>
      <c r="P16" s="81"/>
      <c r="Q16" s="45" t="s">
        <v>273</v>
      </c>
    </row>
    <row r="17" spans="1:17" s="42" customFormat="1">
      <c r="A17" s="5"/>
      <c r="B17" s="42" t="s">
        <v>87</v>
      </c>
      <c r="H17" s="38">
        <f>SUM(J17:O17)</f>
        <v>4109475.0959411282</v>
      </c>
      <c r="I17" s="44"/>
      <c r="J17" s="32">
        <v>12447.996642750428</v>
      </c>
      <c r="K17" s="32">
        <v>1288966.3258320219</v>
      </c>
      <c r="L17" s="32">
        <v>1742357.5370440413</v>
      </c>
      <c r="M17" s="32">
        <v>21536.862756854152</v>
      </c>
      <c r="N17" s="32">
        <v>1044166.3736654604</v>
      </c>
      <c r="O17" s="32">
        <v>0</v>
      </c>
      <c r="P17" s="81"/>
      <c r="Q17" s="45" t="s">
        <v>274</v>
      </c>
    </row>
    <row r="18" spans="1:17">
      <c r="Q18" s="45"/>
    </row>
    <row r="19" spans="1:17">
      <c r="B19" s="4" t="s">
        <v>154</v>
      </c>
      <c r="J19" s="4"/>
      <c r="Q19" s="45"/>
    </row>
    <row r="20" spans="1:17">
      <c r="B20" s="5" t="s">
        <v>89</v>
      </c>
      <c r="H20" s="38">
        <f>SUM(J20:O20)</f>
        <v>139418282.18887886</v>
      </c>
      <c r="J20" s="32">
        <v>128432.46385201628</v>
      </c>
      <c r="K20" s="32">
        <v>50228641.843107238</v>
      </c>
      <c r="L20" s="32">
        <v>54103208.876988657</v>
      </c>
      <c r="M20" s="32">
        <v>251222.66569830434</v>
      </c>
      <c r="N20" s="32">
        <v>29239754.129577111</v>
      </c>
      <c r="O20" s="32">
        <v>5467022.2096555252</v>
      </c>
      <c r="P20" s="81"/>
      <c r="Q20" s="45" t="s">
        <v>275</v>
      </c>
    </row>
    <row r="22" spans="1:17">
      <c r="B22" s="4" t="s">
        <v>177</v>
      </c>
    </row>
    <row r="23" spans="1:17">
      <c r="B23" s="42" t="s">
        <v>84</v>
      </c>
      <c r="H23" s="32">
        <v>2760</v>
      </c>
      <c r="Q23" s="45" t="s">
        <v>276</v>
      </c>
    </row>
    <row r="24" spans="1:17">
      <c r="B24" s="42" t="s">
        <v>85</v>
      </c>
      <c r="H24" s="32">
        <v>441</v>
      </c>
      <c r="Q24" s="45" t="s">
        <v>277</v>
      </c>
    </row>
    <row r="25" spans="1:17">
      <c r="B25" s="42" t="s">
        <v>257</v>
      </c>
      <c r="H25" s="32">
        <v>17.999999999999996</v>
      </c>
      <c r="Q25" s="45" t="s">
        <v>278</v>
      </c>
    </row>
    <row r="26" spans="1:17">
      <c r="B26" s="45" t="s">
        <v>256</v>
      </c>
      <c r="H26" s="32">
        <v>0.53176495625269216</v>
      </c>
      <c r="Q26" s="45" t="s">
        <v>279</v>
      </c>
    </row>
    <row r="27" spans="1:17">
      <c r="B27" s="45" t="s">
        <v>255</v>
      </c>
      <c r="H27" s="32">
        <v>17.99791393999709</v>
      </c>
      <c r="Q27" s="45" t="s">
        <v>280</v>
      </c>
    </row>
  </sheetData>
  <phoneticPr fontId="78"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V98"/>
  <sheetViews>
    <sheetView showGridLines="0" zoomScale="85" zoomScaleNormal="85" workbookViewId="0">
      <pane xSplit="6" ySplit="9" topLeftCell="G10" activePane="bottomRight" state="frozen"/>
      <selection activeCell="W47" sqref="W47"/>
      <selection pane="topRight" activeCell="W47" sqref="W47"/>
      <selection pane="bottomLeft" activeCell="W47" sqref="W47"/>
      <selection pane="bottomRight" activeCell="G10" sqref="G10"/>
    </sheetView>
  </sheetViews>
  <sheetFormatPr defaultColWidth="9.140625" defaultRowHeight="12.75"/>
  <cols>
    <col min="1" max="1" width="4.7109375" style="5" customWidth="1"/>
    <col min="2" max="2" width="41.42578125" style="5" customWidth="1"/>
    <col min="3" max="3" width="4.7109375" style="5" customWidth="1"/>
    <col min="4" max="5" width="4.5703125" style="5" customWidth="1"/>
    <col min="6" max="6" width="13.7109375" style="5" customWidth="1"/>
    <col min="7" max="7" width="2.7109375" style="5" customWidth="1"/>
    <col min="8" max="8" width="13.7109375" style="5" customWidth="1"/>
    <col min="9" max="9" width="2.7109375" style="5" customWidth="1"/>
    <col min="10" max="10" width="15" style="5" bestFit="1" customWidth="1"/>
    <col min="11" max="11" width="2.7109375" style="5" customWidth="1"/>
    <col min="12" max="12" width="12.5703125" style="5" customWidth="1"/>
    <col min="13" max="17" width="14" style="5" bestFit="1" customWidth="1"/>
    <col min="18" max="18" width="4.42578125" style="5" customWidth="1"/>
    <col min="19" max="19" width="2.7109375" style="5" customWidth="1"/>
    <col min="20" max="20" width="81.7109375" style="5" bestFit="1" customWidth="1"/>
    <col min="21" max="21" width="2.85546875" style="5" customWidth="1"/>
    <col min="22" max="22" width="13.7109375" style="5" customWidth="1"/>
    <col min="23" max="23" width="2.7109375" style="5" customWidth="1"/>
    <col min="24" max="38" width="13.7109375" style="5" customWidth="1"/>
    <col min="39" max="16384" width="9.140625" style="5"/>
  </cols>
  <sheetData>
    <row r="2" spans="2:22" s="20" customFormat="1" ht="18">
      <c r="B2" s="20" t="s">
        <v>151</v>
      </c>
    </row>
    <row r="4" spans="2:22">
      <c r="B4" s="27" t="s">
        <v>28</v>
      </c>
      <c r="C4" s="4"/>
      <c r="D4" s="4"/>
      <c r="L4"/>
    </row>
    <row r="5" spans="2:22">
      <c r="B5" s="5" t="s">
        <v>75</v>
      </c>
      <c r="C5" s="6"/>
      <c r="D5" s="6"/>
      <c r="H5" s="21"/>
    </row>
    <row r="6" spans="2:22">
      <c r="B6" s="5" t="s">
        <v>247</v>
      </c>
      <c r="C6" s="6"/>
      <c r="D6" s="6"/>
      <c r="H6" s="21"/>
    </row>
    <row r="8" spans="2:22" s="11" customFormat="1">
      <c r="F8" s="11" t="s">
        <v>26</v>
      </c>
      <c r="H8" s="11" t="s">
        <v>27</v>
      </c>
      <c r="J8" s="11" t="s">
        <v>46</v>
      </c>
      <c r="L8" s="11" t="s">
        <v>93</v>
      </c>
      <c r="M8" s="11" t="s">
        <v>70</v>
      </c>
      <c r="N8" s="11" t="s">
        <v>71</v>
      </c>
      <c r="O8" s="11" t="s">
        <v>72</v>
      </c>
      <c r="P8" s="11" t="s">
        <v>73</v>
      </c>
      <c r="Q8" s="11" t="s">
        <v>74</v>
      </c>
      <c r="T8" s="11" t="s">
        <v>44</v>
      </c>
      <c r="V8" s="11" t="s">
        <v>45</v>
      </c>
    </row>
    <row r="11" spans="2:22" s="90" customFormat="1">
      <c r="B11" s="90" t="s">
        <v>240</v>
      </c>
    </row>
    <row r="13" spans="2:22">
      <c r="B13" s="27" t="s">
        <v>96</v>
      </c>
    </row>
    <row r="15" spans="2:22">
      <c r="B15" s="27" t="s">
        <v>97</v>
      </c>
    </row>
    <row r="16" spans="2:22">
      <c r="B16" s="5" t="s">
        <v>98</v>
      </c>
      <c r="F16" s="5" t="s">
        <v>164</v>
      </c>
      <c r="J16" s="91">
        <f t="shared" ref="J16:J18" si="0">SUM(L16:Q16)</f>
        <v>1.9843007246376811</v>
      </c>
      <c r="L16" s="107">
        <v>0</v>
      </c>
      <c r="M16" s="107">
        <v>0</v>
      </c>
      <c r="N16" s="107">
        <v>1.9843007246376811</v>
      </c>
      <c r="O16" s="107">
        <v>0</v>
      </c>
      <c r="P16" s="107">
        <v>0</v>
      </c>
      <c r="Q16" s="107">
        <v>0</v>
      </c>
      <c r="T16" s="45" t="s">
        <v>281</v>
      </c>
    </row>
    <row r="17" spans="2:20">
      <c r="B17" s="5" t="s">
        <v>99</v>
      </c>
      <c r="F17" s="5" t="s">
        <v>164</v>
      </c>
      <c r="J17" s="91">
        <f t="shared" si="0"/>
        <v>916238.97250859102</v>
      </c>
      <c r="L17" s="107">
        <v>0</v>
      </c>
      <c r="M17" s="107">
        <v>0</v>
      </c>
      <c r="N17" s="107">
        <v>916238.97250859102</v>
      </c>
      <c r="O17" s="107">
        <v>0</v>
      </c>
      <c r="P17" s="107">
        <v>0</v>
      </c>
      <c r="Q17" s="107">
        <v>0</v>
      </c>
      <c r="T17" s="45" t="s">
        <v>282</v>
      </c>
    </row>
    <row r="18" spans="2:20">
      <c r="B18" s="5" t="s">
        <v>100</v>
      </c>
      <c r="F18" s="5" t="s">
        <v>164</v>
      </c>
      <c r="J18" s="91">
        <f t="shared" si="0"/>
        <v>8878696.6016260162</v>
      </c>
      <c r="L18" s="107">
        <v>0</v>
      </c>
      <c r="M18" s="107">
        <v>0</v>
      </c>
      <c r="N18" s="107">
        <v>8878696.6016260162</v>
      </c>
      <c r="O18" s="107">
        <v>0</v>
      </c>
      <c r="P18" s="107">
        <v>0</v>
      </c>
      <c r="Q18" s="107">
        <v>0</v>
      </c>
      <c r="T18" s="45" t="s">
        <v>283</v>
      </c>
    </row>
    <row r="19" spans="2:20">
      <c r="T19" s="45"/>
    </row>
    <row r="20" spans="2:20">
      <c r="B20" s="27" t="s">
        <v>101</v>
      </c>
      <c r="T20" s="45"/>
    </row>
    <row r="21" spans="2:20">
      <c r="B21" s="5" t="s">
        <v>98</v>
      </c>
      <c r="F21" s="5" t="s">
        <v>164</v>
      </c>
      <c r="J21" s="91">
        <f t="shared" ref="J21:J23" si="1">SUM(L21:Q21)</f>
        <v>2.5153115942028985</v>
      </c>
      <c r="L21" s="107">
        <v>0</v>
      </c>
      <c r="M21" s="107">
        <v>0</v>
      </c>
      <c r="N21" s="107">
        <v>2.5153115942028985</v>
      </c>
      <c r="O21" s="107">
        <v>0</v>
      </c>
      <c r="P21" s="107">
        <v>0</v>
      </c>
      <c r="Q21" s="107">
        <v>0</v>
      </c>
      <c r="T21" s="45" t="s">
        <v>284</v>
      </c>
    </row>
    <row r="22" spans="2:20">
      <c r="B22" s="5" t="s">
        <v>99</v>
      </c>
      <c r="F22" s="5" t="s">
        <v>164</v>
      </c>
      <c r="J22" s="91">
        <f t="shared" si="1"/>
        <v>20811.323024054986</v>
      </c>
      <c r="L22" s="107">
        <v>0</v>
      </c>
      <c r="M22" s="107">
        <v>0</v>
      </c>
      <c r="N22" s="107">
        <v>20811.323024054986</v>
      </c>
      <c r="O22" s="107">
        <v>0</v>
      </c>
      <c r="P22" s="107">
        <v>0</v>
      </c>
      <c r="Q22" s="107">
        <v>0</v>
      </c>
      <c r="T22" s="45" t="s">
        <v>285</v>
      </c>
    </row>
    <row r="23" spans="2:20">
      <c r="B23" s="5" t="s">
        <v>102</v>
      </c>
      <c r="F23" s="5" t="s">
        <v>164</v>
      </c>
      <c r="J23" s="91">
        <f t="shared" si="1"/>
        <v>369575.61904761911</v>
      </c>
      <c r="L23" s="107">
        <v>0</v>
      </c>
      <c r="M23" s="107">
        <v>0</v>
      </c>
      <c r="N23" s="107">
        <v>369575.61904761911</v>
      </c>
      <c r="O23" s="107">
        <v>0</v>
      </c>
      <c r="P23" s="107">
        <v>0</v>
      </c>
      <c r="Q23" s="107">
        <v>0</v>
      </c>
      <c r="T23" s="45" t="s">
        <v>286</v>
      </c>
    </row>
    <row r="24" spans="2:20">
      <c r="T24" s="45"/>
    </row>
    <row r="25" spans="2:20">
      <c r="B25" s="27" t="s">
        <v>103</v>
      </c>
      <c r="T25" s="45"/>
    </row>
    <row r="26" spans="2:20">
      <c r="B26" s="5" t="s">
        <v>98</v>
      </c>
      <c r="F26" s="5" t="s">
        <v>164</v>
      </c>
      <c r="J26" s="91">
        <f t="shared" ref="J26:J28" si="2">SUM(L26:Q26)</f>
        <v>91.717742753623199</v>
      </c>
      <c r="L26" s="107">
        <v>0</v>
      </c>
      <c r="M26" s="107">
        <v>4</v>
      </c>
      <c r="N26" s="107">
        <v>7</v>
      </c>
      <c r="O26" s="107">
        <v>0</v>
      </c>
      <c r="P26" s="107">
        <v>80.717742753623199</v>
      </c>
      <c r="Q26" s="107">
        <v>0</v>
      </c>
      <c r="T26" s="45" t="s">
        <v>287</v>
      </c>
    </row>
    <row r="27" spans="2:20">
      <c r="B27" s="5" t="s">
        <v>99</v>
      </c>
      <c r="F27" s="5" t="s">
        <v>164</v>
      </c>
      <c r="J27" s="91">
        <f t="shared" si="2"/>
        <v>879512.2195602007</v>
      </c>
      <c r="L27" s="107">
        <v>0</v>
      </c>
      <c r="M27" s="107">
        <v>80558.076023391797</v>
      </c>
      <c r="N27" s="107">
        <v>81301.93789999999</v>
      </c>
      <c r="O27" s="107">
        <v>0</v>
      </c>
      <c r="P27" s="107">
        <v>717652.20563680888</v>
      </c>
      <c r="Q27" s="107">
        <v>0</v>
      </c>
      <c r="T27" s="45" t="s">
        <v>288</v>
      </c>
    </row>
    <row r="28" spans="2:20">
      <c r="B28" s="5" t="s">
        <v>100</v>
      </c>
      <c r="F28" s="5" t="s">
        <v>164</v>
      </c>
      <c r="J28" s="91">
        <f t="shared" si="2"/>
        <v>8165758.122064447</v>
      </c>
      <c r="L28" s="107">
        <v>0</v>
      </c>
      <c r="M28" s="107">
        <v>685047.77070063679</v>
      </c>
      <c r="N28" s="107">
        <v>697222.72750000004</v>
      </c>
      <c r="O28" s="107">
        <v>0</v>
      </c>
      <c r="P28" s="107">
        <v>6783487.6238638097</v>
      </c>
      <c r="Q28" s="107">
        <v>0</v>
      </c>
      <c r="T28" s="45" t="s">
        <v>289</v>
      </c>
    </row>
    <row r="29" spans="2:20">
      <c r="T29" s="45"/>
    </row>
    <row r="30" spans="2:20">
      <c r="B30" s="27" t="s">
        <v>104</v>
      </c>
      <c r="T30" s="45"/>
    </row>
    <row r="31" spans="2:20">
      <c r="B31" s="5" t="s">
        <v>98</v>
      </c>
      <c r="F31" s="5" t="s">
        <v>164</v>
      </c>
      <c r="J31" s="91">
        <f t="shared" ref="J31:J33" si="3">SUM(L31:Q31)</f>
        <v>16.666666666666664</v>
      </c>
      <c r="L31" s="107">
        <v>0</v>
      </c>
      <c r="M31" s="107">
        <v>2</v>
      </c>
      <c r="N31" s="107">
        <v>8</v>
      </c>
      <c r="O31" s="107">
        <v>0</v>
      </c>
      <c r="P31" s="107">
        <v>6.6666666666666661</v>
      </c>
      <c r="Q31" s="107">
        <v>0</v>
      </c>
      <c r="T31" s="45" t="s">
        <v>290</v>
      </c>
    </row>
    <row r="32" spans="2:20">
      <c r="B32" s="5" t="s">
        <v>99</v>
      </c>
      <c r="F32" s="5" t="s">
        <v>164</v>
      </c>
      <c r="J32" s="91">
        <f t="shared" si="3"/>
        <v>157513.57782874617</v>
      </c>
      <c r="L32" s="107">
        <v>0</v>
      </c>
      <c r="M32" s="107">
        <v>19039.999999999996</v>
      </c>
      <c r="N32" s="107">
        <v>76590.583333333328</v>
      </c>
      <c r="O32" s="107">
        <v>0</v>
      </c>
      <c r="P32" s="107">
        <v>61882.99449541283</v>
      </c>
      <c r="Q32" s="107">
        <v>0</v>
      </c>
      <c r="T32" s="45" t="s">
        <v>291</v>
      </c>
    </row>
    <row r="33" spans="2:20">
      <c r="B33" s="5" t="s">
        <v>102</v>
      </c>
      <c r="F33" s="5" t="s">
        <v>164</v>
      </c>
      <c r="J33" s="91">
        <f t="shared" si="3"/>
        <v>1609440.6543224484</v>
      </c>
      <c r="L33" s="107">
        <v>0</v>
      </c>
      <c r="M33" s="107">
        <v>121115.20370370366</v>
      </c>
      <c r="N33" s="107">
        <v>1179048.27</v>
      </c>
      <c r="O33" s="107">
        <v>0</v>
      </c>
      <c r="P33" s="107">
        <v>309277.18061874481</v>
      </c>
      <c r="Q33" s="107">
        <v>0</v>
      </c>
      <c r="T33" s="45" t="s">
        <v>292</v>
      </c>
    </row>
    <row r="34" spans="2:20">
      <c r="T34" s="45"/>
    </row>
    <row r="35" spans="2:20">
      <c r="B35" s="27" t="s">
        <v>167</v>
      </c>
      <c r="T35" s="45"/>
    </row>
    <row r="36" spans="2:20">
      <c r="B36" s="5" t="s">
        <v>98</v>
      </c>
      <c r="F36" s="5" t="s">
        <v>164</v>
      </c>
      <c r="J36" s="91">
        <f t="shared" ref="J36:J38" si="4">SUM(L36:Q36)</f>
        <v>782.27292753623192</v>
      </c>
      <c r="L36" s="107">
        <v>0</v>
      </c>
      <c r="M36" s="107">
        <v>200.81021376811591</v>
      </c>
      <c r="N36" s="107">
        <v>341.85083333333336</v>
      </c>
      <c r="O36" s="107">
        <v>0</v>
      </c>
      <c r="P36" s="107">
        <v>224.09856521739127</v>
      </c>
      <c r="Q36" s="107">
        <v>15.513315217391304</v>
      </c>
      <c r="T36" s="45" t="s">
        <v>293</v>
      </c>
    </row>
    <row r="37" spans="2:20">
      <c r="B37" s="5" t="s">
        <v>99</v>
      </c>
      <c r="F37" s="5" t="s">
        <v>164</v>
      </c>
      <c r="J37" s="91">
        <f t="shared" si="4"/>
        <v>3780244.5660456871</v>
      </c>
      <c r="L37" s="107">
        <v>0</v>
      </c>
      <c r="M37" s="107">
        <v>1229541.2912880818</v>
      </c>
      <c r="N37" s="107">
        <v>1715882.5941848895</v>
      </c>
      <c r="O37" s="107">
        <v>0</v>
      </c>
      <c r="P37" s="107">
        <v>732128.66406967712</v>
      </c>
      <c r="Q37" s="107">
        <v>102692.01650303882</v>
      </c>
      <c r="T37" s="45" t="s">
        <v>294</v>
      </c>
    </row>
    <row r="38" spans="2:20">
      <c r="B38" s="5" t="s">
        <v>100</v>
      </c>
      <c r="F38" s="5" t="s">
        <v>164</v>
      </c>
      <c r="J38" s="91">
        <f t="shared" si="4"/>
        <v>31794530.152382132</v>
      </c>
      <c r="L38" s="107">
        <v>0</v>
      </c>
      <c r="M38" s="107">
        <v>11531043.518518519</v>
      </c>
      <c r="N38" s="107">
        <v>13191997.764873562</v>
      </c>
      <c r="O38" s="107">
        <v>0</v>
      </c>
      <c r="P38" s="107">
        <v>6163758.9538168153</v>
      </c>
      <c r="Q38" s="107">
        <v>907729.91517323791</v>
      </c>
      <c r="T38" s="45" t="s">
        <v>295</v>
      </c>
    </row>
    <row r="39" spans="2:20">
      <c r="T39" s="45"/>
    </row>
    <row r="40" spans="2:20">
      <c r="B40" s="27" t="s">
        <v>168</v>
      </c>
      <c r="T40" s="45"/>
    </row>
    <row r="41" spans="2:20">
      <c r="B41" s="5" t="s">
        <v>98</v>
      </c>
      <c r="F41" s="5" t="s">
        <v>164</v>
      </c>
      <c r="J41" s="91">
        <f t="shared" ref="J41:J43" si="5">SUM(L41:Q41)</f>
        <v>14.083333333333332</v>
      </c>
      <c r="L41" s="107">
        <v>0</v>
      </c>
      <c r="M41" s="107">
        <v>6</v>
      </c>
      <c r="N41" s="107">
        <v>5</v>
      </c>
      <c r="O41" s="107">
        <v>0</v>
      </c>
      <c r="P41" s="107">
        <v>3.083333333333333</v>
      </c>
      <c r="Q41" s="107">
        <v>0</v>
      </c>
      <c r="T41" s="45" t="s">
        <v>296</v>
      </c>
    </row>
    <row r="42" spans="2:20">
      <c r="B42" s="5" t="s">
        <v>99</v>
      </c>
      <c r="F42" s="5" t="s">
        <v>164</v>
      </c>
      <c r="J42" s="91">
        <f t="shared" si="5"/>
        <v>144124.29024041892</v>
      </c>
      <c r="L42" s="107">
        <v>0</v>
      </c>
      <c r="M42" s="107">
        <v>93146.999999999985</v>
      </c>
      <c r="N42" s="107">
        <v>30426.25</v>
      </c>
      <c r="O42" s="107">
        <v>0</v>
      </c>
      <c r="P42" s="107">
        <v>20551.04024041893</v>
      </c>
      <c r="Q42" s="107">
        <v>0</v>
      </c>
      <c r="T42" s="45" t="s">
        <v>297</v>
      </c>
    </row>
    <row r="43" spans="2:20">
      <c r="B43" s="5" t="s">
        <v>102</v>
      </c>
      <c r="F43" s="5" t="s">
        <v>164</v>
      </c>
      <c r="J43" s="91">
        <f t="shared" si="5"/>
        <v>1097457.2151727907</v>
      </c>
      <c r="L43" s="107">
        <v>0</v>
      </c>
      <c r="M43" s="107">
        <v>653879.46153846139</v>
      </c>
      <c r="N43" s="107">
        <v>242971.74</v>
      </c>
      <c r="O43" s="107">
        <v>0</v>
      </c>
      <c r="P43" s="107">
        <v>200606.01363432937</v>
      </c>
      <c r="Q43" s="107">
        <v>0</v>
      </c>
      <c r="T43" s="45" t="s">
        <v>298</v>
      </c>
    </row>
    <row r="44" spans="2:20">
      <c r="T44" s="45"/>
    </row>
    <row r="45" spans="2:20">
      <c r="T45" s="45"/>
    </row>
    <row r="46" spans="2:20">
      <c r="B46" s="27" t="s">
        <v>107</v>
      </c>
      <c r="T46" s="45"/>
    </row>
    <row r="47" spans="2:20">
      <c r="T47" s="45"/>
    </row>
    <row r="48" spans="2:20">
      <c r="B48" s="27" t="s">
        <v>108</v>
      </c>
      <c r="T48" s="45"/>
    </row>
    <row r="49" spans="2:20">
      <c r="B49" s="5" t="s">
        <v>98</v>
      </c>
      <c r="F49" s="5" t="s">
        <v>164</v>
      </c>
      <c r="J49" s="91">
        <f t="shared" ref="J49:J52" si="6">SUM(L49:Q49)</f>
        <v>333.44387755102025</v>
      </c>
      <c r="L49" s="80"/>
      <c r="M49" s="107">
        <v>328.44387755102025</v>
      </c>
      <c r="N49" s="80"/>
      <c r="O49" s="107">
        <v>5</v>
      </c>
      <c r="P49" s="80"/>
      <c r="Q49" s="80"/>
      <c r="T49" s="45" t="s">
        <v>299</v>
      </c>
    </row>
    <row r="50" spans="2:20">
      <c r="B50" s="5" t="s">
        <v>109</v>
      </c>
      <c r="F50" s="5" t="s">
        <v>164</v>
      </c>
      <c r="J50" s="91">
        <f t="shared" si="6"/>
        <v>915300.14029363776</v>
      </c>
      <c r="L50" s="80"/>
      <c r="M50" s="107">
        <v>897928.14029363776</v>
      </c>
      <c r="N50" s="80"/>
      <c r="O50" s="107">
        <v>17372</v>
      </c>
      <c r="P50" s="80"/>
      <c r="Q50" s="80"/>
      <c r="T50" s="45" t="s">
        <v>300</v>
      </c>
    </row>
    <row r="51" spans="2:20">
      <c r="B51" s="5" t="s">
        <v>100</v>
      </c>
      <c r="F51" s="5" t="s">
        <v>164</v>
      </c>
      <c r="J51" s="91">
        <f t="shared" si="6"/>
        <v>8200214.1171874991</v>
      </c>
      <c r="L51" s="80"/>
      <c r="M51" s="107">
        <v>8031127.1171874991</v>
      </c>
      <c r="N51" s="80"/>
      <c r="O51" s="107">
        <v>169087</v>
      </c>
      <c r="P51" s="80"/>
      <c r="Q51" s="80"/>
      <c r="T51" s="45" t="s">
        <v>301</v>
      </c>
    </row>
    <row r="52" spans="2:20">
      <c r="B52" s="5" t="s">
        <v>110</v>
      </c>
      <c r="F52" s="5" t="s">
        <v>164</v>
      </c>
      <c r="J52" s="91">
        <f t="shared" si="6"/>
        <v>3327710494.2258067</v>
      </c>
      <c r="L52" s="80"/>
      <c r="M52" s="32">
        <v>3279202903.2258067</v>
      </c>
      <c r="N52" s="80"/>
      <c r="O52" s="107">
        <v>48507591</v>
      </c>
      <c r="P52" s="80"/>
      <c r="Q52" s="80"/>
      <c r="T52" s="45" t="s">
        <v>302</v>
      </c>
    </row>
    <row r="53" spans="2:20">
      <c r="T53" s="45"/>
    </row>
    <row r="54" spans="2:20">
      <c r="B54" s="27" t="s">
        <v>144</v>
      </c>
      <c r="T54" s="45"/>
    </row>
    <row r="55" spans="2:20">
      <c r="B55" s="5" t="s">
        <v>98</v>
      </c>
      <c r="F55" s="5" t="s">
        <v>164</v>
      </c>
      <c r="J55" s="91">
        <f t="shared" ref="J55:J58" si="7">SUM(L55:Q55)</f>
        <v>13339.158299319726</v>
      </c>
      <c r="L55" s="80"/>
      <c r="M55" s="107">
        <v>13323.408299319726</v>
      </c>
      <c r="N55" s="80"/>
      <c r="O55" s="107">
        <v>15.75</v>
      </c>
      <c r="P55" s="80"/>
      <c r="Q55" s="80"/>
      <c r="T55" s="45" t="s">
        <v>303</v>
      </c>
    </row>
    <row r="56" spans="2:20">
      <c r="B56" s="5" t="s">
        <v>109</v>
      </c>
      <c r="F56" s="5" t="s">
        <v>164</v>
      </c>
      <c r="J56" s="91">
        <f t="shared" si="7"/>
        <v>3435672.2325595692</v>
      </c>
      <c r="L56" s="80"/>
      <c r="M56" s="107">
        <v>3418627.6492262357</v>
      </c>
      <c r="N56" s="80"/>
      <c r="O56" s="107">
        <v>17044.583333333332</v>
      </c>
      <c r="P56" s="80"/>
      <c r="Q56" s="80"/>
      <c r="T56" s="45" t="s">
        <v>304</v>
      </c>
    </row>
    <row r="57" spans="2:20">
      <c r="B57" s="5" t="s">
        <v>100</v>
      </c>
      <c r="F57" s="5" t="s">
        <v>164</v>
      </c>
      <c r="J57" s="91">
        <f t="shared" si="7"/>
        <v>27115351.891719755</v>
      </c>
      <c r="L57" s="80"/>
      <c r="M57" s="107">
        <v>26966109.891719755</v>
      </c>
      <c r="N57" s="80"/>
      <c r="O57" s="107">
        <v>149242</v>
      </c>
      <c r="P57" s="80"/>
      <c r="Q57" s="80"/>
      <c r="T57" s="45" t="s">
        <v>305</v>
      </c>
    </row>
    <row r="58" spans="2:20">
      <c r="B58" s="5" t="s">
        <v>110</v>
      </c>
      <c r="F58" s="5" t="s">
        <v>164</v>
      </c>
      <c r="J58" s="91">
        <f t="shared" si="7"/>
        <v>8080239179.3069296</v>
      </c>
      <c r="L58" s="80"/>
      <c r="M58" s="107">
        <v>8017947469.3069296</v>
      </c>
      <c r="N58" s="80"/>
      <c r="O58" s="107">
        <v>62291710</v>
      </c>
      <c r="P58" s="80"/>
      <c r="Q58" s="80"/>
      <c r="T58" s="45" t="s">
        <v>306</v>
      </c>
    </row>
    <row r="59" spans="2:20">
      <c r="T59" s="45"/>
    </row>
    <row r="60" spans="2:20">
      <c r="B60" s="4" t="s">
        <v>163</v>
      </c>
      <c r="T60" s="45"/>
    </row>
    <row r="61" spans="2:20">
      <c r="B61" s="5" t="s">
        <v>98</v>
      </c>
      <c r="F61" s="5" t="s">
        <v>164</v>
      </c>
      <c r="J61" s="91">
        <f t="shared" ref="J61:J64" si="8">SUM(L61:Q61)</f>
        <v>14123.652397959186</v>
      </c>
      <c r="L61" s="107">
        <v>29</v>
      </c>
      <c r="M61" s="80"/>
      <c r="N61" s="107">
        <v>9290.2931235827673</v>
      </c>
      <c r="O61" s="80"/>
      <c r="P61" s="107">
        <v>4501.2856235827667</v>
      </c>
      <c r="Q61" s="107">
        <v>303.07365079365081</v>
      </c>
      <c r="T61" s="45" t="s">
        <v>307</v>
      </c>
    </row>
    <row r="62" spans="2:20">
      <c r="B62" s="5" t="s">
        <v>109</v>
      </c>
      <c r="F62" s="5" t="s">
        <v>164</v>
      </c>
      <c r="J62" s="91">
        <f t="shared" si="8"/>
        <v>5716811.0366591951</v>
      </c>
      <c r="L62" s="107">
        <v>44882.333333333336</v>
      </c>
      <c r="M62" s="80"/>
      <c r="N62" s="107">
        <v>3449822.6768495939</v>
      </c>
      <c r="O62" s="80"/>
      <c r="P62" s="107">
        <v>1907545.7427725641</v>
      </c>
      <c r="Q62" s="107">
        <v>314560.28370370378</v>
      </c>
      <c r="T62" s="45" t="s">
        <v>308</v>
      </c>
    </row>
    <row r="63" spans="2:20">
      <c r="B63" s="5" t="s">
        <v>100</v>
      </c>
      <c r="F63" s="5" t="s">
        <v>164</v>
      </c>
      <c r="J63" s="91">
        <f t="shared" si="8"/>
        <v>44171207.702186413</v>
      </c>
      <c r="L63" s="107">
        <v>360974</v>
      </c>
      <c r="M63" s="80"/>
      <c r="N63" s="107">
        <v>26552416.374026433</v>
      </c>
      <c r="O63" s="80"/>
      <c r="P63" s="107">
        <v>14742153.08719613</v>
      </c>
      <c r="Q63" s="107">
        <v>2515664.2409638558</v>
      </c>
      <c r="T63" s="45" t="s">
        <v>309</v>
      </c>
    </row>
    <row r="64" spans="2:20">
      <c r="B64" s="5" t="s">
        <v>110</v>
      </c>
      <c r="F64" s="5" t="s">
        <v>164</v>
      </c>
      <c r="J64" s="91">
        <f t="shared" si="8"/>
        <v>13745682386.65193</v>
      </c>
      <c r="L64" s="107">
        <v>126198352</v>
      </c>
      <c r="M64" s="80"/>
      <c r="N64" s="107">
        <v>8341918997.5338097</v>
      </c>
      <c r="O64" s="80"/>
      <c r="P64" s="107">
        <v>4644401775.5319147</v>
      </c>
      <c r="Q64" s="107">
        <v>633163261.58620691</v>
      </c>
      <c r="T64" s="45" t="s">
        <v>310</v>
      </c>
    </row>
    <row r="65" spans="2:20">
      <c r="T65" s="45"/>
    </row>
    <row r="66" spans="2:20">
      <c r="B66" s="27" t="s">
        <v>111</v>
      </c>
      <c r="T66" s="45"/>
    </row>
    <row r="67" spans="2:20">
      <c r="B67" s="5" t="s">
        <v>98</v>
      </c>
      <c r="F67" s="5" t="s">
        <v>164</v>
      </c>
      <c r="J67" s="91">
        <f t="shared" ref="J67:J70" si="9">SUM(L67:Q67)</f>
        <v>43850.930374149662</v>
      </c>
      <c r="L67" s="107">
        <v>250</v>
      </c>
      <c r="M67" s="107">
        <v>13491.779365079363</v>
      </c>
      <c r="N67" s="107">
        <v>16182.951666666668</v>
      </c>
      <c r="O67" s="107">
        <v>138.13</v>
      </c>
      <c r="P67" s="107">
        <v>12979.238412698414</v>
      </c>
      <c r="Q67" s="107">
        <v>808.83092970521534</v>
      </c>
      <c r="T67" s="45" t="s">
        <v>311</v>
      </c>
    </row>
    <row r="68" spans="2:20">
      <c r="B68" s="5" t="s">
        <v>109</v>
      </c>
      <c r="F68" s="5" t="s">
        <v>164</v>
      </c>
      <c r="J68" s="91">
        <f t="shared" si="9"/>
        <v>3799025.7304142714</v>
      </c>
      <c r="L68" s="107">
        <v>52135.916666666664</v>
      </c>
      <c r="M68" s="107">
        <v>1074660.7018469658</v>
      </c>
      <c r="N68" s="107">
        <v>1321400.3141666667</v>
      </c>
      <c r="O68" s="107">
        <v>25082.666666666668</v>
      </c>
      <c r="P68" s="107">
        <v>1165516.096507662</v>
      </c>
      <c r="Q68" s="107">
        <v>160230.03455964327</v>
      </c>
      <c r="T68" s="45" t="s">
        <v>312</v>
      </c>
    </row>
    <row r="69" spans="2:20">
      <c r="B69" s="5" t="s">
        <v>100</v>
      </c>
      <c r="F69" s="5" t="s">
        <v>164</v>
      </c>
      <c r="J69" s="91">
        <f t="shared" si="9"/>
        <v>27370572.551427368</v>
      </c>
      <c r="L69" s="107">
        <v>405960</v>
      </c>
      <c r="M69" s="107">
        <v>7589035.4522292996</v>
      </c>
      <c r="N69" s="107">
        <v>9599146.8720800001</v>
      </c>
      <c r="O69" s="107">
        <v>198427</v>
      </c>
      <c r="P69" s="107">
        <v>8328167.9259132491</v>
      </c>
      <c r="Q69" s="107">
        <v>1249835.3012048195</v>
      </c>
      <c r="T69" s="45" t="s">
        <v>313</v>
      </c>
    </row>
    <row r="70" spans="2:20">
      <c r="B70" s="5" t="s">
        <v>110</v>
      </c>
      <c r="F70" s="5" t="s">
        <v>164</v>
      </c>
      <c r="J70" s="91">
        <f t="shared" si="9"/>
        <v>6817161126.2829561</v>
      </c>
      <c r="L70" s="107">
        <v>115301567</v>
      </c>
      <c r="M70" s="107">
        <v>1790414179.207921</v>
      </c>
      <c r="N70" s="107">
        <v>2399534594.5079999</v>
      </c>
      <c r="O70" s="107">
        <v>54149489</v>
      </c>
      <c r="P70" s="107">
        <v>2128615487.9463456</v>
      </c>
      <c r="Q70" s="107">
        <v>329145808.62068963</v>
      </c>
      <c r="T70" s="45" t="s">
        <v>314</v>
      </c>
    </row>
    <row r="71" spans="2:20">
      <c r="T71" s="45"/>
    </row>
    <row r="72" spans="2:20">
      <c r="T72" s="45"/>
    </row>
    <row r="73" spans="2:20">
      <c r="B73" s="27" t="s">
        <v>112</v>
      </c>
      <c r="T73" s="45"/>
    </row>
    <row r="74" spans="2:20">
      <c r="T74" s="45"/>
    </row>
    <row r="75" spans="2:20">
      <c r="B75" s="27" t="s">
        <v>165</v>
      </c>
      <c r="T75" s="45"/>
    </row>
    <row r="76" spans="2:20">
      <c r="B76" s="5" t="s">
        <v>98</v>
      </c>
      <c r="F76" s="5" t="s">
        <v>164</v>
      </c>
      <c r="J76" s="91">
        <f t="shared" ref="J76:J79" si="10">SUM(L76:Q76)</f>
        <v>23097.513333333332</v>
      </c>
      <c r="L76" s="108">
        <v>362</v>
      </c>
      <c r="M76" s="108">
        <v>6918.3411111111109</v>
      </c>
      <c r="N76" s="108">
        <v>8280.8150000000005</v>
      </c>
      <c r="O76" s="108">
        <v>162.54</v>
      </c>
      <c r="P76" s="108">
        <v>7160.5027777777777</v>
      </c>
      <c r="Q76" s="108">
        <v>213.31444444444443</v>
      </c>
      <c r="T76" s="45" t="s">
        <v>315</v>
      </c>
    </row>
    <row r="77" spans="2:20">
      <c r="B77" s="5" t="s">
        <v>109</v>
      </c>
      <c r="F77" s="5" t="s">
        <v>164</v>
      </c>
      <c r="J77" s="91">
        <f t="shared" si="10"/>
        <v>895698.5805848192</v>
      </c>
      <c r="L77" s="108">
        <v>25425.5</v>
      </c>
      <c r="M77" s="108">
        <v>200844.11980440098</v>
      </c>
      <c r="N77" s="108">
        <v>255760.24250000002</v>
      </c>
      <c r="O77" s="108">
        <v>10371.666666666666</v>
      </c>
      <c r="P77" s="108">
        <v>396298.46779872262</v>
      </c>
      <c r="Q77" s="108">
        <v>6998.5838150289019</v>
      </c>
      <c r="T77" s="45" t="s">
        <v>316</v>
      </c>
    </row>
    <row r="78" spans="2:20">
      <c r="B78" s="5" t="s">
        <v>114</v>
      </c>
      <c r="F78" s="5" t="s">
        <v>164</v>
      </c>
      <c r="J78" s="91">
        <f t="shared" si="10"/>
        <v>545548690.90729761</v>
      </c>
      <c r="L78" s="108">
        <v>12460827</v>
      </c>
      <c r="M78" s="108">
        <v>114888657.38636364</v>
      </c>
      <c r="N78" s="108">
        <v>156950044.56799999</v>
      </c>
      <c r="O78" s="108">
        <v>7381366</v>
      </c>
      <c r="P78" s="108">
        <v>249200956.34897357</v>
      </c>
      <c r="Q78" s="108">
        <v>4666839.6039603967</v>
      </c>
      <c r="T78" s="45" t="s">
        <v>317</v>
      </c>
    </row>
    <row r="79" spans="2:20">
      <c r="B79" s="5" t="s">
        <v>110</v>
      </c>
      <c r="F79" s="5" t="s">
        <v>164</v>
      </c>
      <c r="J79" s="91">
        <f t="shared" si="10"/>
        <v>759788670.39571655</v>
      </c>
      <c r="L79" s="108">
        <v>21804253</v>
      </c>
      <c r="M79" s="108">
        <v>151702468.84272999</v>
      </c>
      <c r="N79" s="108">
        <v>214389242.62400001</v>
      </c>
      <c r="O79" s="108">
        <v>11516166</v>
      </c>
      <c r="P79" s="108">
        <v>354272598.02667296</v>
      </c>
      <c r="Q79" s="108">
        <v>6103941.9023136254</v>
      </c>
      <c r="T79" s="45" t="s">
        <v>318</v>
      </c>
    </row>
    <row r="80" spans="2:20">
      <c r="T80" s="45"/>
    </row>
    <row r="81" spans="2:22">
      <c r="B81" s="27" t="s">
        <v>115</v>
      </c>
      <c r="T81" s="45"/>
    </row>
    <row r="82" spans="2:22">
      <c r="B82" s="5" t="s">
        <v>116</v>
      </c>
      <c r="F82" s="5" t="s">
        <v>164</v>
      </c>
      <c r="J82" s="91">
        <f t="shared" ref="J82:J83" si="11">SUM(L82:Q82)</f>
        <v>2769505.2433403186</v>
      </c>
      <c r="L82" s="108">
        <v>25871</v>
      </c>
      <c r="M82" s="108">
        <v>1235073.1814248627</v>
      </c>
      <c r="N82" s="108">
        <v>786448.166803653</v>
      </c>
      <c r="O82" s="108">
        <v>18957</v>
      </c>
      <c r="P82" s="108">
        <v>675019.2535122222</v>
      </c>
      <c r="Q82" s="108">
        <v>28136.641599580427</v>
      </c>
      <c r="T82" s="45" t="s">
        <v>319</v>
      </c>
    </row>
    <row r="83" spans="2:22">
      <c r="B83" s="5" t="s">
        <v>166</v>
      </c>
      <c r="F83" s="5" t="s">
        <v>164</v>
      </c>
      <c r="J83" s="91">
        <f t="shared" si="11"/>
        <v>8485560.34590091</v>
      </c>
      <c r="L83" s="108">
        <v>54056.52602739726</v>
      </c>
      <c r="M83" s="108">
        <v>2790858.8458728255</v>
      </c>
      <c r="N83" s="108">
        <v>3230617.4382335572</v>
      </c>
      <c r="O83" s="108">
        <v>33007.97</v>
      </c>
      <c r="P83" s="108">
        <v>2315466.0113560166</v>
      </c>
      <c r="Q83" s="108">
        <v>61553.554411115023</v>
      </c>
      <c r="T83" s="45" t="s">
        <v>320</v>
      </c>
    </row>
    <row r="84" spans="2:22">
      <c r="T84" s="45"/>
    </row>
    <row r="85" spans="2:22">
      <c r="B85" s="27" t="s">
        <v>118</v>
      </c>
      <c r="T85" s="45"/>
    </row>
    <row r="86" spans="2:22">
      <c r="B86" s="5" t="s">
        <v>119</v>
      </c>
      <c r="F86" s="5" t="s">
        <v>164</v>
      </c>
      <c r="J86" s="91">
        <f t="shared" ref="J86:J92" si="12">SUM(L86:Q86)</f>
        <v>60543.828292436716</v>
      </c>
      <c r="L86" s="108">
        <v>289.96164383561643</v>
      </c>
      <c r="M86" s="108">
        <v>23419.68732045011</v>
      </c>
      <c r="N86" s="108">
        <v>23645.553744292232</v>
      </c>
      <c r="O86" s="108">
        <v>189</v>
      </c>
      <c r="P86" s="108">
        <v>12377.362368663596</v>
      </c>
      <c r="Q86" s="108">
        <v>622.26321519516523</v>
      </c>
      <c r="T86" s="45" t="s">
        <v>321</v>
      </c>
    </row>
    <row r="87" spans="2:22">
      <c r="B87" s="5" t="s">
        <v>120</v>
      </c>
      <c r="F87" s="5" t="s">
        <v>164</v>
      </c>
      <c r="J87" s="91">
        <f t="shared" si="12"/>
        <v>63175.167579507623</v>
      </c>
      <c r="L87" s="108">
        <v>332.18356164383562</v>
      </c>
      <c r="M87" s="108">
        <v>22954.840041822921</v>
      </c>
      <c r="N87" s="108">
        <v>22862.926621004561</v>
      </c>
      <c r="O87" s="108">
        <v>222.8</v>
      </c>
      <c r="P87" s="108">
        <v>16281.160210189453</v>
      </c>
      <c r="Q87" s="108">
        <v>521.25714484684158</v>
      </c>
      <c r="T87" s="45" t="s">
        <v>322</v>
      </c>
    </row>
    <row r="88" spans="2:22">
      <c r="B88" s="5" t="s">
        <v>121</v>
      </c>
      <c r="F88" s="5" t="s">
        <v>164</v>
      </c>
      <c r="J88" s="91">
        <f t="shared" si="12"/>
        <v>71300.642369314024</v>
      </c>
      <c r="L88" s="108">
        <v>411.97260273972603</v>
      </c>
      <c r="M88" s="108">
        <v>25717.763916930995</v>
      </c>
      <c r="N88" s="108">
        <v>27313.474315068492</v>
      </c>
      <c r="O88" s="108">
        <v>286.2</v>
      </c>
      <c r="P88" s="108">
        <v>16809.746737224781</v>
      </c>
      <c r="Q88" s="108">
        <v>761.48479735002547</v>
      </c>
      <c r="T88" s="45" t="s">
        <v>323</v>
      </c>
    </row>
    <row r="89" spans="2:22">
      <c r="B89" s="5" t="s">
        <v>122</v>
      </c>
      <c r="F89" s="5" t="s">
        <v>164</v>
      </c>
      <c r="J89" s="91">
        <f t="shared" si="12"/>
        <v>180647.65610315494</v>
      </c>
      <c r="L89" s="108">
        <v>1091.7506849315068</v>
      </c>
      <c r="M89" s="108">
        <v>65749.77575713869</v>
      </c>
      <c r="N89" s="108">
        <v>65984.819417808219</v>
      </c>
      <c r="O89" s="108">
        <v>586.24</v>
      </c>
      <c r="P89" s="108">
        <v>45644.355287506405</v>
      </c>
      <c r="Q89" s="108">
        <v>1590.7149557701089</v>
      </c>
      <c r="T89" s="45" t="s">
        <v>324</v>
      </c>
    </row>
    <row r="90" spans="2:22">
      <c r="B90" s="5" t="s">
        <v>147</v>
      </c>
      <c r="F90" s="5" t="s">
        <v>164</v>
      </c>
      <c r="J90" s="91">
        <f t="shared" si="12"/>
        <v>8092669.8118448891</v>
      </c>
      <c r="L90" s="108">
        <v>51930.657534246573</v>
      </c>
      <c r="M90" s="108">
        <v>2646834.7430775813</v>
      </c>
      <c r="N90" s="108">
        <v>3081690.6259259256</v>
      </c>
      <c r="O90" s="108">
        <v>31713.33</v>
      </c>
      <c r="P90" s="108">
        <v>2222443.6643497185</v>
      </c>
      <c r="Q90" s="108">
        <v>58056.790957417208</v>
      </c>
      <c r="T90" s="45" t="s">
        <v>325</v>
      </c>
    </row>
    <row r="91" spans="2:22">
      <c r="B91" s="5" t="s">
        <v>148</v>
      </c>
      <c r="F91" s="5" t="s">
        <v>164</v>
      </c>
      <c r="J91" s="91">
        <f t="shared" si="12"/>
        <v>16721.28692157305</v>
      </c>
      <c r="L91" s="108">
        <v>0.48493150684931507</v>
      </c>
      <c r="M91" s="108">
        <v>5983.8852033458361</v>
      </c>
      <c r="N91" s="108">
        <v>8850.8948198883809</v>
      </c>
      <c r="O91" s="108">
        <v>10.4</v>
      </c>
      <c r="P91" s="108">
        <v>1874.6224027137739</v>
      </c>
      <c r="Q91" s="108">
        <v>0.99956411821114133</v>
      </c>
      <c r="T91" s="45" t="s">
        <v>326</v>
      </c>
    </row>
    <row r="92" spans="2:22">
      <c r="B92" s="5" t="s">
        <v>123</v>
      </c>
      <c r="F92" s="5" t="s">
        <v>164</v>
      </c>
      <c r="J92" s="91">
        <f t="shared" si="12"/>
        <v>2769505.1723103845</v>
      </c>
      <c r="L92" s="108">
        <v>25871</v>
      </c>
      <c r="M92" s="108">
        <v>1235073.1814248627</v>
      </c>
      <c r="N92" s="108">
        <v>786448.09577371902</v>
      </c>
      <c r="O92" s="108">
        <v>18957</v>
      </c>
      <c r="P92" s="108">
        <v>675019.2535122222</v>
      </c>
      <c r="Q92" s="108">
        <v>28136.641599580427</v>
      </c>
      <c r="T92" s="45" t="s">
        <v>327</v>
      </c>
      <c r="V92" s="5" t="s">
        <v>124</v>
      </c>
    </row>
    <row r="93" spans="2:22">
      <c r="T93" s="45"/>
    </row>
    <row r="94" spans="2:22">
      <c r="B94" s="27" t="s">
        <v>125</v>
      </c>
      <c r="T94" s="45"/>
    </row>
    <row r="95" spans="2:22">
      <c r="T95" s="45"/>
    </row>
    <row r="96" spans="2:22">
      <c r="B96" s="5" t="s">
        <v>126</v>
      </c>
      <c r="F96" s="5" t="s">
        <v>164</v>
      </c>
      <c r="J96" s="91">
        <f t="shared" ref="J96:J97" si="13">SUM(L96:Q96)</f>
        <v>826067593.98133087</v>
      </c>
      <c r="L96" s="108">
        <v>2812114</v>
      </c>
      <c r="M96" s="108">
        <v>226971202.46913582</v>
      </c>
      <c r="N96" s="108">
        <v>382217968</v>
      </c>
      <c r="O96" s="108">
        <v>4832740</v>
      </c>
      <c r="P96" s="108">
        <v>209233569.51219508</v>
      </c>
      <c r="Q96" s="108">
        <v>0</v>
      </c>
      <c r="T96" s="45" t="s">
        <v>328</v>
      </c>
    </row>
    <row r="97" spans="2:20">
      <c r="B97" s="5" t="s">
        <v>127</v>
      </c>
      <c r="F97" s="5" t="s">
        <v>164</v>
      </c>
      <c r="J97" s="91">
        <f t="shared" si="13"/>
        <v>95243479.569406807</v>
      </c>
      <c r="L97" s="108">
        <v>80867</v>
      </c>
      <c r="M97" s="108">
        <v>51403324.69135803</v>
      </c>
      <c r="N97" s="108">
        <v>18955157</v>
      </c>
      <c r="O97" s="108">
        <v>161776</v>
      </c>
      <c r="P97" s="108">
        <v>24642354.878048778</v>
      </c>
      <c r="Q97" s="108">
        <v>0</v>
      </c>
      <c r="T97" s="45" t="s">
        <v>329</v>
      </c>
    </row>
    <row r="98" spans="2:20">
      <c r="T98" s="45"/>
    </row>
  </sheetData>
  <phoneticPr fontId="78"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U27"/>
  <sheetViews>
    <sheetView showGridLines="0" zoomScale="85" zoomScaleNormal="85" workbookViewId="0">
      <pane xSplit="6" ySplit="9" topLeftCell="G10" activePane="bottomRight" state="frozen"/>
      <selection activeCell="W47" sqref="W47"/>
      <selection pane="topRight" activeCell="W47" sqref="W47"/>
      <selection pane="bottomLeft" activeCell="W47" sqref="W47"/>
      <selection pane="bottomRight" activeCell="G10" sqref="G10"/>
    </sheetView>
  </sheetViews>
  <sheetFormatPr defaultColWidth="9.140625" defaultRowHeight="12.75"/>
  <cols>
    <col min="1" max="1" width="4.7109375" style="5" customWidth="1"/>
    <col min="2" max="2" width="41.42578125" style="5" customWidth="1"/>
    <col min="3" max="3" width="4.7109375" style="5" customWidth="1"/>
    <col min="4" max="4" width="4.5703125" style="5" customWidth="1"/>
    <col min="5" max="5" width="4.5703125" style="5" hidden="1" customWidth="1"/>
    <col min="6" max="6" width="9.28515625" style="5" customWidth="1"/>
    <col min="7" max="7" width="2.7109375" style="5" customWidth="1"/>
    <col min="8" max="8" width="10" style="5" customWidth="1"/>
    <col min="9" max="9" width="2.7109375" style="5" customWidth="1"/>
    <col min="10" max="10" width="8.5703125" style="5" customWidth="1"/>
    <col min="11" max="11" width="2.7109375" style="5" customWidth="1"/>
    <col min="12" max="12" width="12.5703125" style="5" customWidth="1"/>
    <col min="13" max="14" width="15" style="5" bestFit="1" customWidth="1"/>
    <col min="15" max="15" width="12.5703125" style="5" customWidth="1"/>
    <col min="16" max="16" width="15" style="5" bestFit="1" customWidth="1"/>
    <col min="17" max="17" width="12.5703125" style="5" customWidth="1"/>
    <col min="18" max="18" width="2.7109375" style="5" customWidth="1"/>
    <col min="19" max="19" width="81.140625" style="5" bestFit="1" customWidth="1"/>
    <col min="20" max="20" width="2.7109375" style="5" customWidth="1"/>
    <col min="21" max="21" width="13.7109375" style="5" customWidth="1"/>
    <col min="22" max="22" width="2.7109375" style="5" customWidth="1"/>
    <col min="23" max="37" width="13.7109375" style="5" customWidth="1"/>
    <col min="38" max="16384" width="9.140625" style="5"/>
  </cols>
  <sheetData>
    <row r="2" spans="2:21" s="20" customFormat="1" ht="18">
      <c r="B2" s="20" t="s">
        <v>178</v>
      </c>
    </row>
    <row r="4" spans="2:21">
      <c r="B4" s="27" t="s">
        <v>28</v>
      </c>
      <c r="C4" s="4"/>
      <c r="D4" s="4"/>
      <c r="L4"/>
    </row>
    <row r="5" spans="2:21">
      <c r="B5" s="5" t="s">
        <v>259</v>
      </c>
      <c r="C5" s="6"/>
      <c r="D5" s="6"/>
      <c r="H5" s="21"/>
    </row>
    <row r="6" spans="2:21">
      <c r="B6" s="5" t="s">
        <v>248</v>
      </c>
      <c r="C6" s="6"/>
      <c r="D6" s="6"/>
      <c r="H6" s="21"/>
    </row>
    <row r="8" spans="2:21" s="11" customFormat="1">
      <c r="F8" s="11" t="s">
        <v>26</v>
      </c>
      <c r="H8" s="11" t="s">
        <v>27</v>
      </c>
      <c r="J8" s="11" t="s">
        <v>46</v>
      </c>
      <c r="L8" s="11" t="s">
        <v>93</v>
      </c>
      <c r="M8" s="11" t="s">
        <v>70</v>
      </c>
      <c r="N8" s="11" t="s">
        <v>71</v>
      </c>
      <c r="O8" s="11" t="s">
        <v>72</v>
      </c>
      <c r="P8" s="11" t="s">
        <v>73</v>
      </c>
      <c r="Q8" s="11" t="s">
        <v>74</v>
      </c>
      <c r="S8" s="11" t="s">
        <v>44</v>
      </c>
      <c r="U8" s="11" t="s">
        <v>45</v>
      </c>
    </row>
    <row r="11" spans="2:21" s="11" customFormat="1">
      <c r="B11" s="11" t="s">
        <v>187</v>
      </c>
    </row>
    <row r="13" spans="2:21">
      <c r="B13" s="4" t="s">
        <v>76</v>
      </c>
    </row>
    <row r="14" spans="2:21">
      <c r="B14" s="5" t="s">
        <v>77</v>
      </c>
      <c r="F14" s="5" t="s">
        <v>69</v>
      </c>
      <c r="H14" s="50"/>
      <c r="L14" s="32">
        <v>0</v>
      </c>
      <c r="M14" s="32">
        <v>57784</v>
      </c>
      <c r="N14" s="32">
        <v>365704</v>
      </c>
      <c r="O14" s="32">
        <v>0</v>
      </c>
      <c r="P14" s="32">
        <v>580968</v>
      </c>
      <c r="Q14" s="32">
        <v>0</v>
      </c>
      <c r="S14" s="45" t="s">
        <v>330</v>
      </c>
    </row>
    <row r="15" spans="2:21">
      <c r="B15" s="5" t="s">
        <v>78</v>
      </c>
      <c r="F15" s="5" t="s">
        <v>69</v>
      </c>
      <c r="H15" s="50"/>
      <c r="L15" s="32">
        <v>0</v>
      </c>
      <c r="M15" s="32">
        <v>1667550</v>
      </c>
      <c r="N15" s="32">
        <v>1948004</v>
      </c>
      <c r="O15" s="32">
        <v>0</v>
      </c>
      <c r="P15" s="32">
        <v>825576</v>
      </c>
      <c r="Q15" s="32">
        <v>0</v>
      </c>
      <c r="S15" s="45" t="s">
        <v>331</v>
      </c>
    </row>
    <row r="16" spans="2:21">
      <c r="B16" s="5" t="s">
        <v>79</v>
      </c>
      <c r="F16" s="5" t="s">
        <v>69</v>
      </c>
      <c r="H16" s="50"/>
      <c r="L16" s="32">
        <v>0</v>
      </c>
      <c r="M16" s="32">
        <v>453234</v>
      </c>
      <c r="N16" s="32">
        <v>0</v>
      </c>
      <c r="O16" s="32">
        <v>32204</v>
      </c>
      <c r="P16" s="32">
        <v>0</v>
      </c>
      <c r="Q16" s="32">
        <v>0</v>
      </c>
      <c r="S16" s="45" t="s">
        <v>332</v>
      </c>
    </row>
    <row r="17" spans="2:19">
      <c r="B17" s="5" t="s">
        <v>80</v>
      </c>
      <c r="F17" s="5" t="s">
        <v>69</v>
      </c>
      <c r="H17" s="50"/>
      <c r="L17" s="32">
        <v>8012</v>
      </c>
      <c r="M17" s="32">
        <v>1445049</v>
      </c>
      <c r="N17" s="32">
        <v>1281792.3092308</v>
      </c>
      <c r="O17" s="32">
        <v>1428</v>
      </c>
      <c r="P17" s="32">
        <v>512708</v>
      </c>
      <c r="Q17" s="32">
        <v>441462</v>
      </c>
      <c r="S17" s="45" t="s">
        <v>333</v>
      </c>
    </row>
    <row r="18" spans="2:19">
      <c r="B18" s="5" t="s">
        <v>81</v>
      </c>
      <c r="F18" s="5" t="s">
        <v>69</v>
      </c>
      <c r="H18" s="50"/>
      <c r="L18" s="32">
        <v>3320</v>
      </c>
      <c r="M18" s="32">
        <v>250084</v>
      </c>
      <c r="N18" s="32">
        <v>200201.16513792</v>
      </c>
      <c r="O18" s="32">
        <v>282</v>
      </c>
      <c r="P18" s="32">
        <v>69984</v>
      </c>
      <c r="Q18" s="32">
        <v>57300</v>
      </c>
      <c r="S18" s="45" t="s">
        <v>334</v>
      </c>
    </row>
    <row r="19" spans="2:19">
      <c r="H19" s="50"/>
      <c r="L19" s="39"/>
      <c r="M19" s="39"/>
      <c r="N19" s="39"/>
      <c r="O19" s="39"/>
      <c r="P19" s="39"/>
      <c r="Q19" s="39"/>
    </row>
    <row r="20" spans="2:19" s="11" customFormat="1">
      <c r="B20" s="11" t="s">
        <v>155</v>
      </c>
    </row>
    <row r="22" spans="2:19">
      <c r="B22" s="4" t="s">
        <v>76</v>
      </c>
    </row>
    <row r="23" spans="2:19">
      <c r="B23" s="5" t="s">
        <v>77</v>
      </c>
      <c r="F23" s="5" t="s">
        <v>69</v>
      </c>
      <c r="H23" s="50"/>
      <c r="L23" s="32">
        <v>0</v>
      </c>
      <c r="M23" s="32">
        <v>43057</v>
      </c>
      <c r="N23" s="32">
        <v>375612</v>
      </c>
      <c r="O23" s="32">
        <v>0</v>
      </c>
      <c r="P23" s="32">
        <v>776128</v>
      </c>
      <c r="Q23" s="32">
        <v>0</v>
      </c>
      <c r="S23" s="5" t="s">
        <v>254</v>
      </c>
    </row>
    <row r="24" spans="2:19">
      <c r="B24" s="5" t="s">
        <v>78</v>
      </c>
      <c r="F24" s="5" t="s">
        <v>69</v>
      </c>
      <c r="H24" s="50"/>
      <c r="L24" s="32">
        <v>0</v>
      </c>
      <c r="M24" s="32">
        <v>2109501</v>
      </c>
      <c r="N24" s="32">
        <v>2208204</v>
      </c>
      <c r="O24" s="32">
        <v>0</v>
      </c>
      <c r="P24" s="32">
        <v>889524</v>
      </c>
      <c r="Q24" s="32">
        <v>0</v>
      </c>
      <c r="S24" s="5" t="s">
        <v>254</v>
      </c>
    </row>
    <row r="25" spans="2:19">
      <c r="B25" s="5" t="s">
        <v>79</v>
      </c>
      <c r="F25" s="5" t="s">
        <v>69</v>
      </c>
      <c r="H25" s="50"/>
      <c r="L25" s="32">
        <v>0</v>
      </c>
      <c r="M25" s="32">
        <v>473073</v>
      </c>
      <c r="N25" s="32">
        <v>0</v>
      </c>
      <c r="O25" s="32">
        <v>32020</v>
      </c>
      <c r="P25" s="32">
        <v>0</v>
      </c>
      <c r="Q25" s="32">
        <v>0</v>
      </c>
      <c r="S25" s="5" t="s">
        <v>254</v>
      </c>
    </row>
    <row r="26" spans="2:19">
      <c r="B26" s="5" t="s">
        <v>80</v>
      </c>
      <c r="F26" s="5" t="s">
        <v>69</v>
      </c>
      <c r="H26" s="50"/>
      <c r="L26" s="32">
        <v>7352</v>
      </c>
      <c r="M26" s="32">
        <v>1639855</v>
      </c>
      <c r="N26" s="32">
        <v>1458019</v>
      </c>
      <c r="O26" s="32">
        <v>736</v>
      </c>
      <c r="P26" s="32">
        <v>578763.80000000005</v>
      </c>
      <c r="Q26" s="32">
        <v>364976</v>
      </c>
      <c r="S26" s="5" t="s">
        <v>254</v>
      </c>
    </row>
    <row r="27" spans="2:19">
      <c r="B27" s="5" t="s">
        <v>81</v>
      </c>
      <c r="F27" s="5" t="s">
        <v>69</v>
      </c>
      <c r="H27" s="50"/>
      <c r="L27" s="32">
        <v>3820</v>
      </c>
      <c r="M27" s="32">
        <v>293656</v>
      </c>
      <c r="N27" s="32">
        <v>259216</v>
      </c>
      <c r="O27" s="32">
        <v>235</v>
      </c>
      <c r="P27" s="32">
        <v>95863.8</v>
      </c>
      <c r="Q27" s="32">
        <v>49376</v>
      </c>
      <c r="S27" s="5" t="s">
        <v>254</v>
      </c>
    </row>
  </sheetData>
  <phoneticPr fontId="78" type="noConversion"/>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
  <sheetViews>
    <sheetView showGridLines="0" zoomScale="85" zoomScaleNormal="85" workbookViewId="0"/>
  </sheetViews>
  <sheetFormatPr defaultColWidth="9.140625" defaultRowHeight="12.75"/>
  <cols>
    <col min="1" max="16384" width="9.140625" style="23"/>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CDAB9D1-B815-4B0E-93E7-4496A7FE99F6}">
  <ds:schemaRefs>
    <ds:schemaRef ds:uri="http://purl.org/dc/dcmitype/"/>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Titelblad</vt:lpstr>
      <vt:lpstr>Toelichting</vt:lpstr>
      <vt:lpstr>Bronnen en toepassingen</vt:lpstr>
      <vt:lpstr>Input --&gt;</vt:lpstr>
      <vt:lpstr>Realisatie 2022</vt:lpstr>
      <vt:lpstr>SO REG2022</vt:lpstr>
      <vt:lpstr>Rekenvolumes TD</vt:lpstr>
      <vt:lpstr>Invoeding</vt:lpstr>
      <vt:lpstr>Berekeningen --&gt;</vt:lpstr>
      <vt:lpstr>Wegingsfactoren</vt:lpstr>
      <vt:lpstr>Ontwikkeling inkomsten TD</vt:lpstr>
      <vt:lpstr>Vergoeding inv. ontw. 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2024-11-08T10:06:18Z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