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6D6D03D9-4362-4866-B656-308C99481171}" xr6:coauthVersionLast="47" xr6:coauthVersionMax="47" xr10:uidLastSave="{00000000-0000-0000-0000-000000000000}"/>
  <bookViews>
    <workbookView xWindow="-120" yWindow="-120" windowWidth="29040" windowHeight="15840" xr2:uid="{00000000-000D-0000-FFFF-FFFF00000000}"/>
  </bookViews>
  <sheets>
    <sheet name="Titelblad" sheetId="9" r:id="rId1"/>
    <sheet name="Toelichting" sheetId="10" r:id="rId2"/>
    <sheet name="Bronnen en toepassingen" sheetId="11" r:id="rId3"/>
    <sheet name="1) Berekening PV" sheetId="26" r:id="rId4"/>
    <sheet name="Input --&gt;" sheetId="13" r:id="rId5"/>
    <sheet name="2) Parameters" sheetId="24" r:id="rId6"/>
    <sheet name="3) GAW" sheetId="25" r:id="rId7"/>
    <sheet name="4) Overige data" sheetId="18" r:id="rId8"/>
    <sheet name="Berekeningen --&gt;" sheetId="15" r:id="rId9"/>
    <sheet name="5) Berekening kapitaalkosten" sheetId="2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50" i="22" l="1"/>
  <c r="P51" i="22"/>
  <c r="P38" i="22"/>
  <c r="P39" i="22"/>
  <c r="H37" i="24" l="1"/>
  <c r="H41" i="24" l="1"/>
  <c r="Q40" i="26" l="1"/>
  <c r="P40" i="26"/>
  <c r="Q28" i="26"/>
  <c r="P28" i="26"/>
  <c r="Q22" i="26"/>
  <c r="P22" i="26"/>
  <c r="H16" i="26"/>
  <c r="Q29" i="22" l="1"/>
  <c r="Q30" i="22"/>
  <c r="Q31" i="22"/>
  <c r="Q25" i="22"/>
  <c r="Q26" i="22"/>
  <c r="Q44" i="22" l="1"/>
  <c r="Q25" i="25"/>
  <c r="Q22" i="22" s="1"/>
  <c r="Q26" i="25"/>
  <c r="Q23" i="22" s="1"/>
  <c r="Q51" i="22" l="1"/>
  <c r="P26" i="22"/>
  <c r="O26" i="22"/>
  <c r="N26" i="22"/>
  <c r="P25" i="22"/>
  <c r="O25" i="22"/>
  <c r="N25" i="22"/>
  <c r="P26" i="25" l="1"/>
  <c r="O26" i="25"/>
  <c r="N26" i="25"/>
  <c r="M26" i="25"/>
  <c r="L26" i="25"/>
  <c r="P25" i="25"/>
  <c r="O25" i="25"/>
  <c r="N25" i="25"/>
  <c r="M25" i="25"/>
  <c r="L25" i="25"/>
  <c r="H32" i="24"/>
  <c r="H33" i="24" s="1"/>
  <c r="H34" i="24" s="1"/>
  <c r="H35" i="24" s="1"/>
  <c r="H38" i="24"/>
  <c r="H42" i="24" l="1"/>
  <c r="H43" i="24" s="1"/>
  <c r="H44" i="24"/>
  <c r="H45" i="24" s="1"/>
  <c r="H46" i="24" l="1"/>
  <c r="H20" i="22" s="1"/>
  <c r="P27" i="26"/>
  <c r="O27" i="26"/>
  <c r="O26" i="26"/>
  <c r="N26" i="26"/>
  <c r="N25" i="26"/>
  <c r="M25" i="26"/>
  <c r="M24" i="26"/>
  <c r="L24" i="26"/>
  <c r="H15" i="26" l="1"/>
  <c r="P21" i="26"/>
  <c r="P39" i="26"/>
  <c r="O39" i="26"/>
  <c r="O21" i="26"/>
  <c r="P31" i="22"/>
  <c r="P30" i="22"/>
  <c r="P29" i="22"/>
  <c r="P23" i="22"/>
  <c r="P22" i="22"/>
  <c r="P44" i="22" l="1"/>
  <c r="L29" i="22" l="1"/>
  <c r="M29" i="22"/>
  <c r="N29" i="22"/>
  <c r="O29" i="22"/>
  <c r="L30" i="22"/>
  <c r="M30" i="22"/>
  <c r="N30" i="22"/>
  <c r="O30" i="22"/>
  <c r="L31" i="22"/>
  <c r="M31" i="22"/>
  <c r="N31" i="22"/>
  <c r="O31" i="22"/>
  <c r="N44" i="22" l="1"/>
  <c r="M44" i="22"/>
  <c r="L44" i="22"/>
  <c r="O44" i="22"/>
  <c r="H19" i="22"/>
  <c r="Q39" i="22" l="1"/>
  <c r="O38" i="26"/>
  <c r="N38" i="26"/>
  <c r="N37" i="26"/>
  <c r="M37" i="26"/>
  <c r="M36" i="26"/>
  <c r="L36" i="26"/>
  <c r="O20" i="26"/>
  <c r="N20" i="26"/>
  <c r="N19" i="26"/>
  <c r="M19" i="26"/>
  <c r="M18" i="26"/>
  <c r="L18" i="26"/>
  <c r="H12" i="26"/>
  <c r="H13" i="26"/>
  <c r="H14" i="26"/>
  <c r="L22" i="22"/>
  <c r="M22" i="22"/>
  <c r="N22" i="22"/>
  <c r="O22" i="22"/>
  <c r="L23" i="22"/>
  <c r="M23" i="22"/>
  <c r="N23" i="22"/>
  <c r="O23" i="22"/>
  <c r="H15" i="22"/>
  <c r="H16" i="22"/>
  <c r="H17" i="22"/>
  <c r="H18" i="22"/>
  <c r="P34" i="26" l="1"/>
  <c r="P49" i="26" s="1"/>
  <c r="Q34" i="26"/>
  <c r="Q49" i="26" s="1"/>
  <c r="O38" i="22"/>
  <c r="O50" i="22" s="1"/>
  <c r="O37" i="22"/>
  <c r="O49" i="22" s="1"/>
  <c r="M35" i="22"/>
  <c r="N36" i="22"/>
  <c r="N48" i="22" s="1"/>
  <c r="M36" i="22"/>
  <c r="M48" i="22" s="1"/>
  <c r="L35" i="22"/>
  <c r="L47" i="22" s="1"/>
  <c r="N37" i="22"/>
  <c r="N49" i="22" s="1"/>
  <c r="Q53" i="26" l="1"/>
  <c r="Q55" i="26" s="1"/>
  <c r="P33" i="26"/>
  <c r="P48" i="26" s="1"/>
  <c r="O33" i="26"/>
  <c r="O48" i="26" s="1"/>
  <c r="M47" i="22"/>
  <c r="M31" i="26"/>
  <c r="M46" i="26" s="1"/>
  <c r="L30" i="26"/>
  <c r="L45" i="26" s="1"/>
  <c r="N32" i="26"/>
  <c r="N47" i="26" s="1"/>
  <c r="O32" i="26"/>
  <c r="O47" i="26" s="1"/>
  <c r="N31" i="26"/>
  <c r="N46" i="26" s="1"/>
  <c r="P53" i="26" l="1"/>
  <c r="P55" i="26" s="1"/>
  <c r="M30" i="26"/>
  <c r="M45" i="26" s="1"/>
  <c r="N53" i="26"/>
  <c r="O53" i="26"/>
  <c r="N55" i="26" l="1"/>
  <c r="O55" i="26"/>
  <c r="M53" i="26" l="1"/>
  <c r="B49" i="10"/>
  <c r="B37" i="10"/>
  <c r="B44" i="10"/>
  <c r="B38" i="10"/>
  <c r="B39" i="10" l="1"/>
  <c r="B43" i="10" s="1"/>
  <c r="M55" i="26"/>
  <c r="H57"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43" authorId="0" shapeId="0" xr:uid="{00000000-0006-0000-0300-000001000000}">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Q17" authorId="0" shapeId="0" xr:uid="{36C4B2C1-7DF4-4E03-8A0B-F64024B0E0F4}">
      <text>
        <r>
          <rPr>
            <sz val="9"/>
            <color indexed="81"/>
            <rFont val="Tahoma"/>
            <family val="2"/>
          </rPr>
          <t>Gemiddelde van 2021  inclusief en exclusief Personeel B.V. Stedin.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N49" authorId="0" shapeId="0" xr:uid="{81489420-1F99-44F4-8B10-6134E8490100}">
      <text>
        <r>
          <rPr>
            <sz val="9"/>
            <color indexed="81"/>
            <rFont val="Tahoma"/>
            <family val="2"/>
          </rPr>
          <t>Vanaf 2018-2019 worden de kapitaalkosten gecorrigeerd voor de afschrijvingsklif op de start-GAW van RENDO.</t>
        </r>
      </text>
    </comment>
  </commentList>
</comments>
</file>

<file path=xl/sharedStrings.xml><?xml version="1.0" encoding="utf-8"?>
<sst xmlns="http://schemas.openxmlformats.org/spreadsheetml/2006/main" count="423" uniqueCount="250">
  <si>
    <t>Opmerking</t>
  </si>
  <si>
    <t>[ EINDE TABBLAD ]</t>
  </si>
  <si>
    <t>Overige opmerkingen</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</si>
  <si>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</si>
  <si>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</si>
  <si>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</si>
  <si>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</si>
  <si>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</si>
  <si>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</si>
  <si>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</si>
  <si>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</si>
  <si>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</si>
  <si>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</si>
  <si>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Mogelijkheden van bezwaar en beroep staan open tegen het besluit waarbij dit bestand hoort (zie kenmerken hierboven)</t>
  </si>
  <si>
    <t>Contactgegevens ACM</t>
  </si>
  <si>
    <t>Toelichting bij dit bestand</t>
  </si>
  <si>
    <t>Toelichting bij de werking van dit model</t>
  </si>
  <si>
    <t>Schematische weergave en/of inhoudsopgave van de werking van dit model</t>
  </si>
  <si>
    <t>Legenda voor gebruik van celkleuren en tabkleuren</t>
  </si>
  <si>
    <t>Celkleur getallen</t>
  </si>
  <si>
    <t>Beschrijving</t>
  </si>
  <si>
    <t>Data en input (bron wordt vermeld)</t>
  </si>
  <si>
    <t>Waarde die zonder berekening wordt overgenomen uit een andere cel</t>
  </si>
  <si>
    <t>Berekende waarde</t>
  </si>
  <si>
    <t>Berekende waarde die wordt opgehaald op een ander tabblad, incl. (eind)resultaat van berekening</t>
  </si>
  <si>
    <t>Cel is niet van toepassing (dus leeg, niet nul), maar er wordt door een formule wel naar verwezen</t>
  </si>
  <si>
    <t>Bijzonderheden:</t>
  </si>
  <si>
    <t>Waarde of berekening die speciale aandacht vraagt (zie toelichting in notitie)</t>
  </si>
  <si>
    <t>Ingevoerde waarde of berekening die nog niet juist is (indien van toepassing)</t>
  </si>
  <si>
    <t>Eventueel te gebruiken:</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</si>
  <si>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</si>
  <si>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</si>
  <si>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Grijze cijfers geven de uitkomt van een check berekening; dit is geen resultaat waarmee verder wordt gerekend</t>
  </si>
  <si>
    <t>Tabkleur</t>
  </si>
  <si>
    <t>Tabbladen die het model vormen</t>
  </si>
  <si>
    <t>Resultaat</t>
  </si>
  <si>
    <t>Tabblad met resultaten/output</t>
  </si>
  <si>
    <t>Data</t>
  </si>
  <si>
    <t>Tabblad met input</t>
  </si>
  <si>
    <t>Berekening</t>
  </si>
  <si>
    <t>Tabblad met berekeningen</t>
  </si>
  <si>
    <t>Tabblad dat als geheel nog onjuist of niet up to date is</t>
  </si>
  <si>
    <t>Tabbladen ten behoeve van begrip</t>
  </si>
  <si>
    <t>Input --&gt;</t>
  </si>
  <si>
    <t>Leeg tabblad dat wordt gebruikt als index/markering voor een serie tabbladen (kleur: licht grijs)</t>
  </si>
  <si>
    <t>Toelichting</t>
  </si>
  <si>
    <t>Gestandaardiseerde tabbladen, omvat tenminste: 'Titelblad', 'Toelichting' en 'Bronnen en toepassingen' (kleur: ACM-lichtpaars)</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</si>
  <si>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</si>
  <si>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</si>
  <si>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</si>
  <si>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</si>
  <si>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</si>
  <si>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</si>
  <si>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t>
  </si>
  <si>
    <t>Zaaknummer en/of kenmerk ACM</t>
  </si>
  <si>
    <t>Aanvullende gegevens bestand</t>
  </si>
  <si>
    <t>Zoals gebruikt in dit bestand</t>
  </si>
  <si>
    <t>Exacte bestandsnaam</t>
  </si>
  <si>
    <t>Indien van toepassing</t>
  </si>
  <si>
    <t>Datum/wijze ontvangst, versie nr., URL, etc.</t>
  </si>
  <si>
    <t>Duiding van specifieke Excel-toepassingen en overige bijzonderheden</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</si>
  <si>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</si>
  <si>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</si>
  <si>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Toelichting bij bijzonderheden</t>
  </si>
  <si>
    <t>Omschrijving</t>
  </si>
  <si>
    <t>Eenheid</t>
  </si>
  <si>
    <t>Constante</t>
  </si>
  <si>
    <t>Rijtotaal</t>
  </si>
  <si>
    <t>1. …</t>
  </si>
  <si>
    <t>2. …</t>
  </si>
  <si>
    <t>3. …</t>
  </si>
  <si>
    <t>4. …</t>
  </si>
  <si>
    <t>5. …</t>
  </si>
  <si>
    <t>6. …</t>
  </si>
  <si>
    <t>7. …</t>
  </si>
  <si>
    <t>8. …</t>
  </si>
  <si>
    <t>9. …</t>
  </si>
  <si>
    <t>10. …</t>
  </si>
  <si>
    <t>Beschrijving gegevens</t>
  </si>
  <si>
    <t>Bronverwijzing</t>
  </si>
  <si>
    <t>Beschrijving berekening</t>
  </si>
  <si>
    <t>Ophalen gegevens voor berekening</t>
  </si>
  <si>
    <t>Operationele kosten voor PV</t>
  </si>
  <si>
    <t>CPI</t>
  </si>
  <si>
    <t>CPI 2017</t>
  </si>
  <si>
    <t>CPI 2018</t>
  </si>
  <si>
    <t>CPI 2019</t>
  </si>
  <si>
    <t>WACC 2016</t>
  </si>
  <si>
    <t>WACC 2017</t>
  </si>
  <si>
    <t>WACC 2018</t>
  </si>
  <si>
    <t>WACC 2019</t>
  </si>
  <si>
    <t>Overige opbrengsten uit PAV Maatwerk</t>
  </si>
  <si>
    <t>waarvan reeds met OPEX gesaldeerd (restant wordt gesaldeerd met KK)</t>
  </si>
  <si>
    <t>Te salderen opbrengsten uit desinvesteringen</t>
  </si>
  <si>
    <t>Afschrijvingen</t>
  </si>
  <si>
    <t>GAW</t>
  </si>
  <si>
    <t>2016</t>
  </si>
  <si>
    <t>2017</t>
  </si>
  <si>
    <t>2018</t>
  </si>
  <si>
    <t>2019</t>
  </si>
  <si>
    <t>WACC voor PV 2016-2017</t>
  </si>
  <si>
    <t>WACC voor PV 2017-2018</t>
  </si>
  <si>
    <t>WACC voor PV 2018-2019</t>
  </si>
  <si>
    <t xml:space="preserve">Samengestelde output voor PV berekening </t>
  </si>
  <si>
    <t>Gemiddelde WACC</t>
  </si>
  <si>
    <t>Berekening kapitaalkosten</t>
  </si>
  <si>
    <t>Saldering opbrengsten en overige aanpassingen</t>
  </si>
  <si>
    <t>Netto kapitaalkosten voor PV 2016-2017</t>
  </si>
  <si>
    <t>Netto kapitaalkosten voor PV 2017-2018</t>
  </si>
  <si>
    <t>Netto kapitaalkosten voor PV 2018-2019</t>
  </si>
  <si>
    <t>Operationele kosten voor PV 2016-2017</t>
  </si>
  <si>
    <t>Operationele kosten voor PV 2017-2018</t>
  </si>
  <si>
    <t>Operationele kosten voor PV 2018-2019</t>
  </si>
  <si>
    <t>Samengestelde output voor PV 2016-2017</t>
  </si>
  <si>
    <t>Samengestelde output voor PV 2017-2018</t>
  </si>
  <si>
    <t>Samengestelde output voor PV 2018-2019</t>
  </si>
  <si>
    <t>EUR, pp jaar</t>
  </si>
  <si>
    <t>#</t>
  </si>
  <si>
    <t>%</t>
  </si>
  <si>
    <t>EUR, pp 2017</t>
  </si>
  <si>
    <t>EUR, pp 2018</t>
  </si>
  <si>
    <t>EUR, pp 2019</t>
  </si>
  <si>
    <t xml:space="preserve">Totale kosten voor PV berekening </t>
  </si>
  <si>
    <t>Totale kosten voor PV 2016-2017</t>
  </si>
  <si>
    <t>Totale kosten voor PV 2017-2018</t>
  </si>
  <si>
    <t>Totale kosten voor PV 2018-2019</t>
  </si>
  <si>
    <t>Productiviteitsverandering</t>
  </si>
  <si>
    <t>Jaarlijkse productiviteitsverandering jaar n-1 naar jaar n</t>
  </si>
  <si>
    <t>Jaarlijkse PV + 1</t>
  </si>
  <si>
    <t>Inschatting productiviteitsverandering 2021-2026</t>
  </si>
  <si>
    <t>Netto kapitalkosten voor PV</t>
  </si>
  <si>
    <t>https://www.acm.nl/sites/default/files/documents/2019-01/herstel-bijlage-2-uitwerking-van-de-methode-voor-de-wacc.pdf</t>
  </si>
  <si>
    <t>Nominale WACC BI2016</t>
  </si>
  <si>
    <t>Nominale WACC EI2021</t>
  </si>
  <si>
    <t>CBS</t>
  </si>
  <si>
    <t>Parameters</t>
  </si>
  <si>
    <t>Overige data</t>
  </si>
  <si>
    <t>Op dit tabblad haalt de ACM de gegevens voor de operationele kosten en samengestelde output.</t>
  </si>
  <si>
    <t>Op dit tabblad haalt de ACM de jaarlijkse cijfers voor de inflatie (CPI) en de WACC op.</t>
  </si>
  <si>
    <t>Voor de mutatie tussen jaar t en jaar t+1 maakt de ACM gebruik van de gemiddelde WACC in die jaren.</t>
  </si>
  <si>
    <t>GAW indexatiefactor</t>
  </si>
  <si>
    <t>WACC BI2016</t>
  </si>
  <si>
    <t>WACC EI2021</t>
  </si>
  <si>
    <t>Bijdragen EAV voor PV</t>
  </si>
  <si>
    <t>Bijdragen EAV voor PV 2016-2017</t>
  </si>
  <si>
    <t>Bijdragen EAV voor PV 2017-2018</t>
  </si>
  <si>
    <t>Bijdragen EAV voor PV 2018-2019</t>
  </si>
  <si>
    <t>Operationele kosten voor PV 2019-2020</t>
  </si>
  <si>
    <t>2020</t>
  </si>
  <si>
    <t>Bijdragen EAV voor PV 2019-2020</t>
  </si>
  <si>
    <t>WACC 2020</t>
  </si>
  <si>
    <t>Samengestelde output voor PV 2019-2020</t>
  </si>
  <si>
    <t>Netto kapitaalkosten voor PV 2019-2020</t>
  </si>
  <si>
    <t>Totale kosten voor PV 2019-2020</t>
  </si>
  <si>
    <t>EUR, pp 2020</t>
  </si>
  <si>
    <t>CPI 2020</t>
  </si>
  <si>
    <t>Berekening PV</t>
  </si>
  <si>
    <t>Op dit tabblad worden de GAW waardes opgehaald met een indexatiefactor van 50%. Hiervoor wordt in het GAW bestand de waarde van de CPI voor alle jaren vervangen door 50% van de geschatte inflatie in de WACC.</t>
  </si>
  <si>
    <t>Op dit tabblad berekent de ACM wat de jaarlijkse kapitaalkosten voor de productiviteitsverandering zijn op basis van een indexatiefactor van 50%.</t>
  </si>
  <si>
    <t>Inputs</t>
  </si>
  <si>
    <t>Berekeningen</t>
  </si>
  <si>
    <t>Resultaten</t>
  </si>
  <si>
    <t xml:space="preserve">Een productiviteitsverandering gebaseerd op kosten van het reële stelsel is niet representatief voor de kosten vanaf 2022. </t>
  </si>
  <si>
    <t>In het reële stelsel wordt immers inflatie geactiveerd in de gestandaardiseerde activa waarde (GAW), waar deze in het geldende stelsel deels meteen vergoed wordt.</t>
  </si>
  <si>
    <t>1) Berekening PV</t>
  </si>
  <si>
    <t>5) Berekening kapitaalkosten</t>
  </si>
  <si>
    <t>3) GAW</t>
  </si>
  <si>
    <t>2) Parameters</t>
  </si>
  <si>
    <t>4) Overige data</t>
  </si>
  <si>
    <t>Geschatte inflatie t.b.v. WACC 2014-2016</t>
  </si>
  <si>
    <t>Geschatte inflatie t.b.v. WACC BI2016</t>
  </si>
  <si>
    <t>Geschatte inflatie t.b.v. WACC EI2021</t>
  </si>
  <si>
    <t>Op dit tabblad berekent de ACM de verwachte productiviteitsverandering voor elektriciteit tussen 2021 en 2026.</t>
  </si>
  <si>
    <t>WACC = [ (1 + nominale WACC) / (1 + inflatie * indexatiefactor) ] -1.</t>
  </si>
  <si>
    <t>Reële WACC = [ (1 + nominale WACC) / (1 + inflatie) ] -1.</t>
  </si>
  <si>
    <t>Nominale WACC 2014-2016</t>
  </si>
  <si>
    <t>Geschatte inflatie 2017</t>
  </si>
  <si>
    <t>Geschatte inflatie 2018</t>
  </si>
  <si>
    <t>Geschatte inflatie 2019</t>
  </si>
  <si>
    <t>Geschatte inflatie 2020</t>
  </si>
  <si>
    <t>Totale afschrijvingen</t>
  </si>
  <si>
    <t>GAW precario</t>
  </si>
  <si>
    <t>Afschrijvingen op precario</t>
  </si>
  <si>
    <t>Totale GAW</t>
  </si>
  <si>
    <t>GAW sheet E 03s</t>
  </si>
  <si>
    <t>WACC 2014-2016</t>
  </si>
  <si>
    <t>Afschrijvingen op start-GAW RENDO</t>
  </si>
  <si>
    <t>Start-GAW RENDO</t>
  </si>
  <si>
    <t>https://www.acm.nl/nl/publicaties/publicatie/12039/Bijlage-2-WACC-methode-bij-methodebesluiten-2014-2016</t>
  </si>
  <si>
    <t>WACC 2017-2021/1</t>
  </si>
  <si>
    <t>WACC 2017-2021/2</t>
  </si>
  <si>
    <t>https://www.acm.nl/nl/publicaties/publicatie/16199/WACC-methode-bij-de-methodebesluiten-2017-2021</t>
  </si>
  <si>
    <t>Ophalen gegevens GAW in stelsel met 50% indexatie</t>
  </si>
  <si>
    <t>WACC voor PV 2019-2020</t>
  </si>
  <si>
    <t>WACC op basis van een indexatiefactor van 50%</t>
  </si>
  <si>
    <t>WACC</t>
  </si>
  <si>
    <t>CPI 2021</t>
  </si>
  <si>
    <t>WACC 2021</t>
  </si>
  <si>
    <t>2021</t>
  </si>
  <si>
    <t>Operationele kosten voor PV 2020-2021</t>
  </si>
  <si>
    <t>Bijdragen EAV voor PV 2020-2021</t>
  </si>
  <si>
    <t>Samengestelde output voor PV 2020-2021</t>
  </si>
  <si>
    <t>WACC voor PV 2020-2021</t>
  </si>
  <si>
    <t>Netto kapitaalkosten voor PV 2020-2021</t>
  </si>
  <si>
    <t>Totale kosten voor PV 2020-2021</t>
  </si>
  <si>
    <t>EUR, pp 2021</t>
  </si>
  <si>
    <t>Vanaf 2017 exclusief activa Personeel BV Enexis, vanaf 2020 exclusief activa Personeel BV RENDO, en vanaf 2021 exclusief Personeel BV Stedin.</t>
  </si>
  <si>
    <t>Herstel berekeningsbestand PV RNB-E voor kostenontwikkeling 2021-2026</t>
  </si>
  <si>
    <t>n.v.t.</t>
  </si>
  <si>
    <t>Regulering.energie@acm.nl</t>
  </si>
  <si>
    <t>Definitief? (j/n)</t>
  </si>
  <si>
    <t>Is of wordt gepubliceerd? (j/n)</t>
  </si>
  <si>
    <t>Juridisch integraal onderdeel van bovenstaande besluit(en) (j/n)?</t>
  </si>
  <si>
    <t>Bevat bedrijfsvertrouwelijke gegevens? (j/n)</t>
  </si>
  <si>
    <t>Opmerkingen openbare versiegeschiedenis</t>
  </si>
  <si>
    <t>Herstel kostenbestand RNB-E 2022-2026</t>
  </si>
  <si>
    <t>Herstel SO-bestand RNB-E 2022-2026</t>
  </si>
  <si>
    <t>ACM/23/184726</t>
  </si>
  <si>
    <t>Herstel x-factorbesluit RNB-E 2022-2026</t>
  </si>
  <si>
    <t>In dit bestand berekent de ACM wat de verwachte productiviteitsverandering is in het stelsel dat vanaf 2022 geldt voor de regionale netbeheerders elektriciteit.</t>
  </si>
  <si>
    <t>De overheveling van de Personeel BV van Stedin vond plaats halverwege 2021. Hierom wordt voor 2021 een gemiddelde genomen van afschrijvingen en GAW inclusief en exclusief de BV.</t>
  </si>
  <si>
    <t>Omdat de berekeningswijze voor ieder jaar uitgaat van de reëel-plus WACC is het niet mogelijk om het GAW bestand 2022-2026 te gebruiken. In plaats daarvan wordt de vorige versie gebruikt.</t>
  </si>
  <si>
    <t>Herstel x-factorberekening RNB-E 2022-2026</t>
  </si>
  <si>
    <t>Te salderen met kapitaalkosten</t>
  </si>
  <si>
    <t>GAW-bestand RNB-E (oud)</t>
  </si>
  <si>
    <t>GAW-bestand RNB-E (oud), tabblad "Dashboard boekjaar", cel K39</t>
  </si>
  <si>
    <t>GAW-bestand RNB-E (oud), tabblad "Dashboard boekjaar", cel K40</t>
  </si>
  <si>
    <t>GAW-bestand RNB-E (oud), tabblad "Dashboard boekjaar", cel K24</t>
  </si>
  <si>
    <t>GAW-bestand RNB-E (oud), tabblad "Dashboard boekjaar", cel K25</t>
  </si>
  <si>
    <t>GAW-bestand RNB-E (oud), tabblad "Dashboard boekjaar", cel O14</t>
  </si>
  <si>
    <t>GAW-bestand RNB-E (oud), tabblad "Dashboard boekjaar", cel O15</t>
  </si>
  <si>
    <t>Herstel kostenbestand 2022-2026, tabblad "9) Berekening Kapitaalkosten", J22, J29; J36; J43; J50; J79</t>
  </si>
  <si>
    <t>Herstel kostenbestand 2022-2026, tabblad "9) Berekening Kapitaalkosten", J23; J30; J37; J44; J51; J80</t>
  </si>
  <si>
    <t>Herstel kostenbestand 2022-2026, tabblad "9) Berekening Kapitaalkosten", J24; J31; J38; J45; J52; J81</t>
  </si>
  <si>
    <t>Herstel kostenbestand 2022-2026, tabblad "1) Totale kosten", J12; J17</t>
  </si>
  <si>
    <t>Herstel kostenbestand 2022-2026, tabblad "1) Totale kosten", J17; J22</t>
  </si>
  <si>
    <t>Herstel kostenbestand 2022-2026, tabblad "1) Totale kosten", J22; J27</t>
  </si>
  <si>
    <t>Herstel kostenbestand 2022-2026, tabblad "1) Totale kosten", J27; J32</t>
  </si>
  <si>
    <t>Herstel kostenbestand 2022-2026, tabblad "1) Totale kosten", J32; J43</t>
  </si>
  <si>
    <t>Herstel SO-bestand 2022-2026, tabblad "Output BI, EAV en SO", H24; H25</t>
  </si>
  <si>
    <t>Herstel SO-bestand 2022-2026, tabblad "Output BI, EAV en SO", H25; H26</t>
  </si>
  <si>
    <t>Herstel SO-bestand 2022-2026, tabblad "Output BI, EAV en SO", H26; H27</t>
  </si>
  <si>
    <t>Herstel SO-bestand 2022-2026, tabblad "Output BI, EAV en SO", H27; H28</t>
  </si>
  <si>
    <t>Herstel SO-bestand 2022-2026, tabblad "Output BI, EAV en SO", H28; H29</t>
  </si>
  <si>
    <t>Herstel SO-bestand 2022-2026, tabblad "Output BI, EAV en SO", H35; H36</t>
  </si>
  <si>
    <t>Herstel SO-bestand 2022-2026, tabblad "Output BI, EAV en SO", H36; H37</t>
  </si>
  <si>
    <t>Herstel SO-bestand 2022-2026, tabblad "Output BI, EAV en SO", H37; H38</t>
  </si>
  <si>
    <t>Herstel SO-bestand 2022-2026, tabblad "Output BI, EAV en SO", H38; H39</t>
  </si>
  <si>
    <t>Herstel SO-bestand 2022-2026, tabblad "Output BI, EAV en SO", H39; H40</t>
  </si>
  <si>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</sst>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 #,##0.0000_ ;_ * \-#,##0.0000_ ;_ * &quot;-&quot;_ ;_ @_ "/>
    <numFmt numFmtId="166" formatCode="#,##0_);\(#,##0\);&quot;-  &quot;;&quot; &quot;@"/>
    <numFmt numFmtId="167" formatCode="0.00%_);\-0.00%_);&quot;-  &quot;;&quot; &quot;@"/>
    <numFmt numFmtId="168" formatCode="#,##0.0000_);\(#,##0.0000\);&quot;-  &quot;;&quot; &quot;@"/>
    <numFmt numFmtId="169" formatCode="dd\ mmm\ yyyy_);;&quot;-  &quot;;&quot; &quot;@"/>
    <numFmt numFmtId="170" formatCode="dd\ mmm\ yy_);;&quot;-  &quot;;&quot; &quot;@"/>
    <numFmt numFmtId="171" formatCode="_-* #,##0.00_-;_-* #,##0.00\-;_-* &quot;-&quot;??_-;_-@_-"/>
    <numFmt numFmtId="172" formatCode="_([$€]* #,##0.00_);_([$€]* \(#,##0.00\);_([$€]* &quot;-&quot;??_);_(@_)"/>
  </numFmts>
  <fonts count="51"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8"/>
      <name val="Arial"/>
      <family val="2"/>
    </font>
    <font>
      <sz val="9"/>
      <color indexed="81"/>
      <name val="Tahoma"/>
      <family val="2"/>
    </font>
    <font>
      <sz val="10"/>
      <color theme="0" tint="-0.34998626667073579"/>
      <name val="Arial"/>
      <family val="2"/>
    </font>
    <font>
      <b/>
      <sz val="10"/>
      <color indexed="8"/>
      <name val="Arial"/>
      <family val="2"/>
    </font>
    <font>
      <sz val="11"/>
      <color indexed="8"/>
      <name val="Calibri"/>
      <family val="2"/>
    </font>
    <font>
      <b/>
      <sz val="11"/>
      <color indexed="8"/>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2"/>
      <name val="Times New Roman"/>
      <family val="1"/>
    </font>
    <font>
      <sz val="10"/>
      <color indexed="8"/>
      <name val="MS Sans Serif"/>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indexed="45"/>
      </patternFill>
    </fill>
    <fill>
      <patternFill patternType="solid">
        <fgColor indexed="42"/>
      </patternFill>
    </fill>
    <fill>
      <patternFill patternType="solid">
        <fgColor indexed="47"/>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8">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7"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9" fillId="0" borderId="0">
      <alignment vertical="top"/>
    </xf>
    <xf numFmtId="49" fontId="8" fillId="0" borderId="0">
      <alignment vertical="top"/>
    </xf>
    <xf numFmtId="0" fontId="15" fillId="12" borderId="3" applyNumberFormat="0" applyAlignment="0" applyProtection="0"/>
    <xf numFmtId="0" fontId="16" fillId="13" borderId="4" applyNumberFormat="0" applyAlignment="0" applyProtection="0"/>
    <xf numFmtId="0" fontId="17" fillId="13" borderId="3" applyNumberFormat="0" applyAlignment="0" applyProtection="0"/>
    <xf numFmtId="0" fontId="18" fillId="0" borderId="5" applyNumberFormat="0" applyFill="0" applyAlignment="0" applyProtection="0"/>
    <xf numFmtId="0" fontId="12" fillId="14" borderId="6" applyNumberFormat="0" applyAlignment="0" applyProtection="0"/>
    <xf numFmtId="0" fontId="14" fillId="15" borderId="7" applyNumberFormat="0" applyFont="0" applyAlignment="0" applyProtection="0"/>
    <xf numFmtId="0" fontId="19" fillId="0" borderId="0" applyNumberForma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7" fillId="40" borderId="0" applyNumberFormat="0" applyBorder="0" applyAlignment="0" applyProtection="0"/>
    <xf numFmtId="0" fontId="28" fillId="0" borderId="0" applyNumberFormat="0" applyFill="0" applyBorder="0" applyAlignment="0" applyProtection="0"/>
    <xf numFmtId="49" fontId="20" fillId="0" borderId="0" applyFill="0" applyBorder="0" applyAlignment="0" applyProtection="0"/>
    <xf numFmtId="43" fontId="5" fillId="41" borderId="0" applyNumberFormat="0">
      <alignment vertical="top"/>
    </xf>
    <xf numFmtId="43" fontId="5" fillId="8" borderId="0" applyFont="0" applyFill="0" applyBorder="0" applyAlignment="0" applyProtection="0">
      <alignment vertical="top"/>
    </xf>
    <xf numFmtId="10" fontId="5" fillId="0" borderId="0" applyFont="0" applyFill="0" applyBorder="0" applyAlignment="0" applyProtection="0">
      <alignment vertical="top"/>
    </xf>
    <xf numFmtId="41" fontId="5" fillId="42" borderId="0">
      <alignment vertical="top"/>
    </xf>
    <xf numFmtId="0" fontId="5" fillId="0" borderId="0"/>
    <xf numFmtId="166" fontId="33" fillId="0" borderId="0" applyFont="0" applyFill="0" applyBorder="0" applyProtection="0">
      <alignment vertical="top"/>
    </xf>
    <xf numFmtId="0" fontId="36" fillId="47" borderId="20" applyNumberFormat="0" applyAlignment="0" applyProtection="0"/>
    <xf numFmtId="166" fontId="33" fillId="0" borderId="0" applyFont="0" applyFill="0" applyBorder="0" applyProtection="0">
      <alignment vertical="top"/>
    </xf>
    <xf numFmtId="166" fontId="33" fillId="0" borderId="0" applyFont="0" applyFill="0" applyBorder="0" applyProtection="0">
      <alignment vertical="top"/>
    </xf>
    <xf numFmtId="0" fontId="37" fillId="48" borderId="21" applyNumberFormat="0" applyAlignment="0" applyProtection="0"/>
    <xf numFmtId="169" fontId="33" fillId="0" borderId="0" applyFont="0" applyFill="0" applyBorder="0" applyProtection="0">
      <alignment vertical="top"/>
    </xf>
    <xf numFmtId="169" fontId="33" fillId="0" borderId="0" applyFont="0" applyFill="0" applyBorder="0" applyProtection="0">
      <alignment vertical="top"/>
    </xf>
    <xf numFmtId="170" fontId="33" fillId="0" borderId="0" applyFont="0" applyFill="0" applyBorder="0" applyProtection="0">
      <alignment vertical="top"/>
    </xf>
    <xf numFmtId="170" fontId="33" fillId="0" borderId="0" applyFont="0" applyFill="0" applyBorder="0" applyProtection="0">
      <alignment vertical="top"/>
    </xf>
    <xf numFmtId="168" fontId="33" fillId="0" borderId="0" applyFont="0" applyFill="0" applyBorder="0" applyProtection="0">
      <alignment vertical="top"/>
    </xf>
    <xf numFmtId="168" fontId="33" fillId="0" borderId="0" applyFont="0" applyFill="0" applyBorder="0" applyProtection="0">
      <alignment vertical="top"/>
    </xf>
    <xf numFmtId="168" fontId="33" fillId="0" borderId="0" applyFont="0" applyFill="0" applyBorder="0" applyProtection="0">
      <alignment vertical="top"/>
    </xf>
    <xf numFmtId="0" fontId="44" fillId="0" borderId="22" applyNumberFormat="0" applyFill="0" applyAlignment="0" applyProtection="0"/>
    <xf numFmtId="0" fontId="39" fillId="45" borderId="0" applyNumberFormat="0" applyBorder="0" applyAlignment="0" applyProtection="0"/>
    <xf numFmtId="0" fontId="43" fillId="46" borderId="20" applyNumberFormat="0" applyAlignment="0" applyProtection="0"/>
    <xf numFmtId="166" fontId="33" fillId="0" borderId="0" applyFont="0" applyFill="0" applyBorder="0" applyProtection="0">
      <alignment vertical="top"/>
    </xf>
    <xf numFmtId="0" fontId="40" fillId="0" borderId="23" applyNumberFormat="0" applyFill="0" applyAlignment="0" applyProtection="0"/>
    <xf numFmtId="0" fontId="41" fillId="0" borderId="24" applyNumberFormat="0" applyFill="0" applyAlignment="0" applyProtection="0"/>
    <xf numFmtId="0" fontId="42" fillId="0" borderId="25" applyNumberFormat="0" applyFill="0" applyAlignment="0" applyProtection="0"/>
    <xf numFmtId="0" fontId="42" fillId="0" borderId="0" applyNumberFormat="0" applyFill="0" applyBorder="0" applyAlignment="0" applyProtection="0"/>
    <xf numFmtId="0" fontId="45" fillId="49" borderId="0" applyNumberFormat="0" applyBorder="0" applyAlignment="0" applyProtection="0"/>
    <xf numFmtId="166" fontId="33" fillId="0" borderId="0" applyFont="0" applyFill="0" applyBorder="0" applyProtection="0">
      <alignment vertical="top"/>
    </xf>
    <xf numFmtId="0" fontId="33" fillId="50" borderId="26" applyNumberFormat="0" applyFont="0" applyAlignment="0" applyProtection="0"/>
    <xf numFmtId="0" fontId="35" fillId="44" borderId="0" applyNumberFormat="0" applyBorder="0" applyAlignment="0" applyProtection="0"/>
    <xf numFmtId="167" fontId="33" fillId="0" borderId="0" applyFont="0" applyFill="0" applyBorder="0" applyProtection="0">
      <alignment vertical="top"/>
    </xf>
    <xf numFmtId="167" fontId="33" fillId="0" borderId="0" applyFont="0" applyFill="0" applyBorder="0" applyProtection="0">
      <alignment vertical="top"/>
    </xf>
    <xf numFmtId="166" fontId="33" fillId="0" borderId="0" applyFont="0" applyFill="0" applyBorder="0" applyProtection="0">
      <alignment vertical="top"/>
    </xf>
    <xf numFmtId="0" fontId="47" fillId="0" borderId="0" applyNumberFormat="0" applyFill="0" applyBorder="0" applyAlignment="0" applyProtection="0"/>
    <xf numFmtId="0" fontId="34" fillId="0" borderId="28" applyNumberFormat="0" applyFill="0" applyAlignment="0" applyProtection="0"/>
    <xf numFmtId="0" fontId="46" fillId="47" borderId="27" applyNumberFormat="0" applyAlignment="0" applyProtection="0"/>
    <xf numFmtId="0" fontId="38" fillId="0" borderId="0" applyNumberFormat="0" applyFill="0" applyBorder="0" applyAlignment="0" applyProtection="0"/>
    <xf numFmtId="0" fontId="48" fillId="0" borderId="0" applyNumberFormat="0" applyFill="0" applyBorder="0" applyAlignment="0" applyProtection="0"/>
    <xf numFmtId="166" fontId="33" fillId="0" borderId="0" applyFont="0" applyFill="0" applyBorder="0" applyProtection="0">
      <alignment vertical="top"/>
    </xf>
    <xf numFmtId="0" fontId="49" fillId="0" borderId="0"/>
    <xf numFmtId="0" fontId="50" fillId="0" borderId="0"/>
    <xf numFmtId="172" fontId="5" fillId="0" borderId="0" applyFont="0" applyFill="0" applyBorder="0" applyAlignment="0" applyProtection="0"/>
    <xf numFmtId="43" fontId="49" fillId="0" borderId="0" applyFont="0" applyFill="0" applyBorder="0" applyAlignment="0" applyProtection="0"/>
    <xf numFmtId="0" fontId="49" fillId="0" borderId="0"/>
    <xf numFmtId="0" fontId="5" fillId="0" borderId="0"/>
    <xf numFmtId="0" fontId="5" fillId="0" borderId="0"/>
    <xf numFmtId="171" fontId="5" fillId="0" borderId="0" applyFont="0" applyFill="0" applyBorder="0" applyAlignment="0" applyProtection="0"/>
    <xf numFmtId="171" fontId="5" fillId="0" borderId="0" applyFont="0" applyFill="0" applyBorder="0" applyAlignment="0" applyProtection="0"/>
    <xf numFmtId="0" fontId="5" fillId="0" borderId="0"/>
    <xf numFmtId="0" fontId="5" fillId="0" borderId="0"/>
    <xf numFmtId="171" fontId="5" fillId="0" borderId="0" applyFont="0" applyFill="0" applyBorder="0" applyAlignment="0" applyProtection="0"/>
    <xf numFmtId="166" fontId="33" fillId="0" borderId="0" applyFont="0" applyFill="0" applyBorder="0" applyProtection="0">
      <alignment vertical="top"/>
    </xf>
    <xf numFmtId="170" fontId="33" fillId="0" borderId="0" applyFont="0" applyFill="0" applyBorder="0" applyProtection="0">
      <alignment vertical="top"/>
    </xf>
    <xf numFmtId="169" fontId="33" fillId="0" borderId="0" applyFont="0" applyFill="0" applyBorder="0" applyProtection="0">
      <alignment vertical="top"/>
    </xf>
    <xf numFmtId="0" fontId="5" fillId="0" borderId="0"/>
    <xf numFmtId="0" fontId="5" fillId="0" borderId="0"/>
    <xf numFmtId="171"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0" fillId="0" borderId="0"/>
    <xf numFmtId="168" fontId="33" fillId="0" borderId="0" applyFont="0" applyFill="0" applyBorder="0" applyProtection="0">
      <alignment vertical="top"/>
    </xf>
    <xf numFmtId="168" fontId="49" fillId="0" borderId="0" applyFont="0" applyFill="0" applyBorder="0" applyProtection="0">
      <alignment vertical="top"/>
    </xf>
    <xf numFmtId="0" fontId="14" fillId="0" borderId="0"/>
    <xf numFmtId="0" fontId="5" fillId="0" borderId="0"/>
    <xf numFmtId="167" fontId="33" fillId="0" borderId="0" applyFont="0" applyFill="0" applyBorder="0" applyProtection="0">
      <alignment vertical="top"/>
    </xf>
    <xf numFmtId="9" fontId="5" fillId="0" borderId="0" applyFont="0" applyFill="0" applyBorder="0" applyAlignment="0" applyProtection="0"/>
  </cellStyleXfs>
  <cellXfs count="71">
    <xf numFmtId="0" fontId="0" fillId="0" borderId="0" xfId="0">
      <alignment vertical="top"/>
    </xf>
    <xf numFmtId="0" fontId="6" fillId="0" borderId="0" xfId="4" applyFont="1">
      <alignment vertical="top"/>
    </xf>
    <xf numFmtId="0" fontId="5" fillId="0" borderId="0" xfId="4">
      <alignment vertical="top"/>
    </xf>
    <xf numFmtId="0" fontId="8" fillId="0" borderId="0" xfId="4" applyFont="1">
      <alignment vertical="top"/>
    </xf>
    <xf numFmtId="0" fontId="9" fillId="0" borderId="0" xfId="4" applyFont="1">
      <alignment vertical="top"/>
    </xf>
    <xf numFmtId="0" fontId="5" fillId="0" borderId="2" xfId="4" applyBorder="1">
      <alignment vertical="top"/>
    </xf>
    <xf numFmtId="49" fontId="7" fillId="5" borderId="1" xfId="5">
      <alignment vertical="top"/>
    </xf>
    <xf numFmtId="49" fontId="6" fillId="16" borderId="1" xfId="6">
      <alignment vertical="top"/>
    </xf>
    <xf numFmtId="0" fontId="5" fillId="0" borderId="0" xfId="4" applyFill="1">
      <alignment vertical="top"/>
    </xf>
    <xf numFmtId="0" fontId="5" fillId="0" borderId="2" xfId="4" applyBorder="1" applyAlignment="1">
      <alignment horizontal="left" vertical="top" wrapText="1"/>
    </xf>
    <xf numFmtId="0" fontId="9" fillId="0" borderId="0" xfId="4" applyFont="1" applyFill="1">
      <alignment vertical="top"/>
    </xf>
    <xf numFmtId="1" fontId="5" fillId="0" borderId="0" xfId="4" applyNumberFormat="1" applyFill="1">
      <alignment vertical="top"/>
    </xf>
    <xf numFmtId="1" fontId="8" fillId="0" borderId="0" xfId="4" applyNumberFormat="1" applyFont="1" applyFill="1">
      <alignment vertical="top"/>
    </xf>
    <xf numFmtId="0" fontId="11" fillId="0" borderId="0" xfId="4" applyFont="1" applyFill="1">
      <alignment vertical="top"/>
    </xf>
    <xf numFmtId="0" fontId="7" fillId="5" borderId="1" xfId="5" applyNumberFormat="1">
      <alignment vertical="top"/>
    </xf>
    <xf numFmtId="0" fontId="13" fillId="0" borderId="0" xfId="4" applyFont="1">
      <alignment vertical="top"/>
    </xf>
    <xf numFmtId="49" fontId="12" fillId="5" borderId="2" xfId="5" applyFont="1" applyBorder="1">
      <alignment vertical="top"/>
    </xf>
    <xf numFmtId="0" fontId="5" fillId="11" borderId="0" xfId="4" applyFill="1">
      <alignment vertical="top"/>
    </xf>
    <xf numFmtId="0" fontId="5" fillId="0" borderId="0" xfId="4" applyFont="1">
      <alignment vertical="top"/>
    </xf>
    <xf numFmtId="49" fontId="5" fillId="16" borderId="2" xfId="6" applyFont="1" applyBorder="1">
      <alignment vertical="top"/>
    </xf>
    <xf numFmtId="49" fontId="9" fillId="0" borderId="0" xfId="14">
      <alignment vertical="top"/>
    </xf>
    <xf numFmtId="49" fontId="6" fillId="0" borderId="0" xfId="7">
      <alignment vertical="top"/>
    </xf>
    <xf numFmtId="49" fontId="8" fillId="0" borderId="0" xfId="15">
      <alignment vertical="top"/>
    </xf>
    <xf numFmtId="41" fontId="5" fillId="9" borderId="0" xfId="8">
      <alignment vertical="top"/>
    </xf>
    <xf numFmtId="9" fontId="5" fillId="0" borderId="0" xfId="4" applyNumberFormat="1">
      <alignment vertical="top"/>
    </xf>
    <xf numFmtId="41" fontId="5" fillId="7" borderId="0" xfId="10">
      <alignment vertical="top"/>
    </xf>
    <xf numFmtId="41" fontId="5" fillId="6" borderId="0" xfId="12">
      <alignment vertical="top"/>
    </xf>
    <xf numFmtId="41" fontId="5" fillId="43" borderId="0" xfId="11">
      <alignment vertical="top"/>
    </xf>
    <xf numFmtId="41" fontId="5" fillId="43" borderId="2" xfId="11" applyBorder="1">
      <alignment vertical="top"/>
    </xf>
    <xf numFmtId="43" fontId="11" fillId="0" borderId="0" xfId="63" applyFont="1" applyFill="1">
      <alignment vertical="top"/>
    </xf>
    <xf numFmtId="41" fontId="5" fillId="42" borderId="0" xfId="65">
      <alignment vertical="top"/>
    </xf>
    <xf numFmtId="49" fontId="20" fillId="0" borderId="0" xfId="61" applyAlignment="1">
      <alignment vertical="top"/>
    </xf>
    <xf numFmtId="0" fontId="5" fillId="0" borderId="2" xfId="4" applyFont="1" applyBorder="1" applyAlignment="1">
      <alignment horizontal="left" vertical="top" wrapText="1"/>
    </xf>
    <xf numFmtId="41" fontId="5" fillId="10" borderId="0" xfId="13">
      <alignment vertical="top"/>
    </xf>
    <xf numFmtId="41" fontId="5" fillId="8" borderId="0" xfId="9">
      <alignment vertical="top"/>
    </xf>
    <xf numFmtId="0" fontId="8" fillId="11" borderId="0" xfId="4" applyFont="1" applyFill="1">
      <alignment vertical="top"/>
    </xf>
    <xf numFmtId="0" fontId="5" fillId="41" borderId="0" xfId="62" applyNumberFormat="1">
      <alignment vertical="top"/>
    </xf>
    <xf numFmtId="0" fontId="5" fillId="0" borderId="0" xfId="4" applyFont="1" applyFill="1" applyBorder="1" applyAlignment="1">
      <alignment horizontal="left" vertical="top" wrapText="1"/>
    </xf>
    <xf numFmtId="49" fontId="5" fillId="16" borderId="0" xfId="6" applyFont="1" applyBorder="1">
      <alignment vertical="top"/>
    </xf>
    <xf numFmtId="10" fontId="5" fillId="10" borderId="0" xfId="64" applyFill="1">
      <alignment vertical="top"/>
    </xf>
    <xf numFmtId="10" fontId="5" fillId="8" borderId="0" xfId="64" applyFill="1">
      <alignment vertical="top"/>
    </xf>
    <xf numFmtId="10" fontId="5" fillId="43" borderId="0" xfId="64" applyFill="1">
      <alignment vertical="top"/>
    </xf>
    <xf numFmtId="43" fontId="5" fillId="41" borderId="0" xfId="63" applyFill="1">
      <alignment vertical="top"/>
    </xf>
    <xf numFmtId="164" fontId="5" fillId="8" borderId="0" xfId="63" applyNumberFormat="1" applyFill="1">
      <alignment vertical="top"/>
    </xf>
    <xf numFmtId="164" fontId="5" fillId="41" borderId="0" xfId="63" applyNumberFormat="1" applyFill="1">
      <alignment vertical="top"/>
    </xf>
    <xf numFmtId="165" fontId="5" fillId="8" borderId="0" xfId="9" applyNumberFormat="1">
      <alignment vertical="top"/>
    </xf>
    <xf numFmtId="0" fontId="1" fillId="0" borderId="0" xfId="0" applyFont="1" applyAlignment="1"/>
    <xf numFmtId="49" fontId="6" fillId="0" borderId="0" xfId="7" applyFont="1">
      <alignment vertical="top"/>
    </xf>
    <xf numFmtId="164" fontId="31" fillId="0" borderId="0" xfId="63" applyNumberFormat="1" applyFont="1" applyFill="1">
      <alignment vertical="top"/>
    </xf>
    <xf numFmtId="10" fontId="31" fillId="0" borderId="0" xfId="64" applyFont="1">
      <alignment vertical="top"/>
    </xf>
    <xf numFmtId="9" fontId="5" fillId="43" borderId="0" xfId="64" applyNumberFormat="1" applyFill="1">
      <alignment vertical="top"/>
    </xf>
    <xf numFmtId="0" fontId="32" fillId="0" borderId="0" xfId="0" applyFont="1" applyAlignment="1">
      <alignment horizontal="center" vertical="top"/>
    </xf>
    <xf numFmtId="0" fontId="5" fillId="0" borderId="12" xfId="4" applyBorder="1">
      <alignment vertical="top"/>
    </xf>
    <xf numFmtId="0" fontId="5" fillId="0" borderId="13" xfId="4" applyBorder="1">
      <alignment vertical="top"/>
    </xf>
    <xf numFmtId="0" fontId="5" fillId="0" borderId="14" xfId="4" applyBorder="1">
      <alignment vertical="top"/>
    </xf>
    <xf numFmtId="0" fontId="5" fillId="0" borderId="15" xfId="4" applyBorder="1">
      <alignment vertical="top"/>
    </xf>
    <xf numFmtId="0" fontId="5" fillId="43" borderId="0" xfId="4" applyFill="1" applyAlignment="1">
      <alignment horizontal="center" vertical="top"/>
    </xf>
    <xf numFmtId="0" fontId="5" fillId="0" borderId="16" xfId="4" applyBorder="1">
      <alignment vertical="top"/>
    </xf>
    <xf numFmtId="0" fontId="5" fillId="0" borderId="17" xfId="4" applyBorder="1">
      <alignment vertical="top"/>
    </xf>
    <xf numFmtId="0" fontId="5" fillId="0" borderId="18" xfId="4" applyBorder="1">
      <alignment vertical="top"/>
    </xf>
    <xf numFmtId="0" fontId="5" fillId="0" borderId="19" xfId="4" applyBorder="1">
      <alignment vertical="top"/>
    </xf>
    <xf numFmtId="0" fontId="5" fillId="8" borderId="0" xfId="4" applyFill="1" applyAlignment="1">
      <alignment horizontal="center" vertical="top"/>
    </xf>
    <xf numFmtId="0" fontId="5" fillId="9" borderId="0" xfId="4" applyFill="1" applyAlignment="1">
      <alignment horizontal="center" vertical="top"/>
    </xf>
    <xf numFmtId="164" fontId="5" fillId="7" borderId="0" xfId="63" applyNumberFormat="1" applyFill="1">
      <alignment vertical="top"/>
    </xf>
    <xf numFmtId="49" fontId="20" fillId="0" borderId="2" xfId="61" applyBorder="1" applyAlignment="1">
      <alignment vertical="top"/>
    </xf>
    <xf numFmtId="10" fontId="5" fillId="0" borderId="0" xfId="4" applyNumberFormat="1">
      <alignment vertical="top"/>
    </xf>
    <xf numFmtId="49" fontId="20" fillId="0" borderId="0" xfId="61" applyFill="1" applyBorder="1" applyAlignment="1">
      <alignment horizontal="left" vertical="top" wrapText="1"/>
    </xf>
    <xf numFmtId="41" fontId="5" fillId="7" borderId="0" xfId="11" applyFill="1">
      <alignment vertical="top"/>
    </xf>
    <xf numFmtId="0" fontId="5" fillId="0" borderId="0" xfId="4" applyBorder="1">
      <alignment vertical="top"/>
    </xf>
    <xf numFmtId="10" fontId="5" fillId="9" borderId="0" xfId="64" applyNumberFormat="1" applyFill="1">
      <alignment vertical="top"/>
    </xf>
    <xf numFmtId="0" fontId="5" fillId="0" borderId="0" xfId="4" applyFont="1" applyFill="1" applyBorder="1" applyAlignment="1">
      <alignment horizontal="left" vertical="top" wrapText="1"/>
    </xf>
  </cellXfs>
  <cellStyles count="128">
    <cellStyle name="_x000d__x000a_JournalTemplate=C:\COMFO\CTALK\JOURSTD.TPL_x000d__x000a_LbStateAddress=3 3 0 251 1 89 2 311_x000d__x000a_LbStateJou" xfId="66" xr:uid="{E05BC69D-5878-4E84-90F5-4FC8DCB80E6D}"/>
    <cellStyle name="_x000d__x000a_JournalTemplate=C:\COMFO\CTALK\JOURSTD.TPL_x000d__x000a_LbStateAddress=3 3 0 251 1 89 2 311_x000d__x000a_LbStateJou 2" xfId="105" xr:uid="{73C65348-810D-4C1E-9F53-BD26858E11EE}"/>
    <cellStyle name="_x000d__x000a_JournalTemplate=C:\COMFO\CTALK\JOURSTD.TPL_x000d__x000a_LbStateAddress=3 3 0 251 1 89 2 311_x000d__x000a_LbStateJou 2 2" xfId="119" xr:uid="{09E98E71-518D-4A7D-BEB7-73BA0FDA2364}"/>
    <cellStyle name="_x000d__x000a_JournalTemplate=C:\COMFO\CTALK\JOURSTD.TPL_x000d__x000a_LbStateAddress=3 3 0 251 1 89 2 311_x000d__x000a_LbStateJou 3" xfId="101" xr:uid="{AEBD1DA3-EE09-40C5-8C18-6C1AFB33AE52}"/>
    <cellStyle name="_x000d__x000a_JournalTemplate=C:\COMFO\CTALK\JOURSTD.TPL_x000d__x000a_LbStateAddress=3 3 0 251 1 89 2 311_x000d__x000a_LbStateJou 4" xfId="121" xr:uid="{FC20D969-E3BC-4992-8142-80331E9ACC45}"/>
    <cellStyle name="_x000d__x000a_JournalTemplate=C:\COMFO\CTALK\JOURSTD.TPL_x000d__x000a_LbStateAddress=3 3 0 251 1 89 2 311_x000d__x000a_LbStateJou_100907 Kapitaalkosten v6.4 INTERN" xfId="118" xr:uid="{ED40F642-3C41-40A0-9B52-FC7423545F93}"/>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Berekening" xfId="68" xr:uid="{6454FB67-7FC1-4AA0-8D1D-A80CEA0C7F5D}"/>
    <cellStyle name="Cel (tussen)resultaat" xfId="8" xr:uid="{00000000-0005-0000-0000-00001C000000}"/>
    <cellStyle name="Cel Berekening" xfId="9" xr:uid="{00000000-0005-0000-0000-00001D000000}"/>
    <cellStyle name="Cel Bijzonderheid" xfId="10" xr:uid="{00000000-0005-0000-0000-00001E000000}"/>
    <cellStyle name="Cel Dataverzoek" xfId="65" xr:uid="{00000000-0005-0000-0000-00001F000000}"/>
    <cellStyle name="Cel Input" xfId="11" xr:uid="{00000000-0005-0000-0000-000020000000}"/>
    <cellStyle name="Cel n.v.t. (leeg)" xfId="62" xr:uid="{00000000-0005-0000-0000-000021000000}"/>
    <cellStyle name="Cel PM extern" xfId="12" xr:uid="{00000000-0005-0000-0000-000022000000}"/>
    <cellStyle name="Cel Verwijzing" xfId="13" xr:uid="{00000000-0005-0000-0000-000023000000}"/>
    <cellStyle name="Comma 2" xfId="70" xr:uid="{9A35C68B-6F6F-4AAA-8E5E-D5A3BAE2F050}"/>
    <cellStyle name="Comma 2 2" xfId="117" xr:uid="{F3216C38-55E3-4780-A453-05BD3C732E4F}"/>
    <cellStyle name="Comma 3" xfId="99" xr:uid="{6191C227-B6BD-4656-A1E1-190A3661E8C6}"/>
    <cellStyle name="Comma 4" xfId="103" xr:uid="{0ADE0922-E076-406C-A999-F3B85042B67F}"/>
    <cellStyle name="Controlecel" xfId="20" builtinId="23" hidden="1"/>
    <cellStyle name="Controlecel" xfId="71" xr:uid="{5E4BA70A-8F84-48AD-AC39-FF3DBF9AF87D}"/>
    <cellStyle name="DateLong" xfId="72" xr:uid="{AF8627BC-DE24-49BF-AEA5-B8A2B2EEE2E0}"/>
    <cellStyle name="DateLong 2" xfId="73" xr:uid="{7E3C5D20-DD65-449E-A4DE-B7898CA61A52}"/>
    <cellStyle name="DateLong 3" xfId="114" xr:uid="{C6A33C91-5846-4BFC-BB00-510665A984B7}"/>
    <cellStyle name="DateShort" xfId="74" xr:uid="{5FA5720F-08BD-49FF-BC49-6B0939B8B088}"/>
    <cellStyle name="DateShort 2" xfId="75" xr:uid="{BC04C0A4-EA0F-433C-AC80-03E81AF09F39}"/>
    <cellStyle name="DateShort 3" xfId="113" xr:uid="{41F964C0-F72D-4A4D-BC16-654BDEB6E15B}"/>
    <cellStyle name="Euro" xfId="102" xr:uid="{BAE3AB01-A107-4EEF-8A7F-B7BAA60EABFA}"/>
    <cellStyle name="Factor" xfId="76" xr:uid="{F9AC510A-79BC-4630-A6F6-C4922481069D}"/>
    <cellStyle name="Factor 2" xfId="77" xr:uid="{EC087254-0673-4671-89F8-DCC9DA95F458}"/>
    <cellStyle name="Factor 3" xfId="78" xr:uid="{C713636A-FA4D-494D-BE24-3B2E7794EA23}"/>
    <cellStyle name="Factor 4" xfId="122" xr:uid="{1B0A1F08-5CD2-4911-9728-86839AA284E1}"/>
    <cellStyle name="Factor 5" xfId="123" xr:uid="{323F4D38-A420-4E0A-9E61-6FF9DDF0A955}"/>
    <cellStyle name="Gekoppelde cel" xfId="19" builtinId="24" hidden="1"/>
    <cellStyle name="Gekoppelde cel" xfId="79" xr:uid="{60BB5CD3-F1A5-4012-B13B-C2E2E74DC249}"/>
    <cellStyle name="Gevolgde hyperlink" xfId="60" builtinId="9" hidden="1"/>
    <cellStyle name="Goed" xfId="1" builtinId="26" hidden="1"/>
    <cellStyle name="Goed" xfId="80" xr:uid="{C16FC1B3-C297-4935-B97B-35033269AD2A}"/>
    <cellStyle name="Hyperlink" xfId="22" builtinId="8" hidden="1"/>
    <cellStyle name="Hyperlink" xfId="61" builtinId="8" customBuiltin="1"/>
    <cellStyle name="Invoer" xfId="16" builtinId="20" hidden="1"/>
    <cellStyle name="Invoer" xfId="81" xr:uid="{C6FD182C-2588-471D-80EB-FFE358A2A901}"/>
    <cellStyle name="Komma" xfId="23" builtinId="3" hidden="1"/>
    <cellStyle name="Komma" xfId="63" builtinId="3"/>
    <cellStyle name="Komma [0]" xfId="24" builtinId="6" hidden="1"/>
    <cellStyle name="Komma 2" xfId="82" xr:uid="{240BD228-29DF-4086-847D-C82AAFF0C4D4}"/>
    <cellStyle name="Komma 2 2" xfId="108" xr:uid="{468E6556-9511-4038-95A4-EF7D3D37F228}"/>
    <cellStyle name="Komma 3" xfId="107" xr:uid="{CDCC5320-8492-46BA-8687-F2A91E0FBA20}"/>
    <cellStyle name="Komma 4" xfId="111" xr:uid="{0C7DD430-AA41-4128-98C4-04A608CD76BF}"/>
    <cellStyle name="Komma 5" xfId="112" xr:uid="{736C5187-90B3-46C3-84D5-A15B73F5F935}"/>
    <cellStyle name="Komma 6" xfId="69" xr:uid="{5F9FE065-9957-46A9-A1F7-A26DCC7D4FF9}"/>
    <cellStyle name="Kop 1" xfId="29" builtinId="16" hidden="1"/>
    <cellStyle name="Kop 1" xfId="83" xr:uid="{2231F906-1A82-4191-B270-8DCAE12CE0B3}"/>
    <cellStyle name="Kop 2" xfId="30" builtinId="17" hidden="1"/>
    <cellStyle name="Kop 2" xfId="84" xr:uid="{DCF6220E-D268-4A71-9818-3409B1B5EC6E}"/>
    <cellStyle name="Kop 3" xfId="31" builtinId="18" hidden="1"/>
    <cellStyle name="Kop 3" xfId="85" xr:uid="{2990C448-AC6F-45E1-833B-F22CB4A52947}"/>
    <cellStyle name="Kop 4" xfId="32" builtinId="19" hidden="1"/>
    <cellStyle name="Kop 4" xfId="86" xr:uid="{B64CA6CA-8482-47C7-B076-39998696E233}"/>
    <cellStyle name="Neutraal" xfId="3" builtinId="28" hidden="1"/>
    <cellStyle name="Neutraal" xfId="87" xr:uid="{97547A1A-F37F-4F80-B1F4-7DCFEEB8B404}"/>
    <cellStyle name="Normal 2" xfId="88" xr:uid="{F83F808E-B449-40F4-A8A8-D3747453F394}"/>
    <cellStyle name="Normal 2 2" xfId="116" xr:uid="{D161F4F6-449A-4052-B09B-947C0938083F}"/>
    <cellStyle name="Normal 3" xfId="100" xr:uid="{FC6EDABA-7956-41B3-8EFA-D7B5090F4716}"/>
    <cellStyle name="Normal 4" xfId="124" xr:uid="{66153CFD-A468-433C-A32D-BB781BD10ED1}"/>
    <cellStyle name="Normal 5" xfId="125" xr:uid="{70F1B7EA-AF4D-450F-BE12-333D5404ACDE}"/>
    <cellStyle name="Notitie" xfId="21" builtinId="10" hidden="1"/>
    <cellStyle name="Notitie" xfId="89" xr:uid="{1D2961F9-EA13-4203-A5DD-EE3EA4F0888C}"/>
    <cellStyle name="Ongeldig" xfId="2" builtinId="27" hidden="1"/>
    <cellStyle name="Ongeldig" xfId="90" xr:uid="{923C867F-8EBC-467E-9EB4-6EC5E0C5DEA9}"/>
    <cellStyle name="Opm. INTERN" xfId="14" xr:uid="{00000000-0005-0000-0000-000035000000}"/>
    <cellStyle name="Percent 2" xfId="92" xr:uid="{95529A4D-CEAD-4D5A-B19C-4300F982588C}"/>
    <cellStyle name="Percent 3" xfId="126" xr:uid="{EA7A7152-150E-443D-A398-756AC8A0D56B}"/>
    <cellStyle name="Percent 4" xfId="127" xr:uid="{640F4726-79FE-4CE7-969E-0C4AB5DC795C}"/>
    <cellStyle name="Procent" xfId="27" builtinId="5" hidden="1"/>
    <cellStyle name="Procent" xfId="64" builtinId="5"/>
    <cellStyle name="Procent 2" xfId="120" xr:uid="{6E143891-FFA4-4B88-BA3B-319724FC222D}"/>
    <cellStyle name="Procent 3" xfId="91" xr:uid="{7817F3DA-1D76-42AD-BC97-CD08CD94027F}"/>
    <cellStyle name="Standaard" xfId="0" builtinId="0" customBuiltin="1"/>
    <cellStyle name="Standaard 2" xfId="93" xr:uid="{A950AD0D-2793-42D6-9E85-58992C0139EE}"/>
    <cellStyle name="Standaard 2 2" xfId="109" xr:uid="{AEC250B1-F30E-4D1E-A43B-EB494132B8FF}"/>
    <cellStyle name="Standaard 2 3" xfId="104" xr:uid="{DEA2176F-458C-4530-B1D1-46F7C9F0CA22}"/>
    <cellStyle name="Standaard 3" xfId="110" xr:uid="{08A9F2B7-D908-44E0-8BC3-8E26496635CD}"/>
    <cellStyle name="Standaard 3 2" xfId="106" xr:uid="{71AD2B13-E993-46FB-9A57-E4A6DA59909B}"/>
    <cellStyle name="Standaard 4" xfId="115" xr:uid="{75ECCA56-85A6-45DA-B54E-F6522C9335EC}"/>
    <cellStyle name="Standaard 5" xfId="67" xr:uid="{75F57B68-7AF3-4E3F-A2AF-FFCD1A0DA78D}"/>
    <cellStyle name="Standaard ACM-DE" xfId="4" xr:uid="{00000000-0005-0000-0000-000039000000}"/>
    <cellStyle name="Titel" xfId="28" builtinId="15" hidden="1"/>
    <cellStyle name="Titel" xfId="94" xr:uid="{3470FA3A-79D5-4D06-A84F-9C9599E3CF89}"/>
    <cellStyle name="Toelichting" xfId="15" xr:uid="{00000000-0005-0000-0000-00003B000000}"/>
    <cellStyle name="Totaal" xfId="35" builtinId="25" hidden="1"/>
    <cellStyle name="Totaal" xfId="95" xr:uid="{035C6EE6-E310-4DDC-A1E6-2C0D6EEE4A67}"/>
    <cellStyle name="Uitvoer" xfId="17" builtinId="21" hidden="1"/>
    <cellStyle name="Uitvoer" xfId="96" xr:uid="{EB5A5DCC-C628-4670-A494-293D4DBE8686}"/>
    <cellStyle name="Valuta" xfId="25" builtinId="4" hidden="1"/>
    <cellStyle name="Valuta [0]" xfId="26" builtinId="7" hidden="1"/>
    <cellStyle name="Verklarende tekst" xfId="34" builtinId="53" hidden="1"/>
    <cellStyle name="Verklarende tekst" xfId="97" xr:uid="{E19F4E58-F55C-453C-998B-C8EAC1E2BB66}"/>
    <cellStyle name="Waarschuwingstekst" xfId="33" builtinId="11" hidden="1"/>
    <cellStyle name="Waarschuwingstekst" xfId="98" xr:uid="{F42F570B-AF45-4D02-BEEC-A8AB991DBBC8}"/>
  </cellStyles>
  <dxfs count="0"/>
  <tableStyles count="0" defaultTableStyle="TableStyleMedium2" defaultPivotStyle="PivotStyleLight16"/>
  <colors>
    <mruColors>
      <color rgb="FFE1FFE1"/>
      <color rgb="FFFFFFCC"/>
      <color rgb="FFCCFFFF"/>
      <color rgb="FFFFCCFF"/>
      <color rgb="FF99FF99"/>
      <color rgb="FFCCC8D9"/>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6569</xdr:colOff>
      <xdr:row>21</xdr:row>
      <xdr:rowOff>72259</xdr:rowOff>
    </xdr:from>
    <xdr:to>
      <xdr:col>6</xdr:col>
      <xdr:colOff>6569</xdr:colOff>
      <xdr:row>21</xdr:row>
      <xdr:rowOff>72259</xdr:rowOff>
    </xdr:to>
    <xdr:cxnSp macro="">
      <xdr:nvCxnSpPr>
        <xdr:cNvPr id="5" name="Rechte verbindingslijn met pijl 34">
          <a:extLst>
            <a:ext uri="{FF2B5EF4-FFF2-40B4-BE49-F238E27FC236}">
              <a16:creationId xmlns:a16="http://schemas.microsoft.com/office/drawing/2014/main" id="{48A85D87-2E09-4380-8EB5-EA40774BC299}"/>
            </a:ext>
          </a:extLst>
        </xdr:cNvPr>
        <xdr:cNvCxnSpPr/>
      </xdr:nvCxnSpPr>
      <xdr:spPr>
        <a:xfrm>
          <a:off x="5816819" y="3539359"/>
          <a:ext cx="16478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6569</xdr:colOff>
      <xdr:row>21</xdr:row>
      <xdr:rowOff>72259</xdr:rowOff>
    </xdr:from>
    <xdr:to>
      <xdr:col>6</xdr:col>
      <xdr:colOff>6569</xdr:colOff>
      <xdr:row>21</xdr:row>
      <xdr:rowOff>72259</xdr:rowOff>
    </xdr:to>
    <xdr:cxnSp macro="">
      <xdr:nvCxnSpPr>
        <xdr:cNvPr id="6" name="Rechte verbindingslijn met pijl 37">
          <a:extLst>
            <a:ext uri="{FF2B5EF4-FFF2-40B4-BE49-F238E27FC236}">
              <a16:creationId xmlns:a16="http://schemas.microsoft.com/office/drawing/2014/main" id="{CF9F1462-7D98-48EC-9DEB-738699BF447F}"/>
            </a:ext>
          </a:extLst>
        </xdr:cNvPr>
        <xdr:cNvCxnSpPr/>
      </xdr:nvCxnSpPr>
      <xdr:spPr>
        <a:xfrm>
          <a:off x="5816819" y="3539359"/>
          <a:ext cx="16478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12431</xdr:colOff>
      <xdr:row>21</xdr:row>
      <xdr:rowOff>48813</xdr:rowOff>
    </xdr:from>
    <xdr:to>
      <xdr:col>10</xdr:col>
      <xdr:colOff>12431</xdr:colOff>
      <xdr:row>21</xdr:row>
      <xdr:rowOff>48813</xdr:rowOff>
    </xdr:to>
    <xdr:cxnSp macro="">
      <xdr:nvCxnSpPr>
        <xdr:cNvPr id="7" name="Rechte verbindingslijn met pijl 6">
          <a:extLst>
            <a:ext uri="{FF2B5EF4-FFF2-40B4-BE49-F238E27FC236}">
              <a16:creationId xmlns:a16="http://schemas.microsoft.com/office/drawing/2014/main" id="{7C4C642A-C244-4BDA-BCFD-5C2D1FB88576}"/>
            </a:ext>
          </a:extLst>
        </xdr:cNvPr>
        <xdr:cNvCxnSpPr/>
      </xdr:nvCxnSpPr>
      <xdr:spPr>
        <a:xfrm>
          <a:off x="10547081" y="3515913"/>
          <a:ext cx="60960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24499</xdr:colOff>
      <xdr:row>16</xdr:row>
      <xdr:rowOff>77302</xdr:rowOff>
    </xdr:from>
    <xdr:to>
      <xdr:col>5</xdr:col>
      <xdr:colOff>1613647</xdr:colOff>
      <xdr:row>20</xdr:row>
      <xdr:rowOff>100853</xdr:rowOff>
    </xdr:to>
    <xdr:cxnSp macro="">
      <xdr:nvCxnSpPr>
        <xdr:cNvPr id="8" name="Rechte verbindingslijn met pijl 7">
          <a:extLst>
            <a:ext uri="{FF2B5EF4-FFF2-40B4-BE49-F238E27FC236}">
              <a16:creationId xmlns:a16="http://schemas.microsoft.com/office/drawing/2014/main" id="{D2925DEC-6294-4F73-929F-7D282257933D}"/>
            </a:ext>
          </a:extLst>
        </xdr:cNvPr>
        <xdr:cNvCxnSpPr/>
      </xdr:nvCxnSpPr>
      <xdr:spPr>
        <a:xfrm>
          <a:off x="5829146" y="2654655"/>
          <a:ext cx="1589148" cy="65108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7948</xdr:colOff>
      <xdr:row>23</xdr:row>
      <xdr:rowOff>44824</xdr:rowOff>
    </xdr:from>
    <xdr:to>
      <xdr:col>9</xdr:col>
      <xdr:colOff>549088</xdr:colOff>
      <xdr:row>26</xdr:row>
      <xdr:rowOff>86139</xdr:rowOff>
    </xdr:to>
    <xdr:cxnSp macro="">
      <xdr:nvCxnSpPr>
        <xdr:cNvPr id="9" name="Rechte verbindingslijn met pijl 8">
          <a:extLst>
            <a:ext uri="{FF2B5EF4-FFF2-40B4-BE49-F238E27FC236}">
              <a16:creationId xmlns:a16="http://schemas.microsoft.com/office/drawing/2014/main" id="{9B760D0B-5F8A-4162-AD31-20D9E2D9FFFC}"/>
            </a:ext>
          </a:extLst>
        </xdr:cNvPr>
        <xdr:cNvCxnSpPr/>
      </xdr:nvCxnSpPr>
      <xdr:spPr>
        <a:xfrm flipV="1">
          <a:off x="5812595" y="3720353"/>
          <a:ext cx="5258817" cy="5119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1447713</xdr:colOff>
      <xdr:row>15</xdr:row>
      <xdr:rowOff>127842</xdr:rowOff>
    </xdr:from>
    <xdr:to>
      <xdr:col>11</xdr:col>
      <xdr:colOff>1448170</xdr:colOff>
      <xdr:row>19</xdr:row>
      <xdr:rowOff>40313</xdr:rowOff>
    </xdr:to>
    <xdr:cxnSp macro="">
      <xdr:nvCxnSpPr>
        <xdr:cNvPr id="13" name="Rechte verbindingslijn met pijl 12">
          <a:extLst>
            <a:ext uri="{FF2B5EF4-FFF2-40B4-BE49-F238E27FC236}">
              <a16:creationId xmlns:a16="http://schemas.microsoft.com/office/drawing/2014/main" id="{52E4E05E-4A3E-4761-A31C-20FB4A8553F3}"/>
            </a:ext>
          </a:extLst>
        </xdr:cNvPr>
        <xdr:cNvCxnSpPr/>
      </xdr:nvCxnSpPr>
      <xdr:spPr>
        <a:xfrm flipH="1">
          <a:off x="12772938" y="2623392"/>
          <a:ext cx="457" cy="56017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6724</xdr:colOff>
      <xdr:row>15</xdr:row>
      <xdr:rowOff>112058</xdr:rowOff>
    </xdr:from>
    <xdr:to>
      <xdr:col>11</xdr:col>
      <xdr:colOff>1445559</xdr:colOff>
      <xdr:row>15</xdr:row>
      <xdr:rowOff>126110</xdr:rowOff>
    </xdr:to>
    <xdr:cxnSp macro="">
      <xdr:nvCxnSpPr>
        <xdr:cNvPr id="14" name="Rechte verbindingslijn 13">
          <a:extLst>
            <a:ext uri="{FF2B5EF4-FFF2-40B4-BE49-F238E27FC236}">
              <a16:creationId xmlns:a16="http://schemas.microsoft.com/office/drawing/2014/main" id="{8CA7F4EF-F457-4CD0-A447-F2E8B52DBF37}"/>
            </a:ext>
          </a:extLst>
        </xdr:cNvPr>
        <xdr:cNvCxnSpPr/>
      </xdr:nvCxnSpPr>
      <xdr:spPr>
        <a:xfrm flipV="1">
          <a:off x="5816974" y="2607608"/>
          <a:ext cx="6953810" cy="140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gulering.energie@acm.nl"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sites/default/files/documents/2019-01/herstel-bijlage-2-uitwerking-van-de-methode-voor-de-wacc.pdf" TargetMode="External"/><Relationship Id="rId2" Type="http://schemas.openxmlformats.org/officeDocument/2006/relationships/hyperlink" Target="https://www.acm.nl/nl/publicaties/publicatie/16199/WACC-methode-bij-de-methodebesluiten-2017-2021" TargetMode="External"/><Relationship Id="rId1" Type="http://schemas.openxmlformats.org/officeDocument/2006/relationships/hyperlink" Target="https://www.acm.nl/nl/publicaties/publicatie/12039/Bijlage-2-WACC-methode-bij-methodebesluiten-2014-2016"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D56"/>
  <sheetViews>
    <sheetView showGridLines="0" tabSelected="1"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5.7109375" style="2" customWidth="1"/>
    <col min="2" max="2" width="43.7109375" style="2" customWidth="1"/>
    <col min="3" max="3" width="91.85546875" style="2" customWidth="1"/>
    <col min="4" max="4" width="5.7109375" style="2" customWidth="1"/>
    <col min="5" max="16384" width="9.140625" style="2"/>
  </cols>
  <sheetData>
    <row r="2" spans="2:3" s="6" customFormat="1" ht="18" x14ac:dyDescent="0.2">
      <c r="B2" s="6" t="s">
        <v>207</v>
      </c>
    </row>
    <row r="6" spans="2:3" x14ac:dyDescent="0.2">
      <c r="B6" s="18"/>
    </row>
    <row r="13" spans="2:3" s="7" customFormat="1" x14ac:dyDescent="0.2">
      <c r="B13" s="7" t="s">
        <v>3</v>
      </c>
    </row>
    <row r="14" spans="2:3" s="8" customFormat="1" x14ac:dyDescent="0.2"/>
    <row r="15" spans="2:3" x14ac:dyDescent="0.2">
      <c r="B15" s="32" t="s">
        <v>4</v>
      </c>
      <c r="C15" s="9" t="s">
        <v>217</v>
      </c>
    </row>
    <row r="16" spans="2:3" x14ac:dyDescent="0.2">
      <c r="B16" s="32" t="s">
        <v>5</v>
      </c>
      <c r="C16" s="9" t="s">
        <v>207</v>
      </c>
    </row>
    <row r="17" spans="2:3" x14ac:dyDescent="0.2">
      <c r="B17" s="32" t="s">
        <v>6</v>
      </c>
      <c r="C17" s="9" t="s">
        <v>208</v>
      </c>
    </row>
    <row r="18" spans="2:3" x14ac:dyDescent="0.2">
      <c r="B18" s="32" t="s">
        <v>7</v>
      </c>
      <c r="C18" s="9" t="s">
        <v>218</v>
      </c>
    </row>
    <row r="19" spans="2:3" x14ac:dyDescent="0.2">
      <c r="B19" s="32" t="s">
        <v>8</v>
      </c>
      <c r="C19" s="9" t="s">
        <v>208</v>
      </c>
    </row>
    <row r="20" spans="2:3" x14ac:dyDescent="0.2">
      <c r="B20" s="32" t="s">
        <v>9</v>
      </c>
      <c r="C20" s="9" t="s">
        <v>208</v>
      </c>
    </row>
    <row r="21" spans="2:3" x14ac:dyDescent="0.2">
      <c r="B21" s="32" t="s">
        <v>10</v>
      </c>
      <c r="C21" s="9" t="s">
        <v>222</v>
      </c>
    </row>
    <row r="22" spans="2:3" x14ac:dyDescent="0.2">
      <c r="B22" s="32" t="s">
        <v>11</v>
      </c>
      <c r="C22" s="9" t="s">
        <v>208</v>
      </c>
    </row>
    <row r="27" spans="2:3" s="7" customFormat="1" x14ac:dyDescent="0.2">
      <c r="B27" s="7" t="s">
        <v>12</v>
      </c>
    </row>
    <row r="29" spans="2:3" x14ac:dyDescent="0.2">
      <c r="B29" s="9" t="s">
        <v>210</v>
      </c>
      <c r="C29" s="9" t="s">
        <v>249</v>
      </c>
    </row>
    <row r="30" spans="2:3" x14ac:dyDescent="0.2">
      <c r="B30" s="9" t="s">
        <v>211</v>
      </c>
      <c r="C30" s="9" t="s">
        <v>249</v>
      </c>
    </row>
    <row r="31" spans="2:3" ht="25.5" x14ac:dyDescent="0.2">
      <c r="B31" s="9" t="s">
        <v>212</v>
      </c>
      <c r="C31" s="9" t="s">
        <v>249</v>
      </c>
    </row>
    <row r="32" spans="2:3" x14ac:dyDescent="0.2">
      <c r="B32" s="9" t="s">
        <v>213</v>
      </c>
      <c r="C32" s="9"/>
    </row>
    <row r="33" spans="2:4" x14ac:dyDescent="0.2">
      <c r="B33" s="9" t="s">
        <v>214</v>
      </c>
      <c r="C33" s="9" t="s">
        <v>208</v>
      </c>
    </row>
    <row r="34" spans="2:4" x14ac:dyDescent="0.2">
      <c r="B34" s="9" t="s">
        <v>11</v>
      </c>
      <c r="C34" s="9" t="s">
        <v>208</v>
      </c>
    </row>
    <row r="36" spans="2:4" x14ac:dyDescent="0.2">
      <c r="B36" s="70" t="s">
        <v>13</v>
      </c>
      <c r="C36" s="70"/>
      <c r="D36" s="4"/>
    </row>
    <row r="37" spans="2:4" x14ac:dyDescent="0.2">
      <c r="B37" s="37"/>
      <c r="C37" s="37"/>
      <c r="D37" s="4"/>
    </row>
    <row r="39" spans="2:4" s="7" customFormat="1" x14ac:dyDescent="0.2">
      <c r="B39" s="7" t="s">
        <v>14</v>
      </c>
    </row>
    <row r="41" spans="2:4" x14ac:dyDescent="0.2">
      <c r="B41" s="66" t="s">
        <v>209</v>
      </c>
    </row>
    <row r="42" spans="2:4" x14ac:dyDescent="0.2">
      <c r="B42" s="4"/>
    </row>
    <row r="43" spans="2:4" x14ac:dyDescent="0.2">
      <c r="B43" s="4"/>
    </row>
    <row r="55" spans="2:2" x14ac:dyDescent="0.2">
      <c r="B55" s="3"/>
    </row>
    <row r="56" spans="2:2" x14ac:dyDescent="0.2">
      <c r="B56" s="22"/>
    </row>
  </sheetData>
  <mergeCells count="1">
    <mergeCell ref="B36:C36"/>
  </mergeCells>
  <hyperlinks>
    <hyperlink ref="B41" r:id="rId1" xr:uid="{1A3FF17A-B77B-48DB-B32A-4A1AB34D1095}"/>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B2:Q79"/>
  <sheetViews>
    <sheetView showGridLines="0" zoomScale="85" zoomScaleNormal="85" workbookViewId="0">
      <pane xSplit="6" ySplit="11" topLeftCell="G12" activePane="bottomRight" state="frozen"/>
      <selection activeCell="B6" sqref="B6"/>
      <selection pane="topRight" activeCell="B6" sqref="B6"/>
      <selection pane="bottomLeft" activeCell="B6" sqref="B6"/>
      <selection pane="bottomRight" activeCell="G12" sqref="G12"/>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15" style="2" bestFit="1" customWidth="1"/>
    <col min="17" max="17" width="15" style="2" customWidth="1"/>
    <col min="18" max="29" width="13.7109375" style="2" customWidth="1"/>
    <col min="30" max="16384" width="9.140625" style="2"/>
  </cols>
  <sheetData>
    <row r="2" spans="2:17" s="14" customFormat="1" ht="18" x14ac:dyDescent="0.2">
      <c r="B2" s="14" t="s">
        <v>105</v>
      </c>
    </row>
    <row r="4" spans="2:17" x14ac:dyDescent="0.2">
      <c r="B4" s="21" t="s">
        <v>80</v>
      </c>
      <c r="C4" s="1"/>
      <c r="D4" s="1"/>
    </row>
    <row r="5" spans="2:17" x14ac:dyDescent="0.2">
      <c r="B5" s="18" t="s">
        <v>158</v>
      </c>
      <c r="C5" s="18"/>
      <c r="D5" s="18"/>
      <c r="H5" s="15"/>
    </row>
    <row r="6" spans="2:17" x14ac:dyDescent="0.2">
      <c r="B6" s="18"/>
      <c r="C6" s="18"/>
      <c r="D6" s="18"/>
      <c r="H6" s="15"/>
    </row>
    <row r="7" spans="2:17" x14ac:dyDescent="0.2">
      <c r="B7" s="22" t="s">
        <v>63</v>
      </c>
      <c r="C7" s="18"/>
      <c r="D7" s="18"/>
      <c r="H7" s="15"/>
    </row>
    <row r="8" spans="2:17" x14ac:dyDescent="0.2">
      <c r="B8" s="3" t="s">
        <v>139</v>
      </c>
      <c r="C8" s="18"/>
      <c r="D8" s="18"/>
    </row>
    <row r="10" spans="2:17" s="7" customFormat="1" x14ac:dyDescent="0.2">
      <c r="B10" s="7" t="s">
        <v>64</v>
      </c>
      <c r="F10" s="7" t="s">
        <v>65</v>
      </c>
      <c r="H10" s="7" t="s">
        <v>66</v>
      </c>
      <c r="J10" s="7" t="s">
        <v>67</v>
      </c>
      <c r="L10" s="7" t="s">
        <v>96</v>
      </c>
      <c r="M10" s="7" t="s">
        <v>97</v>
      </c>
      <c r="N10" s="7" t="s">
        <v>98</v>
      </c>
      <c r="O10" s="7" t="s">
        <v>99</v>
      </c>
      <c r="P10" s="7" t="s">
        <v>148</v>
      </c>
      <c r="Q10" s="7" t="s">
        <v>198</v>
      </c>
    </row>
    <row r="13" spans="2:17" s="7" customFormat="1" x14ac:dyDescent="0.2">
      <c r="B13" s="7" t="s">
        <v>81</v>
      </c>
    </row>
    <row r="15" spans="2:17" x14ac:dyDescent="0.2">
      <c r="B15" s="2" t="s">
        <v>87</v>
      </c>
      <c r="F15" s="2" t="s">
        <v>118</v>
      </c>
      <c r="H15" s="39">
        <f>'2) Parameters'!H41</f>
        <v>4.5544554455445585E-2</v>
      </c>
    </row>
    <row r="16" spans="2:17" x14ac:dyDescent="0.2">
      <c r="B16" s="2" t="s">
        <v>88</v>
      </c>
      <c r="F16" s="2" t="s">
        <v>118</v>
      </c>
      <c r="H16" s="39">
        <f>'2) Parameters'!H42</f>
        <v>4.6357128273306049E-2</v>
      </c>
    </row>
    <row r="17" spans="2:17" x14ac:dyDescent="0.2">
      <c r="B17" s="2" t="s">
        <v>89</v>
      </c>
      <c r="F17" s="2" t="s">
        <v>118</v>
      </c>
      <c r="H17" s="39">
        <f>'2) Parameters'!H43</f>
        <v>4.415122422106528E-2</v>
      </c>
    </row>
    <row r="18" spans="2:17" x14ac:dyDescent="0.2">
      <c r="B18" s="2" t="s">
        <v>90</v>
      </c>
      <c r="F18" s="2" t="s">
        <v>118</v>
      </c>
      <c r="H18" s="39">
        <f>'2) Parameters'!H44</f>
        <v>4.1945320168824511E-2</v>
      </c>
    </row>
    <row r="19" spans="2:17" x14ac:dyDescent="0.2">
      <c r="B19" s="2" t="s">
        <v>150</v>
      </c>
      <c r="F19" s="2" t="s">
        <v>118</v>
      </c>
      <c r="H19" s="39">
        <f>'2) Parameters'!H45</f>
        <v>3.9739416116583742E-2</v>
      </c>
    </row>
    <row r="20" spans="2:17" x14ac:dyDescent="0.2">
      <c r="B20" s="2" t="s">
        <v>197</v>
      </c>
      <c r="F20" s="2" t="s">
        <v>118</v>
      </c>
      <c r="H20" s="39">
        <f>'2) Parameters'!H46</f>
        <v>3.7533512064342973E-2</v>
      </c>
    </row>
    <row r="21" spans="2:17" x14ac:dyDescent="0.2">
      <c r="B21" s="21"/>
    </row>
    <row r="22" spans="2:17" x14ac:dyDescent="0.2">
      <c r="B22" s="2" t="s">
        <v>94</v>
      </c>
      <c r="F22" s="2" t="s">
        <v>116</v>
      </c>
      <c r="L22" s="33">
        <f>'3) GAW'!L25</f>
        <v>527208421.75877297</v>
      </c>
      <c r="M22" s="33">
        <f>'3) GAW'!M25</f>
        <v>522532320.6550535</v>
      </c>
      <c r="N22" s="33">
        <f>'3) GAW'!N25</f>
        <v>538297200.82372594</v>
      </c>
      <c r="O22" s="33">
        <f>'3) GAW'!O25</f>
        <v>557348345.90680265</v>
      </c>
      <c r="P22" s="33">
        <f>'3) GAW'!P25</f>
        <v>581487484.68463004</v>
      </c>
      <c r="Q22" s="33">
        <f>'3) GAW'!Q25</f>
        <v>611500385.51913202</v>
      </c>
    </row>
    <row r="23" spans="2:17" x14ac:dyDescent="0.2">
      <c r="B23" s="2" t="s">
        <v>95</v>
      </c>
      <c r="F23" s="2" t="s">
        <v>116</v>
      </c>
      <c r="L23" s="33">
        <f>'3) GAW'!L26</f>
        <v>10161155348.035576</v>
      </c>
      <c r="M23" s="33">
        <f>'3) GAW'!M26</f>
        <v>10253818758.932293</v>
      </c>
      <c r="N23" s="33">
        <f>'3) GAW'!N26</f>
        <v>10454375309.511566</v>
      </c>
      <c r="O23" s="33">
        <f>'3) GAW'!O26</f>
        <v>10808761342.492493</v>
      </c>
      <c r="P23" s="33">
        <f>'3) GAW'!P26</f>
        <v>11363819117.179329</v>
      </c>
      <c r="Q23" s="33">
        <f>'3) GAW'!Q26</f>
        <v>12007920636.737396</v>
      </c>
    </row>
    <row r="25" spans="2:17" x14ac:dyDescent="0.2">
      <c r="B25" s="2" t="s">
        <v>186</v>
      </c>
      <c r="F25" s="2" t="s">
        <v>116</v>
      </c>
      <c r="L25" s="36"/>
      <c r="M25" s="36"/>
      <c r="N25" s="33">
        <f>'3) GAW'!N22</f>
        <v>1685064.4052628432</v>
      </c>
      <c r="O25" s="33">
        <f>'3) GAW'!O22</f>
        <v>1367347.2508526316</v>
      </c>
      <c r="P25" s="33">
        <f>'3) GAW'!P22</f>
        <v>0</v>
      </c>
      <c r="Q25" s="33">
        <f>'3) GAW'!Q22</f>
        <v>0</v>
      </c>
    </row>
    <row r="26" spans="2:17" x14ac:dyDescent="0.2">
      <c r="B26" s="2" t="s">
        <v>187</v>
      </c>
      <c r="F26" s="2" t="s">
        <v>116</v>
      </c>
      <c r="L26" s="36"/>
      <c r="M26" s="36"/>
      <c r="N26" s="33">
        <f>'3) GAW'!N23</f>
        <v>1359462.3691118092</v>
      </c>
      <c r="O26" s="33">
        <f>'3) GAW'!O23</f>
        <v>0</v>
      </c>
      <c r="P26" s="33">
        <f>'3) GAW'!P23</f>
        <v>0</v>
      </c>
      <c r="Q26" s="33">
        <f>'3) GAW'!Q23</f>
        <v>0</v>
      </c>
    </row>
    <row r="28" spans="2:17" x14ac:dyDescent="0.2">
      <c r="B28" s="3" t="s">
        <v>223</v>
      </c>
    </row>
    <row r="29" spans="2:17" x14ac:dyDescent="0.2">
      <c r="B29" s="2" t="s">
        <v>91</v>
      </c>
      <c r="F29" s="2" t="s">
        <v>116</v>
      </c>
      <c r="L29" s="33">
        <f>'3) GAW'!L29</f>
        <v>12601190.357499994</v>
      </c>
      <c r="M29" s="33">
        <f>'3) GAW'!M29</f>
        <v>12633312.557518186</v>
      </c>
      <c r="N29" s="33">
        <f>'3) GAW'!N29</f>
        <v>12410754.951348918</v>
      </c>
      <c r="O29" s="33">
        <f>'3) GAW'!O29</f>
        <v>12972698.127070708</v>
      </c>
      <c r="P29" s="33">
        <f>'3) GAW'!P29</f>
        <v>14276162.95944592</v>
      </c>
      <c r="Q29" s="33">
        <f>'3) GAW'!Q29</f>
        <v>15747123.070000004</v>
      </c>
    </row>
    <row r="30" spans="2:17" x14ac:dyDescent="0.2">
      <c r="B30" s="2" t="s">
        <v>92</v>
      </c>
      <c r="F30" s="2" t="s">
        <v>116</v>
      </c>
      <c r="L30" s="33">
        <f>'3) GAW'!L30</f>
        <v>3317823.803205627</v>
      </c>
      <c r="M30" s="33">
        <f>'3) GAW'!M30</f>
        <v>3610425.1827898095</v>
      </c>
      <c r="N30" s="33">
        <f>'3) GAW'!N30</f>
        <v>3733724.3376423875</v>
      </c>
      <c r="O30" s="33">
        <f>'3) GAW'!O30</f>
        <v>3752644.2792296978</v>
      </c>
      <c r="P30" s="33">
        <f>'3) GAW'!P30</f>
        <v>4147086.2763</v>
      </c>
      <c r="Q30" s="33">
        <f>'3) GAW'!Q30</f>
        <v>4567348.6978643145</v>
      </c>
    </row>
    <row r="31" spans="2:17" x14ac:dyDescent="0.2">
      <c r="B31" s="2" t="s">
        <v>93</v>
      </c>
      <c r="F31" s="2" t="s">
        <v>116</v>
      </c>
      <c r="L31" s="33">
        <f>'3) GAW'!L31</f>
        <v>0</v>
      </c>
      <c r="M31" s="33">
        <f>'3) GAW'!M31</f>
        <v>10453.379999999999</v>
      </c>
      <c r="N31" s="33">
        <f>'3) GAW'!N31</f>
        <v>213154.5385</v>
      </c>
      <c r="O31" s="33">
        <f>'3) GAW'!O31</f>
        <v>7063.13</v>
      </c>
      <c r="P31" s="33">
        <f>'3) GAW'!P31</f>
        <v>118278.04000000001</v>
      </c>
      <c r="Q31" s="33">
        <f>'3) GAW'!Q31</f>
        <v>25160</v>
      </c>
    </row>
    <row r="33" spans="2:17" s="7" customFormat="1" x14ac:dyDescent="0.2">
      <c r="B33" s="7" t="s">
        <v>104</v>
      </c>
    </row>
    <row r="35" spans="2:17" x14ac:dyDescent="0.2">
      <c r="B35" s="2" t="s">
        <v>100</v>
      </c>
      <c r="F35" s="2" t="s">
        <v>118</v>
      </c>
      <c r="L35" s="40">
        <f>AVERAGE($H15:$H16)</f>
        <v>4.5950841364375813E-2</v>
      </c>
      <c r="M35" s="40">
        <f>AVERAGE($H15:$H16)</f>
        <v>4.5950841364375813E-2</v>
      </c>
      <c r="N35" s="36"/>
      <c r="O35" s="36"/>
      <c r="P35" s="36"/>
      <c r="Q35" s="36"/>
    </row>
    <row r="36" spans="2:17" x14ac:dyDescent="0.2">
      <c r="B36" s="2" t="s">
        <v>101</v>
      </c>
      <c r="F36" s="2" t="s">
        <v>118</v>
      </c>
      <c r="L36" s="36"/>
      <c r="M36" s="40">
        <f>AVERAGE($H16:$H17)</f>
        <v>4.5254176247185668E-2</v>
      </c>
      <c r="N36" s="40">
        <f>AVERAGE($H16:$H17)</f>
        <v>4.5254176247185668E-2</v>
      </c>
      <c r="O36" s="36"/>
      <c r="P36" s="36"/>
      <c r="Q36" s="36"/>
    </row>
    <row r="37" spans="2:17" x14ac:dyDescent="0.2">
      <c r="B37" s="2" t="s">
        <v>102</v>
      </c>
      <c r="F37" s="2" t="s">
        <v>118</v>
      </c>
      <c r="L37" s="36"/>
      <c r="M37" s="36"/>
      <c r="N37" s="40">
        <f>AVERAGE($H17:$H18)</f>
        <v>4.3048272194944892E-2</v>
      </c>
      <c r="O37" s="40">
        <f>AVERAGE($H17:$H18)</f>
        <v>4.3048272194944892E-2</v>
      </c>
      <c r="P37" s="36"/>
      <c r="Q37" s="36"/>
    </row>
    <row r="38" spans="2:17" x14ac:dyDescent="0.2">
      <c r="B38" s="2" t="s">
        <v>193</v>
      </c>
      <c r="F38" s="2" t="s">
        <v>118</v>
      </c>
      <c r="L38" s="36"/>
      <c r="M38" s="36"/>
      <c r="N38" s="36"/>
      <c r="O38" s="40">
        <f>AVERAGE($H18:$H19)</f>
        <v>4.084236814270413E-2</v>
      </c>
      <c r="P38" s="40">
        <f>AVERAGE($H18:$H19)</f>
        <v>4.084236814270413E-2</v>
      </c>
      <c r="Q38" s="36"/>
    </row>
    <row r="39" spans="2:17" x14ac:dyDescent="0.2">
      <c r="B39" s="2" t="s">
        <v>202</v>
      </c>
      <c r="L39" s="36"/>
      <c r="M39" s="36"/>
      <c r="N39" s="36"/>
      <c r="O39" s="36"/>
      <c r="P39" s="40">
        <f>AVERAGE($H19:$H20)</f>
        <v>3.8636464090463354E-2</v>
      </c>
      <c r="Q39" s="40">
        <f>AVERAGE($H19:$H20)</f>
        <v>3.8636464090463354E-2</v>
      </c>
    </row>
    <row r="41" spans="2:17" s="7" customFormat="1" x14ac:dyDescent="0.2">
      <c r="B41" s="7" t="s">
        <v>105</v>
      </c>
    </row>
    <row r="43" spans="2:17" x14ac:dyDescent="0.2">
      <c r="B43" s="21" t="s">
        <v>106</v>
      </c>
    </row>
    <row r="44" spans="2:17" x14ac:dyDescent="0.2">
      <c r="B44" s="2" t="s">
        <v>106</v>
      </c>
      <c r="F44" s="2" t="s">
        <v>116</v>
      </c>
      <c r="L44" s="34">
        <f t="shared" ref="L44:O44" si="0">L29-L30+L31</f>
        <v>9283366.5542943664</v>
      </c>
      <c r="M44" s="34">
        <f t="shared" si="0"/>
        <v>9033340.7547283769</v>
      </c>
      <c r="N44" s="34">
        <f t="shared" si="0"/>
        <v>8890185.1522065289</v>
      </c>
      <c r="O44" s="34">
        <f t="shared" si="0"/>
        <v>9227116.9778410103</v>
      </c>
      <c r="P44" s="34">
        <f>P29-P30+P31</f>
        <v>10247354.723145919</v>
      </c>
      <c r="Q44" s="34">
        <f>Q29-Q30+Q31</f>
        <v>11204934.372135689</v>
      </c>
    </row>
    <row r="46" spans="2:17" x14ac:dyDescent="0.2">
      <c r="B46" s="21" t="s">
        <v>130</v>
      </c>
    </row>
    <row r="47" spans="2:17" x14ac:dyDescent="0.2">
      <c r="B47" s="2" t="s">
        <v>107</v>
      </c>
      <c r="F47" s="2" t="s">
        <v>116</v>
      </c>
      <c r="L47" s="43">
        <f>L$22+L$23*L35-L$44</f>
        <v>984838692.68084025</v>
      </c>
      <c r="M47" s="43">
        <f>M$22+M$23*M35-M$44</f>
        <v>984670579.07108378</v>
      </c>
      <c r="N47" s="44"/>
      <c r="O47" s="44"/>
      <c r="P47" s="44"/>
      <c r="Q47" s="44"/>
    </row>
    <row r="48" spans="2:17" x14ac:dyDescent="0.2">
      <c r="B48" s="2" t="s">
        <v>108</v>
      </c>
      <c r="F48" s="2" t="s">
        <v>116</v>
      </c>
      <c r="L48" s="44"/>
      <c r="M48" s="43">
        <f>M$22+M$23*M36-M$44</f>
        <v>977527101.22374582</v>
      </c>
      <c r="N48" s="43">
        <f>N$22+N$23*N36-N$44</f>
        <v>1002511158.4823821</v>
      </c>
      <c r="O48" s="44"/>
      <c r="P48" s="44"/>
      <c r="Q48" s="44"/>
    </row>
    <row r="49" spans="2:17" x14ac:dyDescent="0.2">
      <c r="B49" s="2" t="s">
        <v>109</v>
      </c>
      <c r="F49" s="2" t="s">
        <v>116</v>
      </c>
      <c r="L49" s="44"/>
      <c r="M49" s="44"/>
      <c r="N49" s="63">
        <f>N$22-N$25+(N$23-N$26)*N37-N$44</f>
        <v>977706222.71211743</v>
      </c>
      <c r="O49" s="63">
        <f>O$22-O$25+(O$23-O$26)*O37-O$44</f>
        <v>1012052382.0399238</v>
      </c>
      <c r="P49" s="44"/>
      <c r="Q49" s="44"/>
    </row>
    <row r="50" spans="2:17" x14ac:dyDescent="0.2">
      <c r="B50" s="2" t="s">
        <v>152</v>
      </c>
      <c r="F50" s="2" t="s">
        <v>116</v>
      </c>
      <c r="L50" s="44"/>
      <c r="M50" s="44"/>
      <c r="N50" s="44"/>
      <c r="O50" s="63">
        <f>O$22-O$25+(O$23-O$26)*O38-O$44</f>
        <v>988209291.59481633</v>
      </c>
      <c r="P50" s="43">
        <f>P$22+P$23*P38-P$44</f>
        <v>1035365413.8524213</v>
      </c>
      <c r="Q50" s="44"/>
    </row>
    <row r="51" spans="2:17" x14ac:dyDescent="0.2">
      <c r="B51" s="2" t="s">
        <v>203</v>
      </c>
      <c r="F51" s="2" t="s">
        <v>116</v>
      </c>
      <c r="L51" s="44"/>
      <c r="M51" s="44"/>
      <c r="N51" s="44"/>
      <c r="O51" s="44"/>
      <c r="P51" s="43">
        <f>P$22+P$23*P39-P$44</f>
        <v>1010297919.2129042</v>
      </c>
      <c r="Q51" s="43">
        <f>Q$22+Q$23*Q39-Q$44</f>
        <v>1064239045.6294346</v>
      </c>
    </row>
    <row r="52" spans="2:17" x14ac:dyDescent="0.2">
      <c r="L52" s="48"/>
      <c r="M52" s="48"/>
      <c r="N52" s="48"/>
      <c r="O52" s="48"/>
      <c r="P52" s="48"/>
      <c r="Q52" s="48"/>
    </row>
    <row r="53" spans="2:17" x14ac:dyDescent="0.2">
      <c r="L53" s="48"/>
      <c r="M53" s="48"/>
      <c r="N53" s="48"/>
      <c r="O53" s="48"/>
      <c r="P53" s="48"/>
      <c r="Q53" s="48"/>
    </row>
    <row r="54" spans="2:17" x14ac:dyDescent="0.2">
      <c r="L54" s="48"/>
      <c r="M54" s="48"/>
      <c r="N54" s="48"/>
      <c r="O54" s="48"/>
      <c r="P54" s="48"/>
      <c r="Q54" s="48"/>
    </row>
    <row r="55" spans="2:17" x14ac:dyDescent="0.2">
      <c r="L55" s="48"/>
      <c r="M55" s="48"/>
      <c r="N55" s="48"/>
      <c r="O55" s="48"/>
      <c r="P55" s="48"/>
      <c r="Q55" s="48"/>
    </row>
    <row r="56" spans="2:17" x14ac:dyDescent="0.2">
      <c r="L56" s="48"/>
      <c r="M56" s="48"/>
      <c r="N56" s="48"/>
      <c r="O56" s="48"/>
      <c r="P56" s="48"/>
      <c r="Q56" s="48"/>
    </row>
    <row r="57" spans="2:17" x14ac:dyDescent="0.2">
      <c r="L57" s="48"/>
      <c r="M57" s="48"/>
      <c r="N57" s="48"/>
      <c r="O57" s="48"/>
      <c r="P57" s="48"/>
      <c r="Q57" s="48"/>
    </row>
    <row r="58" spans="2:17" x14ac:dyDescent="0.2">
      <c r="L58" s="48"/>
      <c r="M58" s="48"/>
      <c r="N58" s="48"/>
      <c r="O58" s="48"/>
      <c r="P58" s="48"/>
      <c r="Q58" s="48"/>
    </row>
    <row r="59" spans="2:17" x14ac:dyDescent="0.2">
      <c r="L59" s="48"/>
      <c r="M59" s="48"/>
      <c r="N59" s="48"/>
      <c r="O59" s="48"/>
      <c r="P59" s="48"/>
      <c r="Q59" s="48"/>
    </row>
    <row r="60" spans="2:17" x14ac:dyDescent="0.2">
      <c r="L60" s="48"/>
      <c r="M60" s="48"/>
      <c r="N60" s="48"/>
      <c r="O60" s="48"/>
      <c r="P60" s="48"/>
      <c r="Q60" s="48"/>
    </row>
    <row r="61" spans="2:17" x14ac:dyDescent="0.2">
      <c r="L61" s="48"/>
      <c r="M61" s="48"/>
      <c r="N61" s="48"/>
      <c r="O61" s="48"/>
      <c r="P61" s="48"/>
      <c r="Q61" s="48"/>
    </row>
    <row r="62" spans="2:17" x14ac:dyDescent="0.2">
      <c r="L62" s="48"/>
      <c r="M62" s="48"/>
      <c r="N62" s="48"/>
      <c r="O62" s="48"/>
      <c r="P62" s="48"/>
      <c r="Q62" s="48"/>
    </row>
    <row r="63" spans="2:17" x14ac:dyDescent="0.2">
      <c r="L63" s="48"/>
      <c r="M63" s="48"/>
      <c r="N63" s="48"/>
      <c r="O63" s="48"/>
      <c r="P63" s="48"/>
      <c r="Q63" s="48"/>
    </row>
    <row r="64" spans="2:17" x14ac:dyDescent="0.2">
      <c r="L64" s="48"/>
      <c r="M64" s="48"/>
      <c r="N64" s="48"/>
      <c r="O64" s="48"/>
      <c r="P64" s="48"/>
      <c r="Q64" s="48"/>
    </row>
    <row r="65" spans="12:17" x14ac:dyDescent="0.2">
      <c r="L65" s="48"/>
      <c r="M65" s="48"/>
      <c r="N65" s="48"/>
      <c r="O65" s="48"/>
      <c r="P65" s="48"/>
      <c r="Q65" s="48"/>
    </row>
    <row r="66" spans="12:17" x14ac:dyDescent="0.2">
      <c r="L66" s="48"/>
      <c r="M66" s="48"/>
      <c r="N66" s="48"/>
      <c r="O66" s="48"/>
      <c r="P66" s="48"/>
      <c r="Q66" s="48"/>
    </row>
    <row r="67" spans="12:17" x14ac:dyDescent="0.2">
      <c r="L67" s="48"/>
      <c r="M67" s="48"/>
      <c r="N67" s="48"/>
      <c r="O67" s="48"/>
      <c r="P67" s="48"/>
      <c r="Q67" s="48"/>
    </row>
    <row r="68" spans="12:17" x14ac:dyDescent="0.2">
      <c r="L68" s="48"/>
      <c r="M68" s="48"/>
      <c r="N68" s="48"/>
      <c r="O68" s="48"/>
      <c r="P68" s="48"/>
      <c r="Q68" s="48"/>
    </row>
    <row r="69" spans="12:17" x14ac:dyDescent="0.2">
      <c r="L69" s="48"/>
      <c r="M69" s="48"/>
      <c r="N69" s="48"/>
      <c r="O69" s="48"/>
      <c r="P69" s="48"/>
      <c r="Q69" s="48"/>
    </row>
    <row r="70" spans="12:17" x14ac:dyDescent="0.2">
      <c r="L70" s="48"/>
      <c r="M70" s="48"/>
      <c r="N70" s="48"/>
      <c r="O70" s="48"/>
      <c r="P70" s="48"/>
      <c r="Q70" s="48"/>
    </row>
    <row r="71" spans="12:17" x14ac:dyDescent="0.2">
      <c r="L71" s="48"/>
      <c r="M71" s="48"/>
      <c r="N71" s="48"/>
      <c r="O71" s="48"/>
      <c r="P71" s="48"/>
      <c r="Q71" s="48"/>
    </row>
    <row r="72" spans="12:17" x14ac:dyDescent="0.2">
      <c r="L72" s="48"/>
      <c r="M72" s="48"/>
      <c r="N72" s="48"/>
      <c r="O72" s="48"/>
      <c r="P72" s="48"/>
      <c r="Q72" s="48"/>
    </row>
    <row r="73" spans="12:17" x14ac:dyDescent="0.2">
      <c r="L73" s="48"/>
      <c r="M73" s="48"/>
      <c r="N73" s="48"/>
      <c r="O73" s="48"/>
      <c r="P73" s="48"/>
      <c r="Q73" s="48"/>
    </row>
    <row r="74" spans="12:17" x14ac:dyDescent="0.2">
      <c r="L74" s="48"/>
      <c r="M74" s="48"/>
      <c r="N74" s="48"/>
      <c r="O74" s="48"/>
      <c r="P74" s="48"/>
      <c r="Q74" s="48"/>
    </row>
    <row r="75" spans="12:17" x14ac:dyDescent="0.2">
      <c r="L75" s="48"/>
      <c r="M75" s="48"/>
      <c r="N75" s="48"/>
      <c r="O75" s="48"/>
      <c r="P75" s="48"/>
      <c r="Q75" s="48"/>
    </row>
    <row r="76" spans="12:17" x14ac:dyDescent="0.2">
      <c r="L76" s="48"/>
      <c r="M76" s="48"/>
      <c r="N76" s="48"/>
      <c r="O76" s="48"/>
      <c r="P76" s="48"/>
      <c r="Q76" s="48"/>
    </row>
    <row r="77" spans="12:17" x14ac:dyDescent="0.2">
      <c r="L77" s="48"/>
      <c r="M77" s="48"/>
      <c r="N77" s="48"/>
      <c r="O77" s="48"/>
      <c r="P77" s="48"/>
      <c r="Q77" s="48"/>
    </row>
    <row r="78" spans="12:17" x14ac:dyDescent="0.2">
      <c r="L78" s="48"/>
      <c r="M78" s="48"/>
      <c r="N78" s="48"/>
      <c r="O78" s="48"/>
      <c r="P78" s="48"/>
      <c r="Q78" s="48"/>
    </row>
    <row r="79" spans="12:17" x14ac:dyDescent="0.2">
      <c r="L79" s="48"/>
      <c r="M79" s="48"/>
      <c r="N79" s="48"/>
      <c r="O79" s="48"/>
      <c r="P79" s="48"/>
      <c r="Q79" s="48"/>
    </row>
  </sheetData>
  <phoneticPr fontId="29"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P68"/>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5.7109375" style="2" customWidth="1"/>
    <col min="2" max="2" width="35.28515625" style="2" customWidth="1"/>
    <col min="3" max="3" width="2.7109375" style="2" customWidth="1"/>
    <col min="4" max="4" width="40.7109375" style="2" customWidth="1"/>
    <col min="5" max="5" width="2.7109375" style="2" customWidth="1"/>
    <col min="6" max="6" width="24.7109375" style="2" customWidth="1"/>
    <col min="7" max="7" width="2.7109375" style="2" customWidth="1"/>
    <col min="8" max="8" width="40.7109375" style="2" customWidth="1"/>
    <col min="9" max="9" width="2.7109375" style="2" customWidth="1"/>
    <col min="10" max="10" width="9.140625" style="2"/>
    <col min="11" max="11" width="2.7109375" style="2" customWidth="1"/>
    <col min="12" max="12" width="40.7109375" style="2" customWidth="1"/>
    <col min="13" max="13" width="2.7109375" style="2" customWidth="1"/>
    <col min="14" max="16384" width="9.140625" style="2"/>
  </cols>
  <sheetData>
    <row r="2" spans="2:16" s="6" customFormat="1" ht="18" x14ac:dyDescent="0.2">
      <c r="B2" s="6" t="s">
        <v>15</v>
      </c>
    </row>
    <row r="5" spans="2:16" s="7" customFormat="1" x14ac:dyDescent="0.2">
      <c r="B5" s="7" t="s">
        <v>16</v>
      </c>
    </row>
    <row r="7" spans="2:16" x14ac:dyDescent="0.2">
      <c r="B7" s="2" t="s">
        <v>219</v>
      </c>
    </row>
    <row r="8" spans="2:16" x14ac:dyDescent="0.2">
      <c r="B8" s="2" t="s">
        <v>162</v>
      </c>
      <c r="H8" s="24"/>
    </row>
    <row r="9" spans="2:16" x14ac:dyDescent="0.2">
      <c r="B9" s="2" t="s">
        <v>163</v>
      </c>
      <c r="H9" s="24"/>
    </row>
    <row r="10" spans="2:16" x14ac:dyDescent="0.2">
      <c r="H10" s="24"/>
    </row>
    <row r="12" spans="2:16" s="7" customFormat="1" x14ac:dyDescent="0.2">
      <c r="B12" s="7" t="s">
        <v>17</v>
      </c>
    </row>
    <row r="14" spans="2:16" x14ac:dyDescent="0.2">
      <c r="D14" s="51" t="s">
        <v>159</v>
      </c>
      <c r="H14" s="51" t="s">
        <v>160</v>
      </c>
      <c r="L14" s="1" t="s">
        <v>161</v>
      </c>
      <c r="P14" s="51"/>
    </row>
    <row r="15" spans="2:16" x14ac:dyDescent="0.2">
      <c r="D15" s="51"/>
      <c r="H15" s="51"/>
      <c r="P15" s="51"/>
    </row>
    <row r="16" spans="2:16" x14ac:dyDescent="0.2">
      <c r="C16" s="52"/>
      <c r="D16" s="53"/>
      <c r="E16" s="54"/>
      <c r="P16" s="51"/>
    </row>
    <row r="17" spans="2:16" x14ac:dyDescent="0.2">
      <c r="C17" s="55"/>
      <c r="D17" s="56" t="s">
        <v>167</v>
      </c>
      <c r="E17" s="57"/>
      <c r="P17" s="51"/>
    </row>
    <row r="18" spans="2:16" x14ac:dyDescent="0.2">
      <c r="C18" s="58"/>
      <c r="D18" s="59"/>
      <c r="E18" s="60"/>
      <c r="P18" s="51"/>
    </row>
    <row r="19" spans="2:16" x14ac:dyDescent="0.2">
      <c r="D19" s="51"/>
    </row>
    <row r="20" spans="2:16" x14ac:dyDescent="0.2">
      <c r="D20" s="51"/>
    </row>
    <row r="21" spans="2:16" x14ac:dyDescent="0.2">
      <c r="C21" s="52"/>
      <c r="D21" s="53"/>
      <c r="E21" s="54"/>
      <c r="G21" s="52"/>
      <c r="H21" s="53"/>
      <c r="I21" s="54"/>
      <c r="K21" s="52"/>
      <c r="L21" s="53"/>
      <c r="M21" s="54"/>
    </row>
    <row r="22" spans="2:16" x14ac:dyDescent="0.2">
      <c r="C22" s="55"/>
      <c r="D22" s="56" t="s">
        <v>166</v>
      </c>
      <c r="E22" s="57"/>
      <c r="G22" s="55"/>
      <c r="H22" s="61" t="s">
        <v>165</v>
      </c>
      <c r="I22" s="57"/>
      <c r="K22" s="55"/>
      <c r="L22" s="62" t="s">
        <v>164</v>
      </c>
      <c r="M22" s="57"/>
    </row>
    <row r="23" spans="2:16" x14ac:dyDescent="0.2">
      <c r="C23" s="58"/>
      <c r="D23" s="59"/>
      <c r="E23" s="60"/>
      <c r="G23" s="58"/>
      <c r="H23" s="59"/>
      <c r="I23" s="60"/>
      <c r="K23" s="58"/>
      <c r="L23" s="59"/>
      <c r="M23" s="60"/>
    </row>
    <row r="26" spans="2:16" x14ac:dyDescent="0.2">
      <c r="C26" s="52"/>
      <c r="D26" s="53"/>
      <c r="E26" s="54"/>
    </row>
    <row r="27" spans="2:16" x14ac:dyDescent="0.2">
      <c r="C27" s="55"/>
      <c r="D27" s="56" t="s">
        <v>168</v>
      </c>
      <c r="E27" s="57"/>
    </row>
    <row r="28" spans="2:16" x14ac:dyDescent="0.2">
      <c r="C28" s="58"/>
      <c r="D28" s="59"/>
      <c r="E28" s="60"/>
    </row>
    <row r="32" spans="2:16" s="7" customFormat="1" x14ac:dyDescent="0.2">
      <c r="B32" s="7" t="s">
        <v>18</v>
      </c>
    </row>
    <row r="33" spans="2:7" x14ac:dyDescent="0.2">
      <c r="C33" s="8"/>
    </row>
    <row r="34" spans="2:7" x14ac:dyDescent="0.2">
      <c r="B34" s="21" t="s">
        <v>19</v>
      </c>
      <c r="C34" s="8"/>
      <c r="D34" s="21" t="s">
        <v>20</v>
      </c>
      <c r="F34" s="10"/>
    </row>
    <row r="35" spans="2:7" x14ac:dyDescent="0.2">
      <c r="C35" s="8"/>
    </row>
    <row r="36" spans="2:7" x14ac:dyDescent="0.2">
      <c r="B36" s="27">
        <v>123</v>
      </c>
      <c r="C36" s="8"/>
      <c r="D36" s="18" t="s">
        <v>21</v>
      </c>
    </row>
    <row r="37" spans="2:7" x14ac:dyDescent="0.2">
      <c r="B37" s="33">
        <f>B36</f>
        <v>123</v>
      </c>
      <c r="C37" s="8"/>
      <c r="D37" s="2" t="s">
        <v>22</v>
      </c>
    </row>
    <row r="38" spans="2:7" x14ac:dyDescent="0.2">
      <c r="B38" s="34">
        <f>B37+B36</f>
        <v>246</v>
      </c>
      <c r="C38" s="8"/>
      <c r="D38" s="2" t="s">
        <v>23</v>
      </c>
    </row>
    <row r="39" spans="2:7" x14ac:dyDescent="0.2">
      <c r="B39" s="23">
        <f>B37+B38</f>
        <v>369</v>
      </c>
      <c r="C39" s="8"/>
      <c r="D39" s="18" t="s">
        <v>24</v>
      </c>
      <c r="E39" s="10"/>
      <c r="F39" s="4"/>
    </row>
    <row r="40" spans="2:7" x14ac:dyDescent="0.2">
      <c r="B40" s="36"/>
      <c r="C40" s="8"/>
      <c r="D40" s="18" t="s">
        <v>25</v>
      </c>
      <c r="E40" s="10"/>
    </row>
    <row r="41" spans="2:7" x14ac:dyDescent="0.2">
      <c r="B41" s="8"/>
      <c r="C41" s="8"/>
    </row>
    <row r="42" spans="2:7" x14ac:dyDescent="0.2">
      <c r="B42" s="22" t="s">
        <v>26</v>
      </c>
      <c r="C42" s="8"/>
      <c r="E42" s="20"/>
    </row>
    <row r="43" spans="2:7" x14ac:dyDescent="0.2">
      <c r="B43" s="25">
        <f>B39+16</f>
        <v>385</v>
      </c>
      <c r="C43" s="8"/>
      <c r="D43" s="2" t="s">
        <v>27</v>
      </c>
    </row>
    <row r="44" spans="2:7" x14ac:dyDescent="0.2">
      <c r="B44" s="26">
        <f>B37*PI()</f>
        <v>386.41589639154455</v>
      </c>
      <c r="C44" s="11"/>
      <c r="D44" s="2" t="s">
        <v>28</v>
      </c>
    </row>
    <row r="45" spans="2:7" x14ac:dyDescent="0.2">
      <c r="B45" s="11"/>
      <c r="C45" s="11"/>
    </row>
    <row r="46" spans="2:7" x14ac:dyDescent="0.2">
      <c r="B46" s="22" t="s">
        <v>29</v>
      </c>
      <c r="C46" s="12"/>
    </row>
    <row r="47" spans="2:7" x14ac:dyDescent="0.2">
      <c r="B47" s="30">
        <v>123</v>
      </c>
      <c r="C47" s="12"/>
      <c r="D47" s="18" t="s">
        <v>30</v>
      </c>
      <c r="G47" s="10"/>
    </row>
    <row r="48" spans="2:7" x14ac:dyDescent="0.2">
      <c r="B48" s="28">
        <v>124</v>
      </c>
      <c r="C48" s="12"/>
      <c r="D48" s="18" t="s">
        <v>31</v>
      </c>
    </row>
    <row r="49" spans="2:4" x14ac:dyDescent="0.2">
      <c r="B49" s="29">
        <f>B47-B48</f>
        <v>-1</v>
      </c>
      <c r="C49" s="13"/>
      <c r="D49" s="2" t="s">
        <v>32</v>
      </c>
    </row>
    <row r="52" spans="2:4" x14ac:dyDescent="0.2">
      <c r="B52" s="21" t="s">
        <v>33</v>
      </c>
    </row>
    <row r="53" spans="2:4" x14ac:dyDescent="0.2">
      <c r="B53" s="1"/>
    </row>
    <row r="54" spans="2:4" x14ac:dyDescent="0.2">
      <c r="B54" s="22" t="s">
        <v>34</v>
      </c>
    </row>
    <row r="55" spans="2:4" x14ac:dyDescent="0.2">
      <c r="B55" s="23" t="s">
        <v>35</v>
      </c>
      <c r="C55" s="8"/>
      <c r="D55" s="18" t="s">
        <v>36</v>
      </c>
    </row>
    <row r="56" spans="2:4" x14ac:dyDescent="0.2">
      <c r="B56" s="27" t="s">
        <v>37</v>
      </c>
      <c r="C56" s="8"/>
      <c r="D56" s="18" t="s">
        <v>38</v>
      </c>
    </row>
    <row r="57" spans="2:4" x14ac:dyDescent="0.2">
      <c r="B57" s="34" t="s">
        <v>39</v>
      </c>
      <c r="C57" s="8"/>
      <c r="D57" s="18" t="s">
        <v>40</v>
      </c>
    </row>
    <row r="58" spans="2:4" x14ac:dyDescent="0.2">
      <c r="B58" s="26" t="s">
        <v>39</v>
      </c>
      <c r="C58" s="8"/>
      <c r="D58" s="18" t="s">
        <v>41</v>
      </c>
    </row>
    <row r="59" spans="2:4" x14ac:dyDescent="0.2">
      <c r="C59" s="8"/>
      <c r="D59" s="18"/>
    </row>
    <row r="60" spans="2:4" x14ac:dyDescent="0.2">
      <c r="B60" s="22" t="s">
        <v>42</v>
      </c>
      <c r="C60" s="8"/>
      <c r="D60" s="18"/>
    </row>
    <row r="61" spans="2:4" x14ac:dyDescent="0.2">
      <c r="B61" s="17" t="s">
        <v>43</v>
      </c>
      <c r="C61" s="8"/>
      <c r="D61" s="18" t="s">
        <v>44</v>
      </c>
    </row>
    <row r="62" spans="2:4" x14ac:dyDescent="0.2">
      <c r="B62" s="38" t="s">
        <v>45</v>
      </c>
      <c r="D62" s="18" t="s">
        <v>46</v>
      </c>
    </row>
    <row r="68" spans="2:2" x14ac:dyDescent="0.2">
      <c r="B68" s="22" t="s">
        <v>1</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G31"/>
  <sheetViews>
    <sheetView showGridLines="0" zoomScale="85" zoomScaleNormal="85" workbookViewId="0">
      <pane ySplit="3" topLeftCell="A4" activePane="bottomLeft" state="frozen"/>
      <selection activeCell="B6" sqref="B6"/>
      <selection pane="bottomLeft" activeCell="A4" sqref="A4"/>
    </sheetView>
  </sheetViews>
  <sheetFormatPr defaultRowHeight="12.75" x14ac:dyDescent="0.2"/>
  <cols>
    <col min="1" max="1" width="5.7109375" style="2" customWidth="1"/>
    <col min="2" max="2" width="7.5703125" style="2" customWidth="1"/>
    <col min="3" max="3" width="35.140625" style="2" customWidth="1"/>
    <col min="4" max="5" width="36.28515625" style="2" customWidth="1"/>
    <col min="6" max="6" width="40.7109375" style="2" customWidth="1"/>
    <col min="7" max="7" width="49.7109375" style="2" customWidth="1"/>
    <col min="8" max="8" width="5.7109375" style="2" customWidth="1"/>
    <col min="9" max="16384" width="9.140625" style="2"/>
  </cols>
  <sheetData>
    <row r="2" spans="2:7" s="6" customFormat="1" ht="18" x14ac:dyDescent="0.2">
      <c r="B2" s="6" t="s">
        <v>47</v>
      </c>
    </row>
    <row r="5" spans="2:7" s="7" customFormat="1" x14ac:dyDescent="0.2">
      <c r="B5" s="7" t="s">
        <v>48</v>
      </c>
    </row>
    <row r="7" spans="2:7" x14ac:dyDescent="0.2">
      <c r="B7" s="22" t="s">
        <v>49</v>
      </c>
    </row>
    <row r="8" spans="2:7" x14ac:dyDescent="0.2">
      <c r="B8" s="22" t="s">
        <v>50</v>
      </c>
    </row>
    <row r="10" spans="2:7" x14ac:dyDescent="0.2">
      <c r="B10" s="16" t="s">
        <v>51</v>
      </c>
      <c r="C10" s="16" t="s">
        <v>52</v>
      </c>
      <c r="D10" s="16" t="s">
        <v>53</v>
      </c>
      <c r="E10" s="16" t="s">
        <v>54</v>
      </c>
      <c r="F10" s="16" t="s">
        <v>55</v>
      </c>
      <c r="G10" s="16" t="s">
        <v>2</v>
      </c>
    </row>
    <row r="11" spans="2:7" x14ac:dyDescent="0.2">
      <c r="B11" s="19"/>
      <c r="C11" s="19" t="s">
        <v>56</v>
      </c>
      <c r="D11" s="19" t="s">
        <v>57</v>
      </c>
      <c r="E11" s="19" t="s">
        <v>58</v>
      </c>
      <c r="F11" s="19" t="s">
        <v>59</v>
      </c>
      <c r="G11" s="19"/>
    </row>
    <row r="12" spans="2:7" x14ac:dyDescent="0.2">
      <c r="B12" s="5">
        <v>1</v>
      </c>
      <c r="C12" s="5" t="s">
        <v>134</v>
      </c>
      <c r="D12" s="5"/>
      <c r="E12" s="5"/>
      <c r="F12" s="5"/>
      <c r="G12" s="5"/>
    </row>
    <row r="13" spans="2:7" x14ac:dyDescent="0.2">
      <c r="B13" s="5">
        <v>2</v>
      </c>
      <c r="C13" s="5" t="s">
        <v>224</v>
      </c>
      <c r="D13" s="5" t="s">
        <v>184</v>
      </c>
      <c r="E13" s="5"/>
      <c r="F13" s="5"/>
      <c r="G13" s="5"/>
    </row>
    <row r="14" spans="2:7" x14ac:dyDescent="0.2">
      <c r="B14" s="5">
        <v>3</v>
      </c>
      <c r="C14" s="5" t="s">
        <v>185</v>
      </c>
      <c r="D14" s="5"/>
      <c r="E14" s="5"/>
      <c r="F14" s="64" t="s">
        <v>188</v>
      </c>
      <c r="G14" s="5"/>
    </row>
    <row r="15" spans="2:7" x14ac:dyDescent="0.2">
      <c r="B15" s="5">
        <v>4</v>
      </c>
      <c r="C15" s="5" t="s">
        <v>189</v>
      </c>
      <c r="D15" s="5"/>
      <c r="E15" s="5"/>
      <c r="F15" s="31" t="s">
        <v>131</v>
      </c>
      <c r="G15" s="5"/>
    </row>
    <row r="16" spans="2:7" x14ac:dyDescent="0.2">
      <c r="B16" s="5">
        <v>5</v>
      </c>
      <c r="C16" s="5" t="s">
        <v>190</v>
      </c>
      <c r="D16" s="5"/>
      <c r="E16" s="5"/>
      <c r="F16" s="64" t="s">
        <v>191</v>
      </c>
      <c r="G16" s="5"/>
    </row>
    <row r="17" spans="2:7" x14ac:dyDescent="0.2">
      <c r="B17" s="5">
        <v>6</v>
      </c>
      <c r="C17" s="5" t="s">
        <v>215</v>
      </c>
      <c r="D17" s="5"/>
      <c r="E17" s="5"/>
      <c r="F17" s="5"/>
      <c r="G17" s="5"/>
    </row>
    <row r="18" spans="2:7" x14ac:dyDescent="0.2">
      <c r="B18" s="5">
        <v>7</v>
      </c>
      <c r="C18" s="5" t="s">
        <v>216</v>
      </c>
      <c r="D18" s="5"/>
      <c r="E18" s="5"/>
      <c r="F18" s="5"/>
      <c r="G18" s="5"/>
    </row>
    <row r="19" spans="2:7" x14ac:dyDescent="0.2">
      <c r="B19" s="5">
        <v>8</v>
      </c>
      <c r="C19" s="5"/>
      <c r="D19" s="5"/>
      <c r="E19" s="5"/>
      <c r="F19" s="5"/>
      <c r="G19" s="5"/>
    </row>
    <row r="22" spans="2:7" s="7" customFormat="1" x14ac:dyDescent="0.2">
      <c r="B22" s="7" t="s">
        <v>60</v>
      </c>
    </row>
    <row r="24" spans="2:7" x14ac:dyDescent="0.2">
      <c r="B24" s="22" t="s">
        <v>61</v>
      </c>
    </row>
    <row r="25" spans="2:7" x14ac:dyDescent="0.2">
      <c r="B25" s="22" t="s">
        <v>62</v>
      </c>
    </row>
    <row r="31" spans="2:7" x14ac:dyDescent="0.2">
      <c r="B31" s="22" t="s">
        <v>1</v>
      </c>
    </row>
  </sheetData>
  <phoneticPr fontId="29" type="noConversion"/>
  <hyperlinks>
    <hyperlink ref="F14" r:id="rId1" xr:uid="{63B96E20-8A28-42A4-9176-446B6A3F176C}"/>
    <hyperlink ref="F16" r:id="rId2" xr:uid="{E2256BCE-D9CB-4D75-AE1F-8E591C56303B}"/>
    <hyperlink ref="F15" r:id="rId3" xr:uid="{7E6345F0-7C75-437C-A7BD-4E87253AB597}"/>
  </hyperlinks>
  <pageMargins left="0.75" right="0.75" top="1" bottom="1" header="0.5" footer="0.5"/>
  <pageSetup paperSize="9"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7A981-C721-44C5-A0A9-8620DDFDF5E9}">
  <sheetPr>
    <tabColor rgb="FFCCFFFF"/>
  </sheetPr>
  <dimension ref="B2:Q105"/>
  <sheetViews>
    <sheetView showGridLines="0" zoomScale="85" zoomScaleNormal="85" workbookViewId="0">
      <pane xSplit="6" ySplit="8" topLeftCell="G9" activePane="bottomRight" state="frozen"/>
      <selection activeCell="B6" sqref="B6"/>
      <selection pane="topRight" activeCell="B6" sqref="B6"/>
      <selection pane="bottomLeft" activeCell="B6" sqref="B6"/>
      <selection pane="bottomRight" activeCell="G9" sqref="G9"/>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4" style="2" customWidth="1"/>
    <col min="18" max="29" width="13.7109375" style="2" customWidth="1"/>
    <col min="30" max="16384" width="9.140625" style="2"/>
  </cols>
  <sheetData>
    <row r="2" spans="2:17" s="14" customFormat="1" ht="18" x14ac:dyDescent="0.2">
      <c r="B2" s="14" t="s">
        <v>156</v>
      </c>
    </row>
    <row r="4" spans="2:17" x14ac:dyDescent="0.2">
      <c r="B4" s="21" t="s">
        <v>80</v>
      </c>
      <c r="C4" s="1"/>
      <c r="D4" s="1"/>
    </row>
    <row r="5" spans="2:17" x14ac:dyDescent="0.2">
      <c r="B5" s="2" t="s">
        <v>172</v>
      </c>
      <c r="C5" s="18"/>
      <c r="D5" s="18"/>
      <c r="H5" s="15"/>
    </row>
    <row r="6" spans="2:17" x14ac:dyDescent="0.2">
      <c r="B6" s="18"/>
      <c r="C6" s="18"/>
      <c r="D6" s="18"/>
      <c r="H6" s="15"/>
    </row>
    <row r="7" spans="2:17" s="7" customFormat="1" x14ac:dyDescent="0.2">
      <c r="B7" s="7" t="s">
        <v>64</v>
      </c>
      <c r="F7" s="7" t="s">
        <v>65</v>
      </c>
      <c r="H7" s="7" t="s">
        <v>66</v>
      </c>
      <c r="J7" s="7" t="s">
        <v>67</v>
      </c>
      <c r="L7" s="7" t="s">
        <v>96</v>
      </c>
      <c r="M7" s="7" t="s">
        <v>97</v>
      </c>
      <c r="N7" s="7" t="s">
        <v>98</v>
      </c>
      <c r="O7" s="7" t="s">
        <v>99</v>
      </c>
      <c r="P7" s="7" t="s">
        <v>148</v>
      </c>
      <c r="Q7" s="7" t="s">
        <v>198</v>
      </c>
    </row>
    <row r="10" spans="2:17" s="7" customFormat="1" x14ac:dyDescent="0.2">
      <c r="B10" s="7" t="s">
        <v>81</v>
      </c>
    </row>
    <row r="12" spans="2:17" x14ac:dyDescent="0.2">
      <c r="B12" s="2" t="s">
        <v>84</v>
      </c>
      <c r="F12" s="2" t="s">
        <v>118</v>
      </c>
      <c r="H12" s="39">
        <f>'2) Parameters'!H16</f>
        <v>2E-3</v>
      </c>
    </row>
    <row r="13" spans="2:17" x14ac:dyDescent="0.2">
      <c r="B13" s="2" t="s">
        <v>85</v>
      </c>
      <c r="F13" s="2" t="s">
        <v>118</v>
      </c>
      <c r="H13" s="39">
        <f>'2) Parameters'!H17</f>
        <v>1.4E-2</v>
      </c>
    </row>
    <row r="14" spans="2:17" x14ac:dyDescent="0.2">
      <c r="B14" s="2" t="s">
        <v>86</v>
      </c>
      <c r="F14" s="2" t="s">
        <v>118</v>
      </c>
      <c r="H14" s="39">
        <f>'2) Parameters'!H18</f>
        <v>2.1000000000000001E-2</v>
      </c>
    </row>
    <row r="15" spans="2:17" x14ac:dyDescent="0.2">
      <c r="B15" s="2" t="s">
        <v>155</v>
      </c>
      <c r="F15" s="2" t="s">
        <v>118</v>
      </c>
      <c r="H15" s="39">
        <f>'2) Parameters'!H19</f>
        <v>2.8000000000000001E-2</v>
      </c>
    </row>
    <row r="16" spans="2:17" x14ac:dyDescent="0.2">
      <c r="B16" s="2" t="s">
        <v>196</v>
      </c>
      <c r="F16" s="2" t="s">
        <v>118</v>
      </c>
      <c r="H16" s="39">
        <f>'2) Parameters'!H20</f>
        <v>7.0000000000000001E-3</v>
      </c>
    </row>
    <row r="18" spans="2:17" x14ac:dyDescent="0.2">
      <c r="B18" s="2" t="s">
        <v>110</v>
      </c>
      <c r="F18" s="2" t="s">
        <v>116</v>
      </c>
      <c r="L18" s="33">
        <f>'4) Overige data'!L15</f>
        <v>911305549.99349415</v>
      </c>
      <c r="M18" s="33">
        <f>'4) Overige data'!M15</f>
        <v>963234682.88586998</v>
      </c>
      <c r="N18" s="36"/>
      <c r="O18" s="36"/>
      <c r="P18" s="36"/>
      <c r="Q18" s="36"/>
    </row>
    <row r="19" spans="2:17" x14ac:dyDescent="0.2">
      <c r="B19" s="2" t="s">
        <v>111</v>
      </c>
      <c r="F19" s="2" t="s">
        <v>116</v>
      </c>
      <c r="L19" s="36"/>
      <c r="M19" s="33">
        <f>'4) Overige data'!M16</f>
        <v>963234682.88586998</v>
      </c>
      <c r="N19" s="33">
        <f>'4) Overige data'!N16</f>
        <v>1009971433.9997885</v>
      </c>
      <c r="O19" s="36"/>
      <c r="P19" s="36"/>
      <c r="Q19" s="36"/>
    </row>
    <row r="20" spans="2:17" x14ac:dyDescent="0.2">
      <c r="B20" s="2" t="s">
        <v>112</v>
      </c>
      <c r="F20" s="2" t="s">
        <v>116</v>
      </c>
      <c r="L20" s="36"/>
      <c r="M20" s="36"/>
      <c r="N20" s="33">
        <f>'4) Overige data'!N17</f>
        <v>1009971433.9997885</v>
      </c>
      <c r="O20" s="33">
        <f>'4) Overige data'!O17</f>
        <v>1087441866.6401911</v>
      </c>
      <c r="P20" s="36"/>
      <c r="Q20" s="36"/>
    </row>
    <row r="21" spans="2:17" x14ac:dyDescent="0.2">
      <c r="B21" s="2" t="s">
        <v>147</v>
      </c>
      <c r="F21" s="2" t="s">
        <v>116</v>
      </c>
      <c r="L21" s="36"/>
      <c r="M21" s="36"/>
      <c r="N21" s="36"/>
      <c r="O21" s="33">
        <f>'4) Overige data'!O18</f>
        <v>1087441866.6401911</v>
      </c>
      <c r="P21" s="33">
        <f>'4) Overige data'!P18</f>
        <v>1162233747.3752635</v>
      </c>
      <c r="Q21" s="36"/>
    </row>
    <row r="22" spans="2:17" x14ac:dyDescent="0.2">
      <c r="B22" s="2" t="s">
        <v>199</v>
      </c>
      <c r="F22" s="2" t="s">
        <v>116</v>
      </c>
      <c r="L22" s="36"/>
      <c r="M22" s="36"/>
      <c r="N22" s="36"/>
      <c r="O22" s="36"/>
      <c r="P22" s="33">
        <f>'4) Overige data'!P19</f>
        <v>1162233747.3752635</v>
      </c>
      <c r="Q22" s="33">
        <f>'4) Overige data'!Q19</f>
        <v>1334971582.76948</v>
      </c>
    </row>
    <row r="24" spans="2:17" x14ac:dyDescent="0.2">
      <c r="B24" s="2" t="s">
        <v>144</v>
      </c>
      <c r="F24" s="2" t="s">
        <v>116</v>
      </c>
      <c r="L24" s="33">
        <f>'4) Overige data'!L23</f>
        <v>119461042.48441979</v>
      </c>
      <c r="M24" s="33">
        <f>'4) Overige data'!M23</f>
        <v>105989089.58187632</v>
      </c>
      <c r="N24" s="36"/>
      <c r="O24" s="36"/>
      <c r="P24" s="36"/>
      <c r="Q24" s="36"/>
    </row>
    <row r="25" spans="2:17" x14ac:dyDescent="0.2">
      <c r="B25" s="2" t="s">
        <v>145</v>
      </c>
      <c r="F25" s="2" t="s">
        <v>116</v>
      </c>
      <c r="L25" s="36"/>
      <c r="M25" s="33">
        <f>'4) Overige data'!M24</f>
        <v>105989089.58187632</v>
      </c>
      <c r="N25" s="33">
        <f>'4) Overige data'!N24</f>
        <v>120974767.46933956</v>
      </c>
      <c r="O25" s="36"/>
      <c r="P25" s="36"/>
      <c r="Q25" s="36"/>
    </row>
    <row r="26" spans="2:17" x14ac:dyDescent="0.2">
      <c r="B26" s="2" t="s">
        <v>146</v>
      </c>
      <c r="F26" s="2" t="s">
        <v>116</v>
      </c>
      <c r="L26" s="36"/>
      <c r="M26" s="36"/>
      <c r="N26" s="33">
        <f>'4) Overige data'!N25</f>
        <v>120974767.46933956</v>
      </c>
      <c r="O26" s="33">
        <f>'4) Overige data'!O25</f>
        <v>143195204.31999993</v>
      </c>
      <c r="P26" s="36"/>
      <c r="Q26" s="36"/>
    </row>
    <row r="27" spans="2:17" x14ac:dyDescent="0.2">
      <c r="B27" s="2" t="s">
        <v>149</v>
      </c>
      <c r="F27" s="2" t="s">
        <v>116</v>
      </c>
      <c r="L27" s="36"/>
      <c r="M27" s="36"/>
      <c r="N27" s="36"/>
      <c r="O27" s="33">
        <f>'4) Overige data'!O26</f>
        <v>143195204.31999993</v>
      </c>
      <c r="P27" s="33">
        <f>'4) Overige data'!P26</f>
        <v>162549288.46165749</v>
      </c>
      <c r="Q27" s="36"/>
    </row>
    <row r="28" spans="2:17" x14ac:dyDescent="0.2">
      <c r="B28" s="2" t="s">
        <v>200</v>
      </c>
      <c r="F28" s="2" t="s">
        <v>116</v>
      </c>
      <c r="L28" s="36"/>
      <c r="M28" s="36"/>
      <c r="N28" s="36"/>
      <c r="O28" s="36"/>
      <c r="P28" s="33">
        <f>'4) Overige data'!P27</f>
        <v>162549288.46165749</v>
      </c>
      <c r="Q28" s="33">
        <f>'4) Overige data'!Q27</f>
        <v>169701244.15769491</v>
      </c>
    </row>
    <row r="30" spans="2:17" x14ac:dyDescent="0.2">
      <c r="B30" s="2" t="s">
        <v>107</v>
      </c>
      <c r="F30" s="2" t="s">
        <v>116</v>
      </c>
      <c r="L30" s="33">
        <f>'5) Berekening kapitaalkosten'!L47</f>
        <v>984838692.68084025</v>
      </c>
      <c r="M30" s="33">
        <f>'5) Berekening kapitaalkosten'!M47</f>
        <v>984670579.07108378</v>
      </c>
      <c r="N30" s="36"/>
      <c r="O30" s="36"/>
      <c r="P30" s="36"/>
      <c r="Q30" s="36"/>
    </row>
    <row r="31" spans="2:17" x14ac:dyDescent="0.2">
      <c r="B31" s="2" t="s">
        <v>108</v>
      </c>
      <c r="F31" s="2" t="s">
        <v>116</v>
      </c>
      <c r="L31" s="36"/>
      <c r="M31" s="33">
        <f>'5) Berekening kapitaalkosten'!M48</f>
        <v>977527101.22374582</v>
      </c>
      <c r="N31" s="33">
        <f>'5) Berekening kapitaalkosten'!N48</f>
        <v>1002511158.4823821</v>
      </c>
      <c r="O31" s="36"/>
      <c r="P31" s="36"/>
      <c r="Q31" s="36"/>
    </row>
    <row r="32" spans="2:17" x14ac:dyDescent="0.2">
      <c r="B32" s="2" t="s">
        <v>109</v>
      </c>
      <c r="F32" s="2" t="s">
        <v>116</v>
      </c>
      <c r="L32" s="36"/>
      <c r="M32" s="36"/>
      <c r="N32" s="33">
        <f>'5) Berekening kapitaalkosten'!N49</f>
        <v>977706222.71211743</v>
      </c>
      <c r="O32" s="33">
        <f>'5) Berekening kapitaalkosten'!O49</f>
        <v>1012052382.0399238</v>
      </c>
      <c r="P32" s="36"/>
      <c r="Q32" s="36"/>
    </row>
    <row r="33" spans="2:17" x14ac:dyDescent="0.2">
      <c r="B33" s="2" t="s">
        <v>152</v>
      </c>
      <c r="F33" s="2" t="s">
        <v>116</v>
      </c>
      <c r="L33" s="36"/>
      <c r="M33" s="36"/>
      <c r="N33" s="36"/>
      <c r="O33" s="33">
        <f>'5) Berekening kapitaalkosten'!O50</f>
        <v>988209291.59481633</v>
      </c>
      <c r="P33" s="33">
        <f>'5) Berekening kapitaalkosten'!P50</f>
        <v>1035365413.8524213</v>
      </c>
      <c r="Q33" s="36"/>
    </row>
    <row r="34" spans="2:17" x14ac:dyDescent="0.2">
      <c r="B34" s="2" t="s">
        <v>203</v>
      </c>
      <c r="F34" s="2" t="s">
        <v>116</v>
      </c>
      <c r="L34" s="36"/>
      <c r="M34" s="36"/>
      <c r="N34" s="36"/>
      <c r="O34" s="36"/>
      <c r="P34" s="33">
        <f>'5) Berekening kapitaalkosten'!P51</f>
        <v>1010297919.2129042</v>
      </c>
      <c r="Q34" s="33">
        <f>'5) Berekening kapitaalkosten'!Q51</f>
        <v>1064239045.6294346</v>
      </c>
    </row>
    <row r="36" spans="2:17" x14ac:dyDescent="0.2">
      <c r="B36" s="2" t="s">
        <v>113</v>
      </c>
      <c r="F36" s="2" t="s">
        <v>117</v>
      </c>
      <c r="L36" s="33">
        <f>'4) Overige data'!L31</f>
        <v>2954853157.7470417</v>
      </c>
      <c r="M36" s="33">
        <f>'4) Overige data'!M31</f>
        <v>2962457272.4339261</v>
      </c>
      <c r="N36" s="36"/>
      <c r="O36" s="36"/>
      <c r="P36" s="36"/>
      <c r="Q36" s="36"/>
    </row>
    <row r="37" spans="2:17" x14ac:dyDescent="0.2">
      <c r="B37" s="2" t="s">
        <v>114</v>
      </c>
      <c r="F37" s="2" t="s">
        <v>117</v>
      </c>
      <c r="L37" s="36"/>
      <c r="M37" s="33">
        <f>'4) Overige data'!M32</f>
        <v>2962457272.4339261</v>
      </c>
      <c r="N37" s="33">
        <f>'4) Overige data'!N32</f>
        <v>3008528518.2299428</v>
      </c>
      <c r="O37" s="36"/>
      <c r="P37" s="36"/>
      <c r="Q37" s="36"/>
    </row>
    <row r="38" spans="2:17" x14ac:dyDescent="0.2">
      <c r="B38" s="2" t="s">
        <v>115</v>
      </c>
      <c r="F38" s="2" t="s">
        <v>117</v>
      </c>
      <c r="L38" s="36"/>
      <c r="M38" s="36"/>
      <c r="N38" s="33">
        <f>'4) Overige data'!N33</f>
        <v>3008528518.2299428</v>
      </c>
      <c r="O38" s="33">
        <f>'4) Overige data'!O33</f>
        <v>3053756461.7246323</v>
      </c>
      <c r="P38" s="36"/>
      <c r="Q38" s="36"/>
    </row>
    <row r="39" spans="2:17" x14ac:dyDescent="0.2">
      <c r="B39" s="2" t="s">
        <v>151</v>
      </c>
      <c r="F39" s="2" t="s">
        <v>117</v>
      </c>
      <c r="L39" s="36"/>
      <c r="M39" s="36"/>
      <c r="N39" s="36"/>
      <c r="O39" s="33">
        <f>'4) Overige data'!O34</f>
        <v>3053756461.7246323</v>
      </c>
      <c r="P39" s="33">
        <f>'4) Overige data'!P34</f>
        <v>3071168038.2981572</v>
      </c>
      <c r="Q39" s="36"/>
    </row>
    <row r="40" spans="2:17" x14ac:dyDescent="0.2">
      <c r="B40" s="2" t="s">
        <v>201</v>
      </c>
      <c r="F40" s="2" t="s">
        <v>117</v>
      </c>
      <c r="L40" s="36"/>
      <c r="M40" s="36"/>
      <c r="N40" s="36"/>
      <c r="O40" s="36"/>
      <c r="P40" s="33">
        <f>'4) Overige data'!P35</f>
        <v>3071168038.2981572</v>
      </c>
      <c r="Q40" s="33">
        <f>'4) Overige data'!Q35</f>
        <v>3096701065.7689776</v>
      </c>
    </row>
    <row r="43" spans="2:17" s="7" customFormat="1" x14ac:dyDescent="0.2">
      <c r="B43" s="7" t="s">
        <v>122</v>
      </c>
    </row>
    <row r="45" spans="2:17" x14ac:dyDescent="0.2">
      <c r="B45" s="2" t="s">
        <v>123</v>
      </c>
      <c r="F45" s="2" t="s">
        <v>119</v>
      </c>
      <c r="L45" s="43">
        <f>(L30+L18+L24)*(1+$H12)</f>
        <v>2019636495.7290719</v>
      </c>
      <c r="M45" s="43">
        <f>M18+M24+M30</f>
        <v>2053894351.53883</v>
      </c>
      <c r="N45" s="42"/>
      <c r="O45" s="42"/>
      <c r="P45" s="42"/>
      <c r="Q45" s="42"/>
    </row>
    <row r="46" spans="2:17" x14ac:dyDescent="0.2">
      <c r="B46" s="2" t="s">
        <v>124</v>
      </c>
      <c r="F46" s="2" t="s">
        <v>120</v>
      </c>
      <c r="L46" s="42"/>
      <c r="M46" s="43">
        <f>(M31+M19+M25)*(1+$H13)</f>
        <v>2075405385.923173</v>
      </c>
      <c r="N46" s="43">
        <f>N19+N25+N31</f>
        <v>2133457359.9515102</v>
      </c>
      <c r="O46" s="42"/>
      <c r="P46" s="42"/>
      <c r="Q46" s="42"/>
    </row>
    <row r="47" spans="2:17" x14ac:dyDescent="0.2">
      <c r="B47" s="2" t="s">
        <v>125</v>
      </c>
      <c r="F47" s="2" t="s">
        <v>121</v>
      </c>
      <c r="L47" s="42"/>
      <c r="M47" s="42"/>
      <c r="N47" s="43">
        <f>(N32+N20+N26)*(1+$H14)</f>
        <v>2152934125.0890517</v>
      </c>
      <c r="O47" s="43">
        <f>O20+O26+O32</f>
        <v>2242689453.0001149</v>
      </c>
      <c r="P47" s="42"/>
      <c r="Q47" s="42"/>
    </row>
    <row r="48" spans="2:17" x14ac:dyDescent="0.2">
      <c r="B48" s="2" t="s">
        <v>153</v>
      </c>
      <c r="F48" s="2" t="s">
        <v>154</v>
      </c>
      <c r="L48" s="42"/>
      <c r="M48" s="42"/>
      <c r="N48" s="42"/>
      <c r="O48" s="43">
        <f>(O33+O21+O27)*(1+$H15)</f>
        <v>2280974060.7065473</v>
      </c>
      <c r="P48" s="43">
        <f>P21+P27+P33</f>
        <v>2360148449.6893425</v>
      </c>
      <c r="Q48" s="42"/>
    </row>
    <row r="49" spans="2:17" x14ac:dyDescent="0.2">
      <c r="B49" s="2" t="s">
        <v>204</v>
      </c>
      <c r="F49" s="2" t="s">
        <v>205</v>
      </c>
      <c r="L49" s="42"/>
      <c r="M49" s="42"/>
      <c r="N49" s="42"/>
      <c r="O49" s="42"/>
      <c r="P49" s="43">
        <f>(P34+P22+P28)*(1+$H16)</f>
        <v>2351426521.7351737</v>
      </c>
      <c r="Q49" s="43">
        <f>Q22+Q28+Q34</f>
        <v>2568911872.5566092</v>
      </c>
    </row>
    <row r="51" spans="2:17" s="7" customFormat="1" x14ac:dyDescent="0.2">
      <c r="B51" s="7" t="s">
        <v>126</v>
      </c>
    </row>
    <row r="53" spans="2:17" x14ac:dyDescent="0.2">
      <c r="B53" s="2" t="s">
        <v>127</v>
      </c>
      <c r="F53" s="2" t="s">
        <v>118</v>
      </c>
      <c r="L53" s="42"/>
      <c r="M53" s="40">
        <f>1-(M45/M36)/(L45/L36)</f>
        <v>-1.4352020687201428E-2</v>
      </c>
      <c r="N53" s="40">
        <f>1-(N46/N37)/(M46/M37)</f>
        <v>-1.2229501073723448E-2</v>
      </c>
      <c r="O53" s="40">
        <f>1-(O47/O38)/(N47/N38)</f>
        <v>-2.6261726712915934E-2</v>
      </c>
      <c r="P53" s="40">
        <f>1-(P48/P39)/(O48/O39)</f>
        <v>-2.8844625651797573E-2</v>
      </c>
      <c r="Q53" s="40">
        <f>1-(Q49/Q40)/(P49/P40)</f>
        <v>-8.3482969751491387E-2</v>
      </c>
    </row>
    <row r="55" spans="2:17" x14ac:dyDescent="0.2">
      <c r="B55" s="2" t="s">
        <v>128</v>
      </c>
      <c r="F55" s="2" t="s">
        <v>117</v>
      </c>
      <c r="L55" s="42"/>
      <c r="M55" s="45">
        <f t="shared" ref="M55:Q55" si="0">1+M53</f>
        <v>0.98564797931279857</v>
      </c>
      <c r="N55" s="45">
        <f t="shared" si="0"/>
        <v>0.98777049892627655</v>
      </c>
      <c r="O55" s="45">
        <f t="shared" si="0"/>
        <v>0.97373827328708407</v>
      </c>
      <c r="P55" s="45">
        <f t="shared" si="0"/>
        <v>0.97115537434820243</v>
      </c>
      <c r="Q55" s="45">
        <f t="shared" si="0"/>
        <v>0.91651703024850861</v>
      </c>
    </row>
    <row r="57" spans="2:17" x14ac:dyDescent="0.2">
      <c r="B57" s="2" t="s">
        <v>129</v>
      </c>
      <c r="F57" s="2" t="s">
        <v>118</v>
      </c>
      <c r="H57" s="69">
        <f>GEOMEAN(M55:Q55)-1</f>
        <v>-3.3393131208133475E-2</v>
      </c>
    </row>
    <row r="61" spans="2:17" x14ac:dyDescent="0.2">
      <c r="L61" s="49"/>
      <c r="M61" s="49"/>
      <c r="N61" s="49"/>
      <c r="O61" s="49"/>
      <c r="P61" s="49"/>
      <c r="Q61" s="49"/>
    </row>
    <row r="63" spans="2:17" x14ac:dyDescent="0.2">
      <c r="L63" s="49"/>
      <c r="M63" s="49"/>
      <c r="N63" s="49"/>
      <c r="O63" s="49"/>
      <c r="P63" s="49"/>
      <c r="Q63" s="49"/>
    </row>
    <row r="66" spans="12:17" x14ac:dyDescent="0.2">
      <c r="L66" s="48"/>
      <c r="M66" s="48"/>
      <c r="N66" s="48"/>
      <c r="O66" s="48"/>
      <c r="P66" s="48"/>
      <c r="Q66" s="48"/>
    </row>
    <row r="67" spans="12:17" x14ac:dyDescent="0.2">
      <c r="L67" s="48"/>
      <c r="M67" s="48"/>
      <c r="N67" s="48"/>
      <c r="O67" s="48"/>
      <c r="P67" s="48"/>
      <c r="Q67" s="48"/>
    </row>
    <row r="68" spans="12:17" x14ac:dyDescent="0.2">
      <c r="L68" s="48"/>
      <c r="M68" s="48"/>
      <c r="N68" s="48"/>
      <c r="O68" s="48"/>
      <c r="P68" s="48"/>
      <c r="Q68" s="48"/>
    </row>
    <row r="69" spans="12:17" x14ac:dyDescent="0.2">
      <c r="L69" s="48"/>
      <c r="M69" s="48"/>
      <c r="N69" s="48"/>
      <c r="O69" s="48"/>
      <c r="P69" s="48"/>
      <c r="Q69" s="48"/>
    </row>
    <row r="70" spans="12:17" x14ac:dyDescent="0.2">
      <c r="L70" s="48"/>
      <c r="M70" s="48"/>
      <c r="N70" s="48"/>
      <c r="O70" s="48"/>
      <c r="P70" s="48"/>
      <c r="Q70" s="48"/>
    </row>
    <row r="71" spans="12:17" x14ac:dyDescent="0.2">
      <c r="L71" s="48"/>
      <c r="M71" s="48"/>
      <c r="N71" s="48"/>
      <c r="O71" s="48"/>
      <c r="P71" s="48"/>
      <c r="Q71" s="48"/>
    </row>
    <row r="72" spans="12:17" x14ac:dyDescent="0.2">
      <c r="L72" s="48"/>
      <c r="M72" s="48"/>
      <c r="N72" s="48"/>
      <c r="O72" s="48"/>
      <c r="P72" s="48"/>
      <c r="Q72" s="48"/>
    </row>
    <row r="73" spans="12:17" x14ac:dyDescent="0.2">
      <c r="L73" s="48"/>
      <c r="M73" s="48"/>
      <c r="N73" s="48"/>
      <c r="O73" s="48"/>
      <c r="P73" s="48"/>
      <c r="Q73" s="48"/>
    </row>
    <row r="74" spans="12:17" x14ac:dyDescent="0.2">
      <c r="L74" s="48"/>
      <c r="M74" s="48"/>
      <c r="N74" s="48"/>
      <c r="O74" s="48"/>
      <c r="P74" s="48"/>
      <c r="Q74" s="48"/>
    </row>
    <row r="75" spans="12:17" x14ac:dyDescent="0.2">
      <c r="L75" s="48"/>
      <c r="M75" s="48"/>
      <c r="N75" s="48"/>
      <c r="O75" s="48"/>
      <c r="P75" s="48"/>
      <c r="Q75" s="48"/>
    </row>
    <row r="76" spans="12:17" x14ac:dyDescent="0.2">
      <c r="L76" s="48"/>
      <c r="M76" s="48"/>
      <c r="N76" s="48"/>
      <c r="O76" s="48"/>
      <c r="P76" s="48"/>
      <c r="Q76" s="48"/>
    </row>
    <row r="77" spans="12:17" x14ac:dyDescent="0.2">
      <c r="L77" s="48"/>
      <c r="M77" s="48"/>
      <c r="N77" s="48"/>
      <c r="O77" s="48"/>
      <c r="P77" s="48"/>
      <c r="Q77" s="48"/>
    </row>
    <row r="78" spans="12:17" x14ac:dyDescent="0.2">
      <c r="L78" s="48"/>
      <c r="M78" s="48"/>
      <c r="N78" s="48"/>
      <c r="O78" s="48"/>
      <c r="P78" s="48"/>
      <c r="Q78" s="48"/>
    </row>
    <row r="79" spans="12:17" x14ac:dyDescent="0.2">
      <c r="L79" s="48"/>
      <c r="M79" s="48"/>
      <c r="N79" s="48"/>
      <c r="O79" s="48"/>
      <c r="P79" s="48"/>
      <c r="Q79" s="48"/>
    </row>
    <row r="80" spans="12:17" x14ac:dyDescent="0.2">
      <c r="L80" s="48"/>
      <c r="M80" s="48"/>
      <c r="N80" s="48"/>
      <c r="O80" s="48"/>
      <c r="P80" s="48"/>
      <c r="Q80" s="48"/>
    </row>
    <row r="81" spans="12:17" x14ac:dyDescent="0.2">
      <c r="L81" s="48"/>
      <c r="M81" s="48"/>
      <c r="N81" s="48"/>
      <c r="O81" s="48"/>
      <c r="P81" s="48"/>
      <c r="Q81" s="48"/>
    </row>
    <row r="82" spans="12:17" x14ac:dyDescent="0.2">
      <c r="L82" s="48"/>
      <c r="M82" s="48"/>
      <c r="N82" s="48"/>
      <c r="O82" s="48"/>
      <c r="P82" s="48"/>
      <c r="Q82" s="48"/>
    </row>
    <row r="83" spans="12:17" x14ac:dyDescent="0.2">
      <c r="L83" s="48"/>
      <c r="M83" s="48"/>
      <c r="N83" s="48"/>
      <c r="O83" s="48"/>
      <c r="P83" s="48"/>
      <c r="Q83" s="48"/>
    </row>
    <row r="84" spans="12:17" x14ac:dyDescent="0.2">
      <c r="L84" s="48"/>
      <c r="M84" s="48"/>
      <c r="N84" s="48"/>
      <c r="O84" s="48"/>
      <c r="P84" s="48"/>
      <c r="Q84" s="48"/>
    </row>
    <row r="85" spans="12:17" x14ac:dyDescent="0.2">
      <c r="L85" s="48"/>
      <c r="M85" s="48"/>
      <c r="N85" s="48"/>
      <c r="O85" s="48"/>
      <c r="P85" s="48"/>
      <c r="Q85" s="48"/>
    </row>
    <row r="86" spans="12:17" x14ac:dyDescent="0.2">
      <c r="L86" s="48"/>
      <c r="M86" s="48"/>
      <c r="N86" s="48"/>
      <c r="O86" s="48"/>
      <c r="P86" s="48"/>
      <c r="Q86" s="48"/>
    </row>
    <row r="87" spans="12:17" x14ac:dyDescent="0.2">
      <c r="L87" s="48"/>
      <c r="M87" s="48"/>
      <c r="N87" s="48"/>
      <c r="O87" s="48"/>
      <c r="P87" s="48"/>
      <c r="Q87" s="48"/>
    </row>
    <row r="88" spans="12:17" x14ac:dyDescent="0.2">
      <c r="L88" s="48"/>
      <c r="M88" s="48"/>
      <c r="N88" s="48"/>
      <c r="O88" s="48"/>
      <c r="P88" s="48"/>
      <c r="Q88" s="48"/>
    </row>
    <row r="89" spans="12:17" x14ac:dyDescent="0.2">
      <c r="L89" s="48"/>
      <c r="M89" s="48"/>
      <c r="N89" s="48"/>
      <c r="O89" s="48"/>
      <c r="P89" s="48"/>
      <c r="Q89" s="48"/>
    </row>
    <row r="90" spans="12:17" x14ac:dyDescent="0.2">
      <c r="L90" s="48"/>
      <c r="M90" s="48"/>
      <c r="N90" s="48"/>
      <c r="O90" s="48"/>
      <c r="P90" s="48"/>
      <c r="Q90" s="48"/>
    </row>
    <row r="91" spans="12:17" x14ac:dyDescent="0.2">
      <c r="L91" s="48"/>
      <c r="M91" s="48"/>
      <c r="N91" s="48"/>
      <c r="O91" s="48"/>
      <c r="P91" s="48"/>
      <c r="Q91" s="48"/>
    </row>
    <row r="92" spans="12:17" x14ac:dyDescent="0.2">
      <c r="L92" s="48"/>
      <c r="M92" s="48"/>
      <c r="N92" s="48"/>
      <c r="O92" s="48"/>
      <c r="P92" s="48"/>
      <c r="Q92" s="48"/>
    </row>
    <row r="93" spans="12:17" x14ac:dyDescent="0.2">
      <c r="L93" s="48"/>
      <c r="M93" s="48"/>
      <c r="N93" s="48"/>
      <c r="O93" s="48"/>
      <c r="P93" s="48"/>
      <c r="Q93" s="48"/>
    </row>
    <row r="94" spans="12:17" x14ac:dyDescent="0.2">
      <c r="L94" s="48"/>
      <c r="M94" s="48"/>
      <c r="N94" s="48"/>
      <c r="O94" s="48"/>
      <c r="P94" s="48"/>
      <c r="Q94" s="48"/>
    </row>
    <row r="95" spans="12:17" x14ac:dyDescent="0.2">
      <c r="L95" s="48"/>
      <c r="M95" s="48"/>
      <c r="N95" s="48"/>
      <c r="O95" s="48"/>
      <c r="P95" s="48"/>
      <c r="Q95" s="48"/>
    </row>
    <row r="96" spans="12:17" x14ac:dyDescent="0.2">
      <c r="L96" s="48"/>
      <c r="M96" s="48"/>
      <c r="N96" s="48"/>
      <c r="O96" s="48"/>
      <c r="P96" s="48"/>
      <c r="Q96" s="48"/>
    </row>
    <row r="97" spans="12:17" x14ac:dyDescent="0.2">
      <c r="L97" s="48"/>
      <c r="M97" s="48"/>
      <c r="N97" s="48"/>
      <c r="O97" s="48"/>
      <c r="P97" s="48"/>
      <c r="Q97" s="48"/>
    </row>
    <row r="98" spans="12:17" x14ac:dyDescent="0.2">
      <c r="L98" s="48"/>
      <c r="M98" s="48"/>
      <c r="N98" s="48"/>
      <c r="O98" s="48"/>
      <c r="P98" s="48"/>
      <c r="Q98" s="48"/>
    </row>
    <row r="99" spans="12:17" x14ac:dyDescent="0.2">
      <c r="L99" s="48"/>
      <c r="M99" s="48"/>
      <c r="N99" s="48"/>
      <c r="O99" s="48"/>
      <c r="P99" s="48"/>
      <c r="Q99" s="48"/>
    </row>
    <row r="100" spans="12:17" x14ac:dyDescent="0.2">
      <c r="L100" s="48"/>
      <c r="M100" s="48"/>
      <c r="N100" s="48"/>
      <c r="O100" s="48"/>
      <c r="P100" s="48"/>
      <c r="Q100" s="48"/>
    </row>
    <row r="101" spans="12:17" x14ac:dyDescent="0.2">
      <c r="L101" s="48"/>
      <c r="M101" s="48"/>
      <c r="N101" s="48"/>
      <c r="O101" s="48"/>
      <c r="P101" s="48"/>
      <c r="Q101" s="48"/>
    </row>
    <row r="102" spans="12:17" x14ac:dyDescent="0.2">
      <c r="L102" s="48"/>
    </row>
    <row r="103" spans="12:17" x14ac:dyDescent="0.2">
      <c r="L103" s="48"/>
      <c r="M103" s="48"/>
    </row>
    <row r="104" spans="12:17" x14ac:dyDescent="0.2">
      <c r="M104" s="48"/>
      <c r="N104" s="48"/>
    </row>
    <row r="105" spans="12:17" x14ac:dyDescent="0.2">
      <c r="N105" s="48"/>
      <c r="O105" s="48"/>
      <c r="P105" s="48"/>
      <c r="Q105" s="48"/>
    </row>
  </sheetData>
  <phoneticPr fontId="2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B2:B3"/>
  <sheetViews>
    <sheetView showGridLines="0" zoomScale="85" zoomScaleNormal="85" workbookViewId="0"/>
  </sheetViews>
  <sheetFormatPr defaultRowHeight="12.75" x14ac:dyDescent="0.2"/>
  <cols>
    <col min="1" max="1" width="5.7109375" style="17" customWidth="1"/>
    <col min="2" max="16384" width="9.140625" style="17"/>
  </cols>
  <sheetData>
    <row r="2" spans="2:2" x14ac:dyDescent="0.2">
      <c r="B2" s="35"/>
    </row>
    <row r="3" spans="2:2" x14ac:dyDescent="0.2">
      <c r="B3" s="3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856C-CE78-4619-B59C-5E428A2434D9}">
  <sheetPr>
    <tabColor rgb="FFE1FFE1"/>
  </sheetPr>
  <dimension ref="B2:Y46"/>
  <sheetViews>
    <sheetView showGridLines="0" zoomScale="85" zoomScaleNormal="85" workbookViewId="0">
      <pane xSplit="6" ySplit="12" topLeftCell="G13" activePane="bottomRight" state="frozen"/>
      <selection activeCell="B6" sqref="B6"/>
      <selection pane="topRight" activeCell="B6" sqref="B6"/>
      <selection pane="bottomLeft" activeCell="B6" sqref="B6"/>
      <selection pane="bottomRight" activeCell="G13" sqref="G13"/>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22" width="2.7109375" style="2" customWidth="1"/>
    <col min="23" max="23" width="70.42578125" style="2" customWidth="1"/>
    <col min="24" max="24" width="2.7109375" style="2" customWidth="1"/>
    <col min="25" max="25" width="30.7109375" style="2" customWidth="1"/>
    <col min="26" max="26" width="2.7109375" style="2" customWidth="1"/>
    <col min="27" max="41" width="13.7109375" style="2" customWidth="1"/>
    <col min="42" max="16384" width="9.140625" style="2"/>
  </cols>
  <sheetData>
    <row r="2" spans="2:25" s="14" customFormat="1" ht="18" x14ac:dyDescent="0.2">
      <c r="B2" s="14" t="s">
        <v>135</v>
      </c>
    </row>
    <row r="4" spans="2:25" x14ac:dyDescent="0.2">
      <c r="B4" s="21" t="s">
        <v>78</v>
      </c>
      <c r="C4" s="1"/>
      <c r="D4" s="1"/>
      <c r="L4"/>
    </row>
    <row r="5" spans="2:25" x14ac:dyDescent="0.2">
      <c r="B5" s="18" t="s">
        <v>138</v>
      </c>
      <c r="C5" s="18"/>
      <c r="D5" s="18"/>
      <c r="H5" s="15"/>
    </row>
    <row r="6" spans="2:25" x14ac:dyDescent="0.2">
      <c r="B6" s="18"/>
      <c r="C6" s="18"/>
      <c r="D6" s="18"/>
      <c r="H6" s="15"/>
    </row>
    <row r="7" spans="2:25" x14ac:dyDescent="0.2">
      <c r="B7" s="22" t="s">
        <v>63</v>
      </c>
      <c r="C7" s="18"/>
      <c r="D7" s="18"/>
      <c r="H7" s="15"/>
    </row>
    <row r="8" spans="2:25" x14ac:dyDescent="0.2">
      <c r="B8" s="22" t="s">
        <v>174</v>
      </c>
      <c r="C8" s="18"/>
      <c r="D8" s="18"/>
    </row>
    <row r="9" spans="2:25" x14ac:dyDescent="0.2">
      <c r="B9" s="22" t="s">
        <v>173</v>
      </c>
    </row>
    <row r="11" spans="2:25" s="7" customFormat="1" x14ac:dyDescent="0.2">
      <c r="B11" s="7" t="s">
        <v>64</v>
      </c>
      <c r="F11" s="7" t="s">
        <v>65</v>
      </c>
      <c r="H11" s="7" t="s">
        <v>66</v>
      </c>
      <c r="J11" s="7" t="s">
        <v>67</v>
      </c>
      <c r="L11" s="7" t="s">
        <v>68</v>
      </c>
      <c r="M11" s="7" t="s">
        <v>69</v>
      </c>
      <c r="N11" s="7" t="s">
        <v>70</v>
      </c>
      <c r="O11" s="7" t="s">
        <v>71</v>
      </c>
      <c r="P11" s="7" t="s">
        <v>72</v>
      </c>
      <c r="Q11" s="7" t="s">
        <v>73</v>
      </c>
      <c r="R11" s="7" t="s">
        <v>74</v>
      </c>
      <c r="S11" s="7" t="s">
        <v>75</v>
      </c>
      <c r="T11" s="7" t="s">
        <v>76</v>
      </c>
      <c r="U11" s="7" t="s">
        <v>77</v>
      </c>
      <c r="W11" s="7" t="s">
        <v>79</v>
      </c>
      <c r="Y11" s="7" t="s">
        <v>0</v>
      </c>
    </row>
    <row r="14" spans="2:25" s="7" customFormat="1" x14ac:dyDescent="0.2">
      <c r="B14" s="7" t="s">
        <v>83</v>
      </c>
    </row>
    <row r="16" spans="2:25" x14ac:dyDescent="0.2">
      <c r="B16" s="2" t="s">
        <v>84</v>
      </c>
      <c r="H16" s="41">
        <v>2E-3</v>
      </c>
    </row>
    <row r="17" spans="2:23" x14ac:dyDescent="0.2">
      <c r="B17" s="2" t="s">
        <v>85</v>
      </c>
      <c r="H17" s="41">
        <v>1.4E-2</v>
      </c>
    </row>
    <row r="18" spans="2:23" x14ac:dyDescent="0.2">
      <c r="B18" s="2" t="s">
        <v>86</v>
      </c>
      <c r="H18" s="41">
        <v>2.1000000000000001E-2</v>
      </c>
    </row>
    <row r="19" spans="2:23" x14ac:dyDescent="0.2">
      <c r="B19" s="2" t="s">
        <v>155</v>
      </c>
      <c r="H19" s="41">
        <v>2.8000000000000001E-2</v>
      </c>
    </row>
    <row r="20" spans="2:23" x14ac:dyDescent="0.2">
      <c r="B20" s="2" t="s">
        <v>196</v>
      </c>
      <c r="H20" s="41">
        <v>7.0000000000000001E-3</v>
      </c>
    </row>
    <row r="22" spans="2:23" s="7" customFormat="1" x14ac:dyDescent="0.2">
      <c r="B22" s="7" t="s">
        <v>195</v>
      </c>
    </row>
    <row r="24" spans="2:23" x14ac:dyDescent="0.2">
      <c r="B24" s="2" t="s">
        <v>140</v>
      </c>
      <c r="H24" s="50">
        <v>0.5</v>
      </c>
    </row>
    <row r="26" spans="2:23" x14ac:dyDescent="0.2">
      <c r="B26" s="2" t="s">
        <v>175</v>
      </c>
      <c r="H26" s="41">
        <v>5.6000000000000001E-2</v>
      </c>
      <c r="W26" s="2" t="s">
        <v>185</v>
      </c>
    </row>
    <row r="27" spans="2:23" x14ac:dyDescent="0.2">
      <c r="B27" s="2" t="s">
        <v>169</v>
      </c>
      <c r="H27" s="41">
        <v>0.02</v>
      </c>
      <c r="W27" s="31"/>
    </row>
    <row r="29" spans="2:23" x14ac:dyDescent="0.2">
      <c r="B29" s="2" t="s">
        <v>132</v>
      </c>
      <c r="H29" s="41">
        <v>5.2600000000000001E-2</v>
      </c>
      <c r="W29" s="2" t="s">
        <v>189</v>
      </c>
    </row>
    <row r="30" spans="2:23" x14ac:dyDescent="0.2">
      <c r="B30" s="2" t="s">
        <v>133</v>
      </c>
      <c r="H30" s="41">
        <v>4.4900000000000002E-2</v>
      </c>
      <c r="W30" s="2" t="s">
        <v>190</v>
      </c>
    </row>
    <row r="31" spans="2:23" x14ac:dyDescent="0.2">
      <c r="B31" s="2" t="s">
        <v>170</v>
      </c>
      <c r="H31" s="41">
        <v>7.7000000000000002E-3</v>
      </c>
    </row>
    <row r="32" spans="2:23" x14ac:dyDescent="0.2">
      <c r="B32" s="2" t="s">
        <v>176</v>
      </c>
      <c r="H32" s="40">
        <f>H31-(($H$31-$H$36)/5)</f>
        <v>9.0000000000000011E-3</v>
      </c>
    </row>
    <row r="33" spans="2:23" x14ac:dyDescent="0.2">
      <c r="B33" s="2" t="s">
        <v>177</v>
      </c>
      <c r="H33" s="40">
        <f>H32-(($H$31-$H$36)/5)</f>
        <v>1.0300000000000002E-2</v>
      </c>
    </row>
    <row r="34" spans="2:23" x14ac:dyDescent="0.2">
      <c r="B34" s="2" t="s">
        <v>178</v>
      </c>
      <c r="H34" s="40">
        <f>H33-(($H$31-$H$36)/5)</f>
        <v>1.1600000000000003E-2</v>
      </c>
    </row>
    <row r="35" spans="2:23" x14ac:dyDescent="0.2">
      <c r="B35" s="2" t="s">
        <v>179</v>
      </c>
      <c r="H35" s="40">
        <f>H34-(($H$31-$H$36)/5)</f>
        <v>1.2900000000000003E-2</v>
      </c>
    </row>
    <row r="36" spans="2:23" x14ac:dyDescent="0.2">
      <c r="B36" s="2" t="s">
        <v>171</v>
      </c>
      <c r="H36" s="41">
        <v>1.4200000000000001E-2</v>
      </c>
    </row>
    <row r="37" spans="2:23" x14ac:dyDescent="0.2">
      <c r="B37" s="2" t="s">
        <v>141</v>
      </c>
      <c r="H37" s="40">
        <f>(1+H29)/(1+H31*$H$24)-1</f>
        <v>4.8563032325546818E-2</v>
      </c>
      <c r="J37" s="65"/>
    </row>
    <row r="38" spans="2:23" x14ac:dyDescent="0.2">
      <c r="B38" s="2" t="s">
        <v>142</v>
      </c>
      <c r="H38" s="40">
        <f>(1+H30)/(1+H36*$H$24)-1</f>
        <v>3.7533512064342966E-2</v>
      </c>
      <c r="J38" s="65"/>
    </row>
    <row r="39" spans="2:23" x14ac:dyDescent="0.2">
      <c r="W39" s="31"/>
    </row>
    <row r="40" spans="2:23" x14ac:dyDescent="0.2">
      <c r="B40" s="21" t="s">
        <v>194</v>
      </c>
      <c r="W40" s="31"/>
    </row>
    <row r="41" spans="2:23" x14ac:dyDescent="0.2">
      <c r="B41" s="2" t="s">
        <v>87</v>
      </c>
      <c r="H41" s="40">
        <f>(1+H26)/(1+H27*$H$24)-1</f>
        <v>4.5544554455445585E-2</v>
      </c>
      <c r="W41" s="31"/>
    </row>
    <row r="42" spans="2:23" x14ac:dyDescent="0.2">
      <c r="B42" s="2" t="s">
        <v>88</v>
      </c>
      <c r="H42" s="40">
        <f>H37-(($H$37-$H$38)/5)</f>
        <v>4.6357128273306049E-2</v>
      </c>
    </row>
    <row r="43" spans="2:23" x14ac:dyDescent="0.2">
      <c r="B43" s="2" t="s">
        <v>89</v>
      </c>
      <c r="H43" s="40">
        <f>H42-(($H$37-$H$38)/5)</f>
        <v>4.415122422106528E-2</v>
      </c>
    </row>
    <row r="44" spans="2:23" x14ac:dyDescent="0.2">
      <c r="B44" s="2" t="s">
        <v>90</v>
      </c>
      <c r="H44" s="40">
        <f>H43-(($H$37-$H$38)/5)</f>
        <v>4.1945320168824511E-2</v>
      </c>
    </row>
    <row r="45" spans="2:23" x14ac:dyDescent="0.2">
      <c r="B45" s="2" t="s">
        <v>150</v>
      </c>
      <c r="H45" s="40">
        <f>H44-(($H$37-$H$38)/5)</f>
        <v>3.9739416116583742E-2</v>
      </c>
    </row>
    <row r="46" spans="2:23" x14ac:dyDescent="0.2">
      <c r="B46" s="2" t="s">
        <v>197</v>
      </c>
      <c r="H46" s="40">
        <f>H45-(($H$37-$H$38)/5)</f>
        <v>3.7533512064342973E-2</v>
      </c>
    </row>
  </sheetData>
  <phoneticPr fontId="2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8E71C-B8FA-4C28-B7AB-D8E86321AC31}">
  <sheetPr>
    <tabColor rgb="FFE1FFE1"/>
  </sheetPr>
  <dimension ref="B2:S31"/>
  <sheetViews>
    <sheetView showGridLines="0" zoomScale="85" zoomScaleNormal="85" workbookViewId="0">
      <pane xSplit="6" ySplit="13" topLeftCell="G14" activePane="bottomRight" state="frozen"/>
      <selection activeCell="B6" sqref="B6"/>
      <selection pane="topRight" activeCell="B6" sqref="B6"/>
      <selection pane="bottomLeft" activeCell="B6" sqref="B6"/>
      <selection pane="bottomRight" activeCell="G14" sqref="G14"/>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15" style="2" bestFit="1" customWidth="1"/>
    <col min="17" max="17" width="15" style="2" customWidth="1"/>
    <col min="18" max="18" width="2.7109375" style="2" customWidth="1"/>
    <col min="19" max="19" width="32" style="2" customWidth="1"/>
    <col min="20" max="31" width="13.7109375" style="2" customWidth="1"/>
    <col min="32" max="16384" width="9.140625" style="2"/>
  </cols>
  <sheetData>
    <row r="2" spans="2:19" s="14" customFormat="1" ht="18" x14ac:dyDescent="0.2">
      <c r="B2" s="14" t="s">
        <v>95</v>
      </c>
    </row>
    <row r="4" spans="2:19" x14ac:dyDescent="0.2">
      <c r="B4" s="21" t="s">
        <v>78</v>
      </c>
      <c r="C4" s="1"/>
      <c r="D4" s="1"/>
    </row>
    <row r="5" spans="2:19" x14ac:dyDescent="0.2">
      <c r="B5" s="18" t="s">
        <v>157</v>
      </c>
      <c r="C5" s="18"/>
      <c r="D5" s="18"/>
      <c r="H5" s="15"/>
    </row>
    <row r="6" spans="2:19" x14ac:dyDescent="0.2">
      <c r="B6" s="18" t="s">
        <v>221</v>
      </c>
      <c r="C6" s="18"/>
      <c r="D6" s="18"/>
      <c r="H6" s="15"/>
    </row>
    <row r="7" spans="2:19" x14ac:dyDescent="0.2">
      <c r="B7" s="18"/>
      <c r="C7" s="18"/>
      <c r="D7" s="18"/>
      <c r="H7" s="15"/>
    </row>
    <row r="8" spans="2:19" x14ac:dyDescent="0.2">
      <c r="B8" s="22" t="s">
        <v>63</v>
      </c>
      <c r="C8" s="18"/>
      <c r="D8" s="18"/>
      <c r="H8" s="15"/>
    </row>
    <row r="9" spans="2:19" x14ac:dyDescent="0.2">
      <c r="B9" s="22" t="s">
        <v>206</v>
      </c>
      <c r="C9" s="18"/>
      <c r="D9" s="18"/>
    </row>
    <row r="10" spans="2:19" x14ac:dyDescent="0.2">
      <c r="B10" s="22" t="s">
        <v>220</v>
      </c>
      <c r="C10" s="18"/>
      <c r="D10" s="18"/>
    </row>
    <row r="11" spans="2:19" s="68" customFormat="1" x14ac:dyDescent="0.2"/>
    <row r="12" spans="2:19" s="7" customFormat="1" x14ac:dyDescent="0.2">
      <c r="B12" s="7" t="s">
        <v>64</v>
      </c>
      <c r="F12" s="7" t="s">
        <v>65</v>
      </c>
      <c r="H12" s="7" t="s">
        <v>66</v>
      </c>
      <c r="J12" s="7" t="s">
        <v>67</v>
      </c>
      <c r="L12" s="7" t="s">
        <v>96</v>
      </c>
      <c r="M12" s="7" t="s">
        <v>97</v>
      </c>
      <c r="N12" s="7" t="s">
        <v>98</v>
      </c>
      <c r="O12" s="7" t="s">
        <v>99</v>
      </c>
      <c r="P12" s="7" t="s">
        <v>148</v>
      </c>
      <c r="Q12" s="7">
        <v>2021</v>
      </c>
      <c r="S12" s="7" t="s">
        <v>79</v>
      </c>
    </row>
    <row r="15" spans="2:19" s="7" customFormat="1" x14ac:dyDescent="0.2">
      <c r="B15" s="7" t="s">
        <v>192</v>
      </c>
    </row>
    <row r="17" spans="2:19" x14ac:dyDescent="0.2">
      <c r="B17" s="2" t="s">
        <v>180</v>
      </c>
      <c r="F17" s="2" t="s">
        <v>116</v>
      </c>
      <c r="L17" s="27">
        <v>527803773.11437267</v>
      </c>
      <c r="M17" s="27">
        <v>523130351.09175336</v>
      </c>
      <c r="N17" s="27">
        <v>538898311.11717486</v>
      </c>
      <c r="O17" s="27">
        <v>557348345.90680265</v>
      </c>
      <c r="P17" s="27">
        <v>581487484.68463004</v>
      </c>
      <c r="Q17" s="67">
        <v>611500385.51913202</v>
      </c>
      <c r="S17" s="2" t="s">
        <v>225</v>
      </c>
    </row>
    <row r="18" spans="2:19" x14ac:dyDescent="0.2">
      <c r="B18" s="2" t="s">
        <v>183</v>
      </c>
      <c r="F18" s="2" t="s">
        <v>116</v>
      </c>
      <c r="L18" s="27">
        <v>10162346050.746775</v>
      </c>
      <c r="M18" s="27">
        <v>10254416789.368994</v>
      </c>
      <c r="N18" s="27">
        <v>10454375309.511566</v>
      </c>
      <c r="O18" s="27">
        <v>10808761342.492493</v>
      </c>
      <c r="P18" s="27">
        <v>11363819117.179329</v>
      </c>
      <c r="Q18" s="67">
        <v>12007920636.737396</v>
      </c>
      <c r="S18" s="2" t="s">
        <v>226</v>
      </c>
    </row>
    <row r="19" spans="2:19" x14ac:dyDescent="0.2">
      <c r="B19" s="2" t="s">
        <v>182</v>
      </c>
      <c r="F19" s="2" t="s">
        <v>116</v>
      </c>
      <c r="L19" s="27">
        <v>595351.35559969209</v>
      </c>
      <c r="M19" s="27">
        <v>598030.43669989076</v>
      </c>
      <c r="N19" s="27">
        <v>601110.2934488951</v>
      </c>
      <c r="O19" s="27">
        <v>0</v>
      </c>
      <c r="P19" s="27">
        <v>0</v>
      </c>
      <c r="Q19" s="27">
        <v>0</v>
      </c>
      <c r="S19" s="2" t="s">
        <v>227</v>
      </c>
    </row>
    <row r="20" spans="2:19" x14ac:dyDescent="0.2">
      <c r="B20" s="2" t="s">
        <v>181</v>
      </c>
      <c r="F20" s="2" t="s">
        <v>116</v>
      </c>
      <c r="L20" s="27">
        <v>1190702.7111993732</v>
      </c>
      <c r="M20" s="27">
        <v>598030.43669987959</v>
      </c>
      <c r="N20" s="27">
        <v>0</v>
      </c>
      <c r="O20" s="27">
        <v>0</v>
      </c>
      <c r="P20" s="27">
        <v>0</v>
      </c>
      <c r="Q20" s="27">
        <v>0</v>
      </c>
      <c r="S20" s="2" t="s">
        <v>228</v>
      </c>
    </row>
    <row r="22" spans="2:19" x14ac:dyDescent="0.2">
      <c r="B22" s="2" t="s">
        <v>186</v>
      </c>
      <c r="F22" s="2" t="s">
        <v>116</v>
      </c>
      <c r="L22" s="36"/>
      <c r="M22" s="36"/>
      <c r="N22" s="27">
        <v>1685064.4052628432</v>
      </c>
      <c r="O22" s="27">
        <v>1367347.2508526316</v>
      </c>
      <c r="P22" s="27">
        <v>0</v>
      </c>
      <c r="Q22" s="27">
        <v>0</v>
      </c>
      <c r="S22" s="2" t="s">
        <v>229</v>
      </c>
    </row>
    <row r="23" spans="2:19" x14ac:dyDescent="0.2">
      <c r="B23" s="2" t="s">
        <v>187</v>
      </c>
      <c r="F23" s="2" t="s">
        <v>116</v>
      </c>
      <c r="L23" s="36"/>
      <c r="M23" s="36"/>
      <c r="N23" s="27">
        <v>1359462.3691118092</v>
      </c>
      <c r="O23" s="27">
        <v>0</v>
      </c>
      <c r="P23" s="27">
        <v>0</v>
      </c>
      <c r="Q23" s="27">
        <v>0</v>
      </c>
      <c r="S23" s="2" t="s">
        <v>230</v>
      </c>
    </row>
    <row r="25" spans="2:19" x14ac:dyDescent="0.2">
      <c r="B25" s="2" t="s">
        <v>94</v>
      </c>
      <c r="F25" s="2" t="s">
        <v>116</v>
      </c>
      <c r="L25" s="34">
        <f t="shared" ref="L25:P25" si="0">L17-L19</f>
        <v>527208421.75877297</v>
      </c>
      <c r="M25" s="34">
        <f t="shared" si="0"/>
        <v>522532320.6550535</v>
      </c>
      <c r="N25" s="34">
        <f t="shared" si="0"/>
        <v>538297200.82372594</v>
      </c>
      <c r="O25" s="34">
        <f t="shared" si="0"/>
        <v>557348345.90680265</v>
      </c>
      <c r="P25" s="34">
        <f t="shared" si="0"/>
        <v>581487484.68463004</v>
      </c>
      <c r="Q25" s="34">
        <f t="shared" ref="Q25" si="1">Q17-Q19</f>
        <v>611500385.51913202</v>
      </c>
    </row>
    <row r="26" spans="2:19" x14ac:dyDescent="0.2">
      <c r="B26" s="2" t="s">
        <v>95</v>
      </c>
      <c r="F26" s="2" t="s">
        <v>116</v>
      </c>
      <c r="L26" s="34">
        <f t="shared" ref="L26:P26" si="2">L18-L20</f>
        <v>10161155348.035576</v>
      </c>
      <c r="M26" s="34">
        <f t="shared" si="2"/>
        <v>10253818758.932293</v>
      </c>
      <c r="N26" s="34">
        <f t="shared" si="2"/>
        <v>10454375309.511566</v>
      </c>
      <c r="O26" s="34">
        <f t="shared" si="2"/>
        <v>10808761342.492493</v>
      </c>
      <c r="P26" s="34">
        <f t="shared" si="2"/>
        <v>11363819117.179329</v>
      </c>
      <c r="Q26" s="34">
        <f t="shared" ref="Q26" si="3">Q18-Q20</f>
        <v>12007920636.737396</v>
      </c>
    </row>
    <row r="27" spans="2:19" x14ac:dyDescent="0.2">
      <c r="B27" s="47"/>
    </row>
    <row r="28" spans="2:19" x14ac:dyDescent="0.2">
      <c r="B28" s="3" t="s">
        <v>223</v>
      </c>
    </row>
    <row r="29" spans="2:19" x14ac:dyDescent="0.2">
      <c r="B29" s="2" t="s">
        <v>91</v>
      </c>
      <c r="F29" s="2" t="s">
        <v>116</v>
      </c>
      <c r="L29" s="27">
        <v>12601190.357499994</v>
      </c>
      <c r="M29" s="27">
        <v>12633312.557518186</v>
      </c>
      <c r="N29" s="27">
        <v>12410754.951348918</v>
      </c>
      <c r="O29" s="27">
        <v>12972698.127070708</v>
      </c>
      <c r="P29" s="27">
        <v>14276162.95944592</v>
      </c>
      <c r="Q29" s="27">
        <v>15747123.070000004</v>
      </c>
      <c r="S29" s="2" t="s">
        <v>231</v>
      </c>
    </row>
    <row r="30" spans="2:19" x14ac:dyDescent="0.2">
      <c r="B30" s="2" t="s">
        <v>92</v>
      </c>
      <c r="F30" s="2" t="s">
        <v>116</v>
      </c>
      <c r="L30" s="27">
        <v>3317823.803205627</v>
      </c>
      <c r="M30" s="27">
        <v>3610425.1827898095</v>
      </c>
      <c r="N30" s="27">
        <v>3733724.3376423875</v>
      </c>
      <c r="O30" s="27">
        <v>3752644.2792296978</v>
      </c>
      <c r="P30" s="27">
        <v>4147086.2763</v>
      </c>
      <c r="Q30" s="27">
        <v>4567348.6978643145</v>
      </c>
      <c r="S30" s="2" t="s">
        <v>232</v>
      </c>
    </row>
    <row r="31" spans="2:19" x14ac:dyDescent="0.2">
      <c r="B31" s="2" t="s">
        <v>93</v>
      </c>
      <c r="F31" s="2" t="s">
        <v>116</v>
      </c>
      <c r="L31" s="27">
        <v>0</v>
      </c>
      <c r="M31" s="27">
        <v>10453.379999999999</v>
      </c>
      <c r="N31" s="27">
        <v>213154.5385</v>
      </c>
      <c r="O31" s="27">
        <v>7063.13</v>
      </c>
      <c r="P31" s="27">
        <v>118278.04000000001</v>
      </c>
      <c r="Q31" s="27">
        <v>25160</v>
      </c>
      <c r="S31" s="2" t="s">
        <v>233</v>
      </c>
    </row>
  </sheetData>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S36"/>
  <sheetViews>
    <sheetView showGridLines="0" zoomScale="85" zoomScaleNormal="85" workbookViewId="0">
      <pane xSplit="6" ySplit="11" topLeftCell="G12" activePane="bottomRight" state="frozen"/>
      <selection activeCell="B6" sqref="B6"/>
      <selection pane="topRight" activeCell="B6" sqref="B6"/>
      <selection pane="bottomLeft" activeCell="B6" sqref="B6"/>
      <selection pane="bottomRight" activeCell="G12" sqref="G12"/>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4" style="2" customWidth="1"/>
    <col min="18" max="18" width="13.7109375" style="2" customWidth="1"/>
    <col min="19" max="19" width="86.42578125" style="2" customWidth="1"/>
    <col min="20" max="31" width="13.7109375" style="2" customWidth="1"/>
    <col min="32" max="16384" width="9.140625" style="2"/>
  </cols>
  <sheetData>
    <row r="2" spans="2:19" s="14" customFormat="1" ht="18" x14ac:dyDescent="0.2">
      <c r="B2" s="14" t="s">
        <v>136</v>
      </c>
    </row>
    <row r="4" spans="2:19" x14ac:dyDescent="0.2">
      <c r="B4" s="21" t="s">
        <v>78</v>
      </c>
      <c r="C4" s="1"/>
      <c r="D4" s="1"/>
    </row>
    <row r="5" spans="2:19" x14ac:dyDescent="0.2">
      <c r="B5" s="18" t="s">
        <v>137</v>
      </c>
      <c r="C5" s="18"/>
      <c r="D5" s="18"/>
      <c r="H5" s="15"/>
    </row>
    <row r="6" spans="2:19" x14ac:dyDescent="0.2">
      <c r="B6" s="18"/>
      <c r="C6" s="18"/>
      <c r="D6" s="18"/>
      <c r="H6" s="15"/>
    </row>
    <row r="7" spans="2:19" x14ac:dyDescent="0.2">
      <c r="B7" s="22" t="s">
        <v>63</v>
      </c>
      <c r="C7" s="18"/>
      <c r="D7" s="18"/>
      <c r="H7" s="15"/>
    </row>
    <row r="8" spans="2:19" x14ac:dyDescent="0.2">
      <c r="B8" s="22" t="s">
        <v>208</v>
      </c>
      <c r="C8" s="18"/>
      <c r="D8" s="18"/>
    </row>
    <row r="10" spans="2:19" s="7" customFormat="1" x14ac:dyDescent="0.2">
      <c r="B10" s="7" t="s">
        <v>64</v>
      </c>
      <c r="F10" s="7" t="s">
        <v>65</v>
      </c>
      <c r="H10" s="7" t="s">
        <v>66</v>
      </c>
      <c r="J10" s="7" t="s">
        <v>67</v>
      </c>
      <c r="L10" s="7" t="s">
        <v>96</v>
      </c>
      <c r="M10" s="7" t="s">
        <v>97</v>
      </c>
      <c r="N10" s="7" t="s">
        <v>98</v>
      </c>
      <c r="O10" s="7" t="s">
        <v>99</v>
      </c>
      <c r="P10" s="7" t="s">
        <v>148</v>
      </c>
      <c r="Q10" s="7" t="s">
        <v>198</v>
      </c>
      <c r="S10" s="7" t="s">
        <v>79</v>
      </c>
    </row>
    <row r="13" spans="2:19" s="7" customFormat="1" x14ac:dyDescent="0.2">
      <c r="B13" s="7" t="s">
        <v>82</v>
      </c>
    </row>
    <row r="15" spans="2:19" x14ac:dyDescent="0.2">
      <c r="B15" s="2" t="s">
        <v>110</v>
      </c>
      <c r="F15" s="2" t="s">
        <v>116</v>
      </c>
      <c r="L15" s="27">
        <v>911305549.99349415</v>
      </c>
      <c r="M15" s="27">
        <v>963234682.88586998</v>
      </c>
      <c r="N15" s="36"/>
      <c r="O15" s="36"/>
      <c r="P15" s="36"/>
      <c r="Q15" s="36"/>
      <c r="S15" s="2" t="s">
        <v>234</v>
      </c>
    </row>
    <row r="16" spans="2:19" x14ac:dyDescent="0.2">
      <c r="B16" s="2" t="s">
        <v>111</v>
      </c>
      <c r="F16" s="2" t="s">
        <v>116</v>
      </c>
      <c r="L16" s="36"/>
      <c r="M16" s="27">
        <v>963234682.88586998</v>
      </c>
      <c r="N16" s="27">
        <v>1009971433.9997885</v>
      </c>
      <c r="O16" s="36"/>
      <c r="P16" s="36"/>
      <c r="Q16" s="36"/>
      <c r="S16" s="2" t="s">
        <v>235</v>
      </c>
    </row>
    <row r="17" spans="2:19" x14ac:dyDescent="0.2">
      <c r="B17" s="2" t="s">
        <v>112</v>
      </c>
      <c r="F17" s="2" t="s">
        <v>116</v>
      </c>
      <c r="L17" s="36"/>
      <c r="M17" s="36"/>
      <c r="N17" s="27">
        <v>1009971433.9997885</v>
      </c>
      <c r="O17" s="27">
        <v>1087441866.6401911</v>
      </c>
      <c r="P17" s="36"/>
      <c r="Q17" s="36"/>
      <c r="S17" s="2" t="s">
        <v>236</v>
      </c>
    </row>
    <row r="18" spans="2:19" x14ac:dyDescent="0.2">
      <c r="B18" s="2" t="s">
        <v>147</v>
      </c>
      <c r="F18" s="2" t="s">
        <v>116</v>
      </c>
      <c r="L18" s="36"/>
      <c r="M18" s="36"/>
      <c r="N18" s="36"/>
      <c r="O18" s="27">
        <v>1087441866.6401911</v>
      </c>
      <c r="P18" s="27">
        <v>1162233747.3752635</v>
      </c>
      <c r="Q18" s="36"/>
      <c r="S18" s="2" t="s">
        <v>237</v>
      </c>
    </row>
    <row r="19" spans="2:19" x14ac:dyDescent="0.2">
      <c r="B19" s="2" t="s">
        <v>199</v>
      </c>
      <c r="F19" s="2" t="s">
        <v>116</v>
      </c>
      <c r="L19" s="36"/>
      <c r="M19" s="36"/>
      <c r="N19" s="36"/>
      <c r="O19" s="36"/>
      <c r="P19" s="27">
        <v>1162233747.3752635</v>
      </c>
      <c r="Q19" s="27">
        <v>1334971582.76948</v>
      </c>
      <c r="S19" s="2" t="s">
        <v>238</v>
      </c>
    </row>
    <row r="21" spans="2:19" s="7" customFormat="1" x14ac:dyDescent="0.2">
      <c r="B21" s="7" t="s">
        <v>143</v>
      </c>
    </row>
    <row r="23" spans="2:19" x14ac:dyDescent="0.2">
      <c r="B23" s="2" t="s">
        <v>144</v>
      </c>
      <c r="F23" s="2" t="s">
        <v>116</v>
      </c>
      <c r="L23" s="27">
        <v>119461042.48441979</v>
      </c>
      <c r="M23" s="27">
        <v>105989089.58187632</v>
      </c>
      <c r="N23" s="36"/>
      <c r="O23" s="36"/>
      <c r="P23" s="36"/>
      <c r="Q23" s="36"/>
      <c r="S23" s="2" t="s">
        <v>239</v>
      </c>
    </row>
    <row r="24" spans="2:19" x14ac:dyDescent="0.2">
      <c r="B24" s="2" t="s">
        <v>145</v>
      </c>
      <c r="F24" s="2" t="s">
        <v>116</v>
      </c>
      <c r="L24" s="36"/>
      <c r="M24" s="27">
        <v>105989089.58187632</v>
      </c>
      <c r="N24" s="27">
        <v>120974767.46933956</v>
      </c>
      <c r="O24" s="36"/>
      <c r="P24" s="36"/>
      <c r="Q24" s="36"/>
      <c r="S24" s="2" t="s">
        <v>240</v>
      </c>
    </row>
    <row r="25" spans="2:19" x14ac:dyDescent="0.2">
      <c r="B25" s="2" t="s">
        <v>146</v>
      </c>
      <c r="F25" s="2" t="s">
        <v>116</v>
      </c>
      <c r="L25" s="36"/>
      <c r="M25" s="36"/>
      <c r="N25" s="27">
        <v>120974767.46933956</v>
      </c>
      <c r="O25" s="27">
        <v>143195204.31999993</v>
      </c>
      <c r="P25" s="36"/>
      <c r="Q25" s="36"/>
      <c r="S25" s="2" t="s">
        <v>241</v>
      </c>
    </row>
    <row r="26" spans="2:19" x14ac:dyDescent="0.2">
      <c r="B26" s="2" t="s">
        <v>149</v>
      </c>
      <c r="F26" s="2" t="s">
        <v>116</v>
      </c>
      <c r="L26" s="36"/>
      <c r="M26" s="36"/>
      <c r="N26" s="36"/>
      <c r="O26" s="27">
        <v>143195204.31999993</v>
      </c>
      <c r="P26" s="27">
        <v>162549288.46165749</v>
      </c>
      <c r="Q26" s="36"/>
      <c r="S26" s="2" t="s">
        <v>242</v>
      </c>
    </row>
    <row r="27" spans="2:19" x14ac:dyDescent="0.2">
      <c r="B27" s="2" t="s">
        <v>200</v>
      </c>
      <c r="F27" s="2" t="s">
        <v>116</v>
      </c>
      <c r="L27" s="36"/>
      <c r="M27" s="36"/>
      <c r="N27" s="36"/>
      <c r="O27" s="36"/>
      <c r="P27" s="27">
        <v>162549288.46165749</v>
      </c>
      <c r="Q27" s="27">
        <v>169701244.15769491</v>
      </c>
      <c r="S27" s="2" t="s">
        <v>243</v>
      </c>
    </row>
    <row r="29" spans="2:19" s="7" customFormat="1" x14ac:dyDescent="0.2">
      <c r="B29" s="7" t="s">
        <v>103</v>
      </c>
    </row>
    <row r="31" spans="2:19" x14ac:dyDescent="0.2">
      <c r="B31" s="2" t="s">
        <v>113</v>
      </c>
      <c r="F31" s="2" t="s">
        <v>117</v>
      </c>
      <c r="L31" s="27">
        <v>2954853157.7470417</v>
      </c>
      <c r="M31" s="27">
        <v>2962457272.4339261</v>
      </c>
      <c r="N31" s="36"/>
      <c r="O31" s="36"/>
      <c r="P31" s="36"/>
      <c r="Q31" s="36"/>
      <c r="S31" s="2" t="s">
        <v>244</v>
      </c>
    </row>
    <row r="32" spans="2:19" x14ac:dyDescent="0.2">
      <c r="B32" s="2" t="s">
        <v>114</v>
      </c>
      <c r="F32" s="2" t="s">
        <v>117</v>
      </c>
      <c r="L32" s="36"/>
      <c r="M32" s="27">
        <v>2962457272.4339261</v>
      </c>
      <c r="N32" s="27">
        <v>3008528518.2299428</v>
      </c>
      <c r="O32" s="36"/>
      <c r="P32" s="36"/>
      <c r="Q32" s="36"/>
      <c r="S32" s="2" t="s">
        <v>245</v>
      </c>
    </row>
    <row r="33" spans="2:19" x14ac:dyDescent="0.2">
      <c r="B33" s="2" t="s">
        <v>115</v>
      </c>
      <c r="F33" s="2" t="s">
        <v>117</v>
      </c>
      <c r="L33" s="36"/>
      <c r="M33" s="36"/>
      <c r="N33" s="27">
        <v>3008528518.2299428</v>
      </c>
      <c r="O33" s="27">
        <v>3053756461.7246323</v>
      </c>
      <c r="P33" s="36"/>
      <c r="Q33" s="36"/>
      <c r="S33" s="2" t="s">
        <v>246</v>
      </c>
    </row>
    <row r="34" spans="2:19" x14ac:dyDescent="0.2">
      <c r="B34" s="2" t="s">
        <v>151</v>
      </c>
      <c r="F34" s="2" t="s">
        <v>117</v>
      </c>
      <c r="L34" s="36"/>
      <c r="M34" s="36"/>
      <c r="N34" s="36"/>
      <c r="O34" s="27">
        <v>3053756461.7246323</v>
      </c>
      <c r="P34" s="27">
        <v>3071168038.2981572</v>
      </c>
      <c r="Q34" s="36"/>
      <c r="S34" s="2" t="s">
        <v>247</v>
      </c>
    </row>
    <row r="35" spans="2:19" x14ac:dyDescent="0.2">
      <c r="B35" s="2" t="s">
        <v>201</v>
      </c>
      <c r="F35" s="2" t="s">
        <v>117</v>
      </c>
      <c r="L35" s="36"/>
      <c r="M35" s="36"/>
      <c r="N35" s="36"/>
      <c r="O35" s="36"/>
      <c r="P35" s="27">
        <v>3071168038.2981572</v>
      </c>
      <c r="Q35" s="27">
        <v>3096701065.7689776</v>
      </c>
      <c r="S35" s="2" t="s">
        <v>248</v>
      </c>
    </row>
    <row r="36" spans="2:19" x14ac:dyDescent="0.2">
      <c r="S36" s="46"/>
    </row>
  </sheetData>
  <phoneticPr fontId="29"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B2:B3"/>
  <sheetViews>
    <sheetView showGridLines="0" zoomScale="85" zoomScaleNormal="85" workbookViewId="0"/>
  </sheetViews>
  <sheetFormatPr defaultRowHeight="12.75" x14ac:dyDescent="0.2"/>
  <cols>
    <col min="1" max="1" width="5.7109375" style="17" customWidth="1"/>
    <col min="2" max="16384" width="9.140625" style="17"/>
  </cols>
  <sheetData>
    <row r="2" spans="2:2" x14ac:dyDescent="0.2">
      <c r="B2" s="35"/>
    </row>
    <row r="3" spans="2:2" x14ac:dyDescent="0.2">
      <c r="B3" s="3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44c9b78b1b5f99b81785515933270f61">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682d6accd8b13bfc1b5fd9028b61781a"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ECT67VDXDTCW-640230012-21</_dlc_DocId>
    <_dlc_DocIdUrl xmlns="5e7bef76-b888-41a2-a261-5f525b37d47e">
      <Url>https://intranet.acm.local/project/excellent-in-excel/_layouts/15/DocIdRedir.aspx?ID=ECT67VDXDTCW-640230012-21</Url>
      <Description>ECT67VDXDTCW-640230012-21</Description>
    </_dlc_DocIdUrl>
    <Status xmlns="94b38974-1436-4631-a0be-797faa579778">Actueel</Status>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6CC6FFD4-6886-43C8-A0FE-6773F44A66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DC4B28-42FD-4275-AD39-0DAE99CBE63F}">
  <ds:schemaRefs>
    <ds:schemaRef ds:uri="5e7bef76-b888-41a2-a261-5f525b37d47e"/>
    <ds:schemaRef ds:uri="http://purl.org/dc/elements/1.1/"/>
    <ds:schemaRef ds:uri="http://schemas.microsoft.com/office/2006/metadata/properties"/>
    <ds:schemaRef ds:uri="http://schemas.openxmlformats.org/package/2006/metadata/core-properties"/>
    <ds:schemaRef ds:uri="94b38974-1436-4631-a0be-797faa579778"/>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ACF5907-5A9C-413A-AB63-8A8AE74C2D68}">
  <ds:schemaRefs>
    <ds:schemaRef ds:uri="http://schemas.microsoft.com/sharepoint/events"/>
  </ds:schemaRefs>
</ds:datastoreItem>
</file>

<file path=customXml/itemProps4.xml><?xml version="1.0" encoding="utf-8"?>
<ds:datastoreItem xmlns:ds="http://schemas.openxmlformats.org/officeDocument/2006/customXml" ds:itemID="{21CB1C9F-CCF9-4E38-862A-1CB92CDDD7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Titelblad</vt:lpstr>
      <vt:lpstr>Toelichting</vt:lpstr>
      <vt:lpstr>Bronnen en toepassingen</vt:lpstr>
      <vt:lpstr>1) Berekening PV</vt:lpstr>
      <vt:lpstr>Input --&gt;</vt:lpstr>
      <vt:lpstr>2) Parameters</vt:lpstr>
      <vt:lpstr>3) GAW</vt:lpstr>
      <vt:lpstr>4) Overige data</vt:lpstr>
      <vt:lpstr>Berekeningen --&gt;</vt:lpstr>
      <vt:lpstr>5) Berekening kapitaalkosten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2021-06-08T09:19:18Z</dcterms:created>
  <dcterms:modified xsi:type="dcterms:W3CDTF">2024-04-09T08:47:23Z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7b9a7e49-6114-4146-8cc6-356e1063ad5d</vt:lpwstr>
  </property>
</Properties>
</file>