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E911E947-4E29-4D23-9DFA-2328010123D0}" xr6:coauthVersionLast="47" xr6:coauthVersionMax="47" xr10:uidLastSave="{00000000-0000-0000-0000-000000000000}"/>
  <bookViews>
    <workbookView xWindow="-120" yWindow="-120" windowWidth="29040" windowHeight="15840" tabRatio="934" xr2:uid="{00000000-000D-0000-FFFF-FFFF00000000}"/>
  </bookViews>
  <sheets>
    <sheet name="Titelblad" sheetId="9" r:id="rId1"/>
    <sheet name="Toelichting" sheetId="10" r:id="rId2"/>
    <sheet name="Bronnen en toepassingen" sheetId="11" r:id="rId3"/>
    <sheet name="1) Resultaat" sheetId="34" r:id="rId4"/>
    <sheet name="Input --&gt;" sheetId="13" r:id="rId5"/>
    <sheet name="2) Parameters" sheetId="21" r:id="rId6"/>
    <sheet name="3) Import GAW" sheetId="26" r:id="rId7"/>
    <sheet name="Berekeningen --&gt;" sheetId="15" r:id="rId8"/>
    <sheet name="4) Kapitaalkosten start-GAW" sheetId="30" r:id="rId9"/>
    <sheet name="5) Schatting REG2022" sheetId="32" r:id="rId10"/>
    <sheet name="6) Berekening verschil" sheetId="31" r:id="rId11"/>
    <sheet name="7) Correctie kapitaalkosten" sheetId="33" r:id="rId12"/>
  </sheets>
  <definedNames>
    <definedName name="_GoBack" localSheetId="8">'4) Kapitaalkosten start-GAW'!#REF!</definedName>
    <definedName name="_GoBack" localSheetId="9">'5) Schatting REG2022'!#REF!</definedName>
    <definedName name="_GoBack" localSheetId="10">'6) Berekening verschil'!#REF!</definedName>
    <definedName name="_GoBack" localSheetId="11">'7) Correctie kapitaalkosten'!#REF!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 i="21" l="1"/>
  <c r="S30" i="30" l="1"/>
  <c r="R30" i="30"/>
  <c r="S29" i="30"/>
  <c r="R29" i="30"/>
  <c r="K30" i="30"/>
  <c r="K29" i="30"/>
  <c r="H18" i="26" l="1"/>
  <c r="H17" i="26"/>
  <c r="L24" i="21" l="1"/>
  <c r="K27" i="21" s="1"/>
  <c r="M24" i="21"/>
  <c r="L28" i="21" s="1"/>
  <c r="G22" i="30" s="1"/>
  <c r="N24" i="21"/>
  <c r="M29" i="21" s="1"/>
  <c r="G23" i="30" s="1"/>
  <c r="O24" i="21"/>
  <c r="N30" i="21" s="1"/>
  <c r="G24" i="30" s="1"/>
  <c r="K24" i="21"/>
  <c r="J26" i="21" s="1"/>
  <c r="G14" i="30"/>
  <c r="G15" i="30"/>
  <c r="G16" i="30"/>
  <c r="G17" i="30"/>
  <c r="K28" i="21" l="1"/>
  <c r="F30" i="33"/>
  <c r="F23" i="33"/>
  <c r="F27" i="33"/>
  <c r="G20" i="30"/>
  <c r="J27" i="21"/>
  <c r="G21" i="30"/>
  <c r="L29" i="21"/>
  <c r="M30" i="21"/>
  <c r="F31" i="33" s="1"/>
  <c r="H89" i="33"/>
  <c r="H88" i="33"/>
  <c r="K41" i="30" l="1"/>
  <c r="K42" i="30" s="1"/>
  <c r="K50" i="30" s="1"/>
  <c r="J28" i="21"/>
  <c r="F19" i="33"/>
  <c r="L30" i="21"/>
  <c r="F29" i="33" s="1"/>
  <c r="F28" i="33"/>
  <c r="K29" i="21"/>
  <c r="F24" i="33"/>
  <c r="K16" i="21"/>
  <c r="L17" i="21"/>
  <c r="M18" i="21"/>
  <c r="N19" i="21"/>
  <c r="F25" i="33" l="1"/>
  <c r="K30" i="21"/>
  <c r="F26" i="33" s="1"/>
  <c r="F20" i="33"/>
  <c r="J29" i="21"/>
  <c r="L18" i="21"/>
  <c r="G15" i="32"/>
  <c r="K17" i="21"/>
  <c r="G14" i="32"/>
  <c r="J16" i="21"/>
  <c r="G13" i="32"/>
  <c r="G17" i="32"/>
  <c r="M19" i="21"/>
  <c r="G16" i="32"/>
  <c r="J30" i="21" l="1"/>
  <c r="F22" i="33" s="1"/>
  <c r="F21" i="33"/>
  <c r="J17" i="21"/>
  <c r="K18" i="21"/>
  <c r="L19" i="21"/>
  <c r="H57" i="33"/>
  <c r="H56" i="33"/>
  <c r="H65" i="33"/>
  <c r="H64" i="33"/>
  <c r="H73" i="33"/>
  <c r="H72" i="33"/>
  <c r="H82" i="33"/>
  <c r="H81" i="33"/>
  <c r="H80" i="33"/>
  <c r="K19" i="21" l="1"/>
  <c r="J18" i="21"/>
  <c r="F37" i="33"/>
  <c r="G18" i="30"/>
  <c r="K33" i="30" s="1"/>
  <c r="K36" i="30" s="1"/>
  <c r="G13" i="30"/>
  <c r="K32" i="30" s="1"/>
  <c r="K35" i="30" s="1"/>
  <c r="S33" i="30" l="1"/>
  <c r="R33" i="30"/>
  <c r="J19" i="21"/>
  <c r="R36" i="30" l="1"/>
  <c r="R25" i="32" s="1"/>
  <c r="S36" i="30"/>
  <c r="S25" i="32" s="1"/>
  <c r="I33" i="30"/>
  <c r="F34" i="33"/>
  <c r="I36" i="30" l="1"/>
  <c r="K25" i="32"/>
  <c r="F35" i="33"/>
  <c r="I25" i="32" l="1"/>
  <c r="F36" i="33"/>
  <c r="R45" i="33" l="1"/>
  <c r="Q45" i="33"/>
  <c r="J45" i="33"/>
  <c r="R41" i="30" l="1"/>
  <c r="R50" i="30" s="1"/>
  <c r="J49" i="33" l="1"/>
  <c r="R42" i="30"/>
  <c r="S41" i="30"/>
  <c r="I41" i="30" l="1"/>
  <c r="K24" i="32"/>
  <c r="S42" i="30"/>
  <c r="R51" i="30"/>
  <c r="R59" i="30" s="1"/>
  <c r="R44" i="30"/>
  <c r="R45" i="30" s="1"/>
  <c r="I29" i="30"/>
  <c r="R48" i="33"/>
  <c r="J48" i="33"/>
  <c r="Q48" i="33"/>
  <c r="S32" i="30" l="1"/>
  <c r="K44" i="30"/>
  <c r="K45" i="30" s="1"/>
  <c r="R60" i="30"/>
  <c r="R68" i="30" s="1"/>
  <c r="R69" i="30" s="1"/>
  <c r="R77" i="30" s="1"/>
  <c r="R78" i="30" s="1"/>
  <c r="S50" i="30"/>
  <c r="S51" i="30" s="1"/>
  <c r="S59" i="30" s="1"/>
  <c r="S60" i="30" s="1"/>
  <c r="S68" i="30" s="1"/>
  <c r="S69" i="30" s="1"/>
  <c r="S77" i="30" s="1"/>
  <c r="S78" i="30" s="1"/>
  <c r="S44" i="30"/>
  <c r="S45" i="30" s="1"/>
  <c r="H48" i="33"/>
  <c r="I30" i="30"/>
  <c r="R32" i="30"/>
  <c r="Q50" i="33"/>
  <c r="R49" i="33"/>
  <c r="Q49" i="33"/>
  <c r="R35" i="30" l="1"/>
  <c r="R24" i="32" s="1"/>
  <c r="S35" i="30"/>
  <c r="S24" i="32" s="1"/>
  <c r="I42" i="30"/>
  <c r="I45" i="30"/>
  <c r="I44" i="30"/>
  <c r="H49" i="33"/>
  <c r="I32" i="30"/>
  <c r="R53" i="30"/>
  <c r="R54" i="30" s="1"/>
  <c r="S53" i="30"/>
  <c r="I24" i="32" l="1"/>
  <c r="K51" i="30"/>
  <c r="J50" i="33"/>
  <c r="R62" i="30"/>
  <c r="R63" i="30" s="1"/>
  <c r="R71" i="30"/>
  <c r="R72" i="30" s="1"/>
  <c r="I50" i="30"/>
  <c r="I35" i="30"/>
  <c r="S62" i="30"/>
  <c r="S54" i="30"/>
  <c r="R50" i="33"/>
  <c r="K59" i="30" l="1"/>
  <c r="K60" i="30" s="1"/>
  <c r="K68" i="30" s="1"/>
  <c r="K69" i="30" s="1"/>
  <c r="K77" i="30" s="1"/>
  <c r="K78" i="30" s="1"/>
  <c r="K53" i="30"/>
  <c r="R74" i="33"/>
  <c r="J74" i="33"/>
  <c r="H50" i="33"/>
  <c r="K54" i="30"/>
  <c r="I51" i="30"/>
  <c r="S63" i="30"/>
  <c r="Q51" i="33"/>
  <c r="Q83" i="33" l="1"/>
  <c r="J51" i="33"/>
  <c r="I59" i="30"/>
  <c r="H74" i="33"/>
  <c r="I53" i="30"/>
  <c r="I54" i="30"/>
  <c r="S71" i="30"/>
  <c r="S72" i="30" s="1"/>
  <c r="R51" i="33"/>
  <c r="Q15" i="31"/>
  <c r="H83" i="33" l="1"/>
  <c r="H51" i="33"/>
  <c r="J15" i="31"/>
  <c r="K62" i="30"/>
  <c r="I60" i="30"/>
  <c r="R15" i="31"/>
  <c r="H15" i="31" l="1"/>
  <c r="I68" i="30"/>
  <c r="I62" i="30"/>
  <c r="K63" i="30"/>
  <c r="S80" i="30"/>
  <c r="Q16" i="31"/>
  <c r="I63" i="30" l="1"/>
  <c r="J16" i="31"/>
  <c r="K71" i="30"/>
  <c r="I69" i="30"/>
  <c r="R16" i="31"/>
  <c r="S81" i="30"/>
  <c r="R80" i="30"/>
  <c r="H16" i="31" l="1"/>
  <c r="I71" i="30"/>
  <c r="K72" i="30"/>
  <c r="I77" i="30"/>
  <c r="R81" i="30"/>
  <c r="Q17" i="31"/>
  <c r="R17" i="31"/>
  <c r="I72" i="30" l="1"/>
  <c r="J17" i="31"/>
  <c r="I78" i="30"/>
  <c r="K80" i="30"/>
  <c r="R18" i="31"/>
  <c r="H17" i="31" l="1"/>
  <c r="K81" i="30"/>
  <c r="I80" i="30"/>
  <c r="Q18" i="31"/>
  <c r="I81" i="30" l="1"/>
  <c r="J18" i="31"/>
  <c r="H18" i="31" l="1"/>
  <c r="B49" i="10" l="1"/>
  <c r="B37" i="10" l="1"/>
  <c r="B44" i="10" s="1"/>
  <c r="B38" i="10" l="1"/>
  <c r="B39" i="10" l="1"/>
  <c r="B43" i="10" s="1"/>
  <c r="F40" i="33" l="1"/>
  <c r="G20" i="32"/>
  <c r="S29" i="32" l="1"/>
  <c r="R29" i="32"/>
  <c r="K29" i="32"/>
  <c r="J59" i="33"/>
  <c r="Q68" i="33"/>
  <c r="R61" i="33"/>
  <c r="R59" i="33"/>
  <c r="Q75" i="33"/>
  <c r="Q85" i="33"/>
  <c r="H85" i="33" s="1"/>
  <c r="R58" i="33"/>
  <c r="R68" i="33"/>
  <c r="J77" i="33"/>
  <c r="Q59" i="33"/>
  <c r="R75" i="33"/>
  <c r="J76" i="33"/>
  <c r="Q60" i="33"/>
  <c r="Q61" i="33"/>
  <c r="Q84" i="33"/>
  <c r="H84" i="33" s="1"/>
  <c r="J60" i="33"/>
  <c r="R77" i="33"/>
  <c r="J68" i="33"/>
  <c r="Q67" i="33"/>
  <c r="J61" i="33"/>
  <c r="Q77" i="33"/>
  <c r="R66" i="33"/>
  <c r="J58" i="33"/>
  <c r="J75" i="33"/>
  <c r="J66" i="33"/>
  <c r="R69" i="33"/>
  <c r="R76" i="33"/>
  <c r="J69" i="33"/>
  <c r="R60" i="33"/>
  <c r="Q69" i="33"/>
  <c r="J67" i="33"/>
  <c r="Q76" i="33"/>
  <c r="R67" i="33"/>
  <c r="I29" i="32" l="1"/>
  <c r="G31" i="32" s="1"/>
  <c r="H69" i="33"/>
  <c r="H75" i="33"/>
  <c r="R92" i="33"/>
  <c r="R24" i="34" s="1"/>
  <c r="H68" i="33"/>
  <c r="H66" i="33"/>
  <c r="H67" i="33"/>
  <c r="Q92" i="33"/>
  <c r="Q24" i="34" s="1"/>
  <c r="H77" i="33"/>
  <c r="H76" i="33"/>
  <c r="R90" i="33"/>
  <c r="R22" i="34" s="1"/>
  <c r="J91" i="33"/>
  <c r="H59" i="33"/>
  <c r="J93" i="33"/>
  <c r="H61" i="33"/>
  <c r="J92" i="33"/>
  <c r="H60" i="33"/>
  <c r="R91" i="33"/>
  <c r="R23" i="34" s="1"/>
  <c r="S33" i="32"/>
  <c r="S34" i="32" s="1"/>
  <c r="K33" i="32"/>
  <c r="R33" i="32"/>
  <c r="R34" i="32" s="1"/>
  <c r="H58" i="33"/>
  <c r="J90" i="33"/>
  <c r="R93" i="33"/>
  <c r="R25" i="34" s="1"/>
  <c r="Q93" i="33"/>
  <c r="Q25" i="34" s="1"/>
  <c r="Q91" i="33"/>
  <c r="Q23" i="34" s="1"/>
  <c r="H90" i="33" l="1"/>
  <c r="J22" i="34"/>
  <c r="H22" i="34" s="1"/>
  <c r="S35" i="32"/>
  <c r="R22" i="31"/>
  <c r="R29" i="31" s="1"/>
  <c r="R15" i="34" s="1"/>
  <c r="K29" i="34" s="1"/>
  <c r="H93" i="33"/>
  <c r="J25" i="34"/>
  <c r="H25" i="34" s="1"/>
  <c r="R35" i="32"/>
  <c r="Q22" i="31"/>
  <c r="K34" i="32"/>
  <c r="I33" i="32"/>
  <c r="J24" i="34"/>
  <c r="H24" i="34" s="1"/>
  <c r="H92" i="33"/>
  <c r="J23" i="34"/>
  <c r="H23" i="34" s="1"/>
  <c r="H91" i="33"/>
  <c r="Q23" i="31" l="1"/>
  <c r="Q30" i="31" s="1"/>
  <c r="Q16" i="34" s="1"/>
  <c r="N30" i="34" s="1"/>
  <c r="R36" i="32"/>
  <c r="S36" i="32"/>
  <c r="R23" i="31"/>
  <c r="R30" i="31" s="1"/>
  <c r="R16" i="34" s="1"/>
  <c r="K30" i="34" s="1"/>
  <c r="J22" i="31"/>
  <c r="K35" i="32"/>
  <c r="I34" i="32"/>
  <c r="R24" i="31" l="1"/>
  <c r="R31" i="31" s="1"/>
  <c r="R17" i="34" s="1"/>
  <c r="K31" i="34" s="1"/>
  <c r="S37" i="32"/>
  <c r="R25" i="31" s="1"/>
  <c r="R32" i="31" s="1"/>
  <c r="R18" i="34" s="1"/>
  <c r="K32" i="34" s="1"/>
  <c r="J23" i="31"/>
  <c r="K36" i="32"/>
  <c r="I35" i="32"/>
  <c r="Q24" i="31"/>
  <c r="Q31" i="31" s="1"/>
  <c r="Q17" i="34" s="1"/>
  <c r="N31" i="34" s="1"/>
  <c r="R37" i="32"/>
  <c r="Q25" i="31" s="1"/>
  <c r="Q32" i="31" s="1"/>
  <c r="Q18" i="34" s="1"/>
  <c r="N32" i="34" s="1"/>
  <c r="J29" i="31"/>
  <c r="H22" i="31"/>
  <c r="I36" i="32" l="1"/>
  <c r="J24" i="31"/>
  <c r="K37" i="32"/>
  <c r="J30" i="31"/>
  <c r="H23" i="31"/>
  <c r="J15" i="34"/>
  <c r="H29" i="31"/>
  <c r="I37" i="32" l="1"/>
  <c r="J25" i="31"/>
  <c r="J16" i="34"/>
  <c r="H30" i="31"/>
  <c r="J29" i="34"/>
  <c r="H29" i="34" s="1"/>
  <c r="H15" i="34"/>
  <c r="H24" i="31"/>
  <c r="J31" i="31"/>
  <c r="H31" i="31" l="1"/>
  <c r="J17" i="34"/>
  <c r="J30" i="34"/>
  <c r="H30" i="34" s="1"/>
  <c r="H16" i="34"/>
  <c r="H25" i="31"/>
  <c r="J32" i="31"/>
  <c r="H32" i="31" l="1"/>
  <c r="J18" i="34"/>
  <c r="H17" i="34"/>
  <c r="J31" i="34"/>
  <c r="H31" i="34" s="1"/>
  <c r="J32" i="34" l="1"/>
  <c r="H32" i="34" s="1"/>
  <c r="H18"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43" authorId="0" shapeId="0" xr:uid="{00000000-0006-0000-04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29" authorId="0" shapeId="0" xr:uid="{00000000-0006-0000-0600-000001000000}">
      <text>
        <r>
          <rPr>
            <sz val="10"/>
            <color theme="1"/>
            <rFont val="Arial"/>
            <family val="2"/>
          </rPr>
          <t>Enexis inclusief Endinet</t>
        </r>
      </text>
    </comment>
    <comment ref="N30" authorId="0" shapeId="0" xr:uid="{5207D328-760E-44E9-91F3-25B5A2B6D70E}">
      <text>
        <r>
          <rPr>
            <sz val="10"/>
            <color theme="1"/>
            <rFont val="Arial"/>
            <family val="2"/>
          </rPr>
          <t>Stedin inclusief Enduris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J29" authorId="0" shapeId="0" xr:uid="{00000000-0006-0000-0D00-000001000000}">
      <text>
        <r>
          <rPr>
            <sz val="8"/>
            <color indexed="81"/>
            <rFont val="Tahoma"/>
            <family val="2"/>
          </rPr>
          <t>Jaar afschrijvingsklif</t>
        </r>
      </text>
    </comment>
    <comment ref="R29" authorId="0" shapeId="0" xr:uid="{00000000-0006-0000-0D00-000002000000}">
      <text>
        <r>
          <rPr>
            <sz val="8"/>
            <color indexed="81"/>
            <rFont val="Tahoma"/>
            <family val="2"/>
          </rPr>
          <t>Jaar afschrijvingsklif</t>
        </r>
      </text>
    </comment>
    <comment ref="Q30" authorId="0" shapeId="0" xr:uid="{00000000-0006-0000-0D00-000003000000}">
      <text>
        <r>
          <rPr>
            <sz val="8"/>
            <color indexed="81"/>
            <rFont val="Tahoma"/>
            <family val="2"/>
          </rPr>
          <t xml:space="preserve">Jaar afschrijvingsklif
</t>
        </r>
      </text>
    </comment>
  </commentList>
</comments>
</file>

<file path=xl/sharedStrings.xml><?xml version="1.0" encoding="utf-8"?>
<sst xmlns="http://schemas.openxmlformats.org/spreadsheetml/2006/main" count="537" uniqueCount="238">
  <si>
    <t>Voorbeeld</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</si>
  <si>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</si>
  <si>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</si>
  <si>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</si>
  <si>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</si>
  <si>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</si>
  <si>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</si>
  <si>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</si>
  <si>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</si>
  <si>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</si>
  <si>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</si>
  <si>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</si>
  <si>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Juridisch integraal onderdeel van bovenstaande besluit(en) (j/n)?</t>
  </si>
  <si>
    <t>Opmerkingen openbare versiegeschiedenis</t>
  </si>
  <si>
    <t>Contactgegevens ACM</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</si>
  <si>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</si>
  <si>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</si>
  <si>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</si>
  <si>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</si>
  <si>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</si>
  <si>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</si>
  <si>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</si>
  <si>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</si>
  <si>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</si>
  <si>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</si>
  <si>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</si>
  <si>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</si>
  <si>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</si>
  <si>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</si>
  <si>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</si>
  <si>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</si>
  <si>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</si>
  <si>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</si>
  <si>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</si>
  <si>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</si>
  <si>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</si>
  <si>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</si>
  <si>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</si>
  <si>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</si>
  <si>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</si>
  <si>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</si>
  <si>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</si>
  <si>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</si>
  <si>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</si>
  <si>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</si>
  <si>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</si>
  <si>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</si>
  <si>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</si>
  <si>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Rijtotaal</t>
  </si>
  <si>
    <t>Toelichting bij dit bestand</t>
  </si>
  <si>
    <t>Nr.</t>
  </si>
  <si>
    <t xml:space="preserve">Verkorte naam </t>
  </si>
  <si>
    <t>Naam bestand extern</t>
  </si>
  <si>
    <t>Beschrijving berekening</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</si>
  <si>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</si>
  <si>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</si>
  <si>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</si>
  <si>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</si>
  <si>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</si>
  <si>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</si>
  <si>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</si>
  <si>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</si>
  <si>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</si>
  <si>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</si>
  <si>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</si>
  <si>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</si>
  <si>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</si>
  <si>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</si>
  <si>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</si>
  <si>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</si>
  <si>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</si>
  <si>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WACC</t>
  </si>
  <si>
    <t>PV</t>
  </si>
  <si>
    <t>Import GAW</t>
  </si>
  <si>
    <t>Enduris</t>
  </si>
  <si>
    <t>Enexis</t>
  </si>
  <si>
    <t>Liander</t>
  </si>
  <si>
    <t>RENDO</t>
  </si>
  <si>
    <t>Stedin</t>
  </si>
  <si>
    <t>Westland</t>
  </si>
  <si>
    <t>Endinet</t>
  </si>
  <si>
    <t>Start-GAW (excl. bijzonderheden)</t>
  </si>
  <si>
    <t>Afschrijvingen Start-GAW</t>
  </si>
  <si>
    <t>Boekwaarde Start-GAW</t>
  </si>
  <si>
    <t>Afschrijvingen</t>
  </si>
  <si>
    <t>Boekwaarde</t>
  </si>
  <si>
    <t>%</t>
  </si>
  <si>
    <t>Kapitaalkosten</t>
  </si>
  <si>
    <t>Vermogenskosten</t>
  </si>
  <si>
    <t>CPI</t>
  </si>
  <si>
    <t>Productiviteitsverandering</t>
  </si>
  <si>
    <t>EUR, pp 2021</t>
  </si>
  <si>
    <t>Afschrijvingstermijn start-GAW</t>
  </si>
  <si>
    <t>Ophalen parameters voor berekening</t>
  </si>
  <si>
    <t>Ophalen start-GAW gegevens voor berekening</t>
  </si>
  <si>
    <t>Afschrijvingstermijn</t>
  </si>
  <si>
    <t>Start-GAW</t>
  </si>
  <si>
    <t>Berekening kapitaalkosten 2021</t>
  </si>
  <si>
    <t>Berekening kapitaalkosten 2022</t>
  </si>
  <si>
    <t>Berekening kapitaalkosten 2023</t>
  </si>
  <si>
    <t>Berekening kapitaalkosten 2024</t>
  </si>
  <si>
    <t>Berekening kapitaalkosten 2025</t>
  </si>
  <si>
    <t>Berekening kapitaalkosten 2026</t>
  </si>
  <si>
    <t>Kapitaalkosten 2022</t>
  </si>
  <si>
    <t>Kapitaalkosten 2023</t>
  </si>
  <si>
    <t>Kapitaalkosten 2024</t>
  </si>
  <si>
    <t>Kapitaalkosten 2025</t>
  </si>
  <si>
    <t>Kapitaalkosten 2026</t>
  </si>
  <si>
    <t>Correctie op kapitaalkosten</t>
  </si>
  <si>
    <t>Correctie 2021</t>
  </si>
  <si>
    <t>Correctie 2022</t>
  </si>
  <si>
    <t>Correctie 2023</t>
  </si>
  <si>
    <t>Correctie 2024</t>
  </si>
  <si>
    <t>Correctie 2025</t>
  </si>
  <si>
    <t>Correctie 2026</t>
  </si>
  <si>
    <t>Correctie afschrijvingsklif</t>
  </si>
  <si>
    <t>Kapitaalkosten start-GAW</t>
  </si>
  <si>
    <t>Schatting REG2022</t>
  </si>
  <si>
    <t>Op dit tabblad worden de benodigde GAW gegevens opgehaald.</t>
  </si>
  <si>
    <t>Zowel het verschil in eindinkomsten als het totale verschil gedurende de reguleringsperiode zijn relevant als input in het x-factor model.</t>
  </si>
  <si>
    <t>Schatting kapitaalkosten 2023</t>
  </si>
  <si>
    <t>Schatting kapitaalkosten 2024</t>
  </si>
  <si>
    <t>Schatting kapitaalkosten 2025</t>
  </si>
  <si>
    <t>Schatting kapitaalkosten 2026</t>
  </si>
  <si>
    <t>Verschil in kapitaalkosten 2023</t>
  </si>
  <si>
    <t>Verschil in kapitaalkosten 2024</t>
  </si>
  <si>
    <t>Verschil in kapitaalkosten 2025</t>
  </si>
  <si>
    <t>Verschil in kapitaalkosten 2026</t>
  </si>
  <si>
    <t>Kapitaalkosten n.a.v. vervanging start-GAW in 2021</t>
  </si>
  <si>
    <t>Kapitaalkosten n.a.v. vervanging start-GAW in 2022</t>
  </si>
  <si>
    <t>Correctie n.a.v. vervanging start-GAW in 2023</t>
  </si>
  <si>
    <t>Correctie op verschil in kapitaalkosten</t>
  </si>
  <si>
    <t>Berekening correctie op verschil in kapitaalkosten</t>
  </si>
  <si>
    <t>Berekening verschil in kapitaalkosten</t>
  </si>
  <si>
    <t>Correctie n.a.v. vervanging start-GAW in 2024</t>
  </si>
  <si>
    <t>Verschil kapitaalkosten op basis van gegevens start-GAW en schatting REG2022</t>
  </si>
  <si>
    <t>Consumentenprijzen; prijsindex 2015=100</t>
  </si>
  <si>
    <t xml:space="preserve"> </t>
  </si>
  <si>
    <t>Coteq</t>
  </si>
  <si>
    <t>Bronvermelding</t>
  </si>
  <si>
    <t>WACC REG2022</t>
  </si>
  <si>
    <t>WACC 2021</t>
  </si>
  <si>
    <t>WACC 2022</t>
  </si>
  <si>
    <t>WACC 2023</t>
  </si>
  <si>
    <t>WACC 2024</t>
  </si>
  <si>
    <t>WACC 2025</t>
  </si>
  <si>
    <t>WACC 2026</t>
  </si>
  <si>
    <t>Toelichting samenhang tabbladen:</t>
  </si>
  <si>
    <t>Berekeningen</t>
  </si>
  <si>
    <t>Input</t>
  </si>
  <si>
    <t>3) Import GAW</t>
  </si>
  <si>
    <t>4) Kapitaalkosten start-GAW</t>
  </si>
  <si>
    <t>5) Schatting REG2022</t>
  </si>
  <si>
    <t>6) Berekening verschil</t>
  </si>
  <si>
    <t>1) Resultaat</t>
  </si>
  <si>
    <t>Dit bestand bevat de berekening van de hoogte van de correctie voor de afschrijvingsklif voor de regionale netbeheerders elektriciteit.</t>
  </si>
  <si>
    <t>CBS 2015=100</t>
  </si>
  <si>
    <t>Beschrijving resultaat</t>
  </si>
  <si>
    <t>Op dit tabblad wordt het verschil in kapitaalkosten en de correctie op het verschil in deze kapitaalkosten opgehaald. Door de correctie toe te passen op het verschil dat is berekend op het tabblad "6) Berekening verschil", komt de ACM tot de totale omvang van de correctie voor de afschrijvingsklif.</t>
  </si>
  <si>
    <t>De afschrijvingsklif voor Coteq, Enduris en Endinet vindt plaats in respectievelijk 2023, 2024 en 2023.</t>
  </si>
  <si>
    <t>Parameters</t>
  </si>
  <si>
    <t>2) Parameters</t>
  </si>
  <si>
    <t>Toelichting op bijzonderheden</t>
  </si>
  <si>
    <t>Ophalen berekende kapitaalkosten start-GAW</t>
  </si>
  <si>
    <t>7) Correctie kapitaalkosten</t>
  </si>
  <si>
    <t>Afschrijvingen op start-GAW in 2023</t>
  </si>
  <si>
    <t>Afschrijvingen op start-GAW in 2024</t>
  </si>
  <si>
    <t>Afschrijvingen op start-GAW in 2021</t>
  </si>
  <si>
    <t xml:space="preserve">Afschrijvingen op start-GAW </t>
  </si>
  <si>
    <t>Regulering.Energie@acm.nl</t>
  </si>
  <si>
    <t>Regulering Energie</t>
  </si>
  <si>
    <t>CPI van jaar naar 2022</t>
  </si>
  <si>
    <t>CPI van jaar naar 2023</t>
  </si>
  <si>
    <t>CPI van jaar naar 2024</t>
  </si>
  <si>
    <t>CPI van jaar naar 2025</t>
  </si>
  <si>
    <t>CPI van jaar naar 2026</t>
  </si>
  <si>
    <t>CPI 2021 -&gt; 2022</t>
  </si>
  <si>
    <t>CPI 2022 -&gt; 2023</t>
  </si>
  <si>
    <t>CPI 2023 -&gt; 2024</t>
  </si>
  <si>
    <t>CPI 2024 -&gt; 2025</t>
  </si>
  <si>
    <t>CPI 2025 -&gt; 2026</t>
  </si>
  <si>
    <t>EUR, pp 2022</t>
  </si>
  <si>
    <t>EUR, pp 2023</t>
  </si>
  <si>
    <t>EUR, pp 2024</t>
  </si>
  <si>
    <t>EUR, pp 2025</t>
  </si>
  <si>
    <t>EUR, pp 2026</t>
  </si>
  <si>
    <t>Afschrijvingen op start-GAW in 2022</t>
  </si>
  <si>
    <t xml:space="preserve">CPI 2021 -&gt; 2023 </t>
  </si>
  <si>
    <t>CPI 2021 -&gt; 2024</t>
  </si>
  <si>
    <t>CPI 2021 -&gt; 2025</t>
  </si>
  <si>
    <t>CPI 2021 -&gt; 2026</t>
  </si>
  <si>
    <t xml:space="preserve">CPI 2022 -&gt; 2023 </t>
  </si>
  <si>
    <t>CPI 2022 -&gt; 2024</t>
  </si>
  <si>
    <t>CPI 2022 -&gt; 2025</t>
  </si>
  <si>
    <t>CPI 2022 -&gt; 2026</t>
  </si>
  <si>
    <t>CPI 2023 -&gt; 2025</t>
  </si>
  <si>
    <t>CPI 2023 -&gt; 2026</t>
  </si>
  <si>
    <t>CPI 2024 -&gt; 2026</t>
  </si>
  <si>
    <t>Totale correctie</t>
  </si>
  <si>
    <t>Correctie afschrijvingsklif 2023</t>
  </si>
  <si>
    <t>Correctie afschrijvingsklif 2024</t>
  </si>
  <si>
    <t>Correctie afschrijvingsklif 2025</t>
  </si>
  <si>
    <t>Correctie afschrijvingsklif 2026</t>
  </si>
  <si>
    <t>CPI t.b.v. indexatie GAW</t>
  </si>
  <si>
    <t>Vanaf 2022 wordt hier de indexatiefactor voor de GAW gebruikt. Deze is gelijk aan de helft van de geschatte inflatie voor de periode 2022-2026.</t>
  </si>
  <si>
    <t>Voor Coteq vindt de afschrijvingsklif plaats in het jaar 2023. Om die reden worden de kosten vanaf 2023 gecorrigeerd voor de start-GAW. Vanaf 2023 heeft Coteq kapitaalkosten voor de vervanging van de start-GAW die niet worden meegenomen in de berekening van het verschil, vanwege de eliminatie van de schatting op basis van de peiljaren. Om deze kapitaalkosten te benaderen berekent de ACM de kapitaalkosten die volgen uit vervangingen die zouden zijn gedaan ter hoogte van de afschrijvingen voor de jaren tot en met de afschrijvingsklif. In het geval van Coteq voor de jaren 2021, 2022 en 2023. In lijn met de standaard methodiek neemt de ACM hierbij aan dat de investeringen halverwege het jaar worden geactiveerd en past zij de productiviteitsverandering toe.</t>
  </si>
  <si>
    <t>Productiviteitsverandering 2021-2026</t>
  </si>
  <si>
    <t>WACC BI2021</t>
  </si>
  <si>
    <t>WACC EI2026</t>
  </si>
  <si>
    <t>Kapitaalkosten 2021</t>
  </si>
  <si>
    <t>X-factor voor periode t.b.v. kapitaalkosten</t>
  </si>
  <si>
    <t>GAW 2021</t>
  </si>
  <si>
    <t>in EUR, pp 2021</t>
  </si>
  <si>
    <t>ACM/23/184726</t>
  </si>
  <si>
    <t>Herstel x-factorbesluit RNB-E 2022-2026</t>
  </si>
  <si>
    <t>Herstel methodebesluit RNB-E 2022-2026</t>
  </si>
  <si>
    <t>n.v.t.</t>
  </si>
  <si>
    <t>Voor uitleg over de noodzaak van deze correctie verwijst de ACM naar het herstel methodebesluit RNB-E 2022-2026.</t>
  </si>
  <si>
    <t>Herstel berekeningsbestand correctie afschrijvingsklif RNB-E 2022-2026</t>
  </si>
  <si>
    <t>Herstel x-factorberekening RNB-E 2022-2026</t>
  </si>
  <si>
    <t>De uitkomst van deze berekening vormt input voor de herstel x-factorberekening van de regionale netbeheerders elektriciteit gedurende de reguleringsperiode 2022-2026.</t>
  </si>
  <si>
    <t>WACC bijlage bij herstel methodebesluit 2022-2026</t>
  </si>
  <si>
    <t>Herstel x-factorberekening 2022-2026, tabblad "4) Berekening op parameters"</t>
  </si>
  <si>
    <t>WACC bijlage bij herstel methodebesluit RNB-E 2022-2026</t>
  </si>
  <si>
    <t>Herstel GAW-bestand RNB-E 2022-2026</t>
  </si>
  <si>
    <t>Herstel methodebesluit 2022-2026</t>
  </si>
  <si>
    <t>Gewijzigd methodebesluit RNB’s elektriciteit 2022-2026 | ACM.nl</t>
  </si>
  <si>
    <t>Op dit tabblad worden de benodigde gegevens opgehaald betreffende de WACC, PV en geschatte CPI.</t>
  </si>
  <si>
    <t>WACC-percentages (reëel plus, voor belasting)</t>
  </si>
  <si>
    <t>Geschatte CPI jaar</t>
  </si>
  <si>
    <t>Op dit tabblad wordt de schatting van de kapitaalkosten van de start-GAW voor de jaren gedurende de reguleringsperiode 2022-2026 berekend. Op basis van de kapitaalkosten in het begininkomstenjaar worden de kapitaalkosten in het efficiëntieniveau van de jaren 2022-2026 berekend.</t>
  </si>
  <si>
    <t>Ophalen kapitaalkosten</t>
  </si>
  <si>
    <t>Kapitaalkosten in 2022-2026</t>
  </si>
  <si>
    <t>Op dit tabblad wordt het verschil berekend tussen de kapitaalkosten gedurende de reguleringsperiode op basis van de start-GAW en de schatting van de kapitaalkosten gedurende de reguleringsperiode op basis van het begininkomstenjaar. Dit verschil is relevant omdat de kapitaalkosten van de start-GAW uit het tabblad 'Kapitaalkosten start-GAW' het verloop van de start-GAW laten zien. De schatting uit het tabblad 'Schatting REG2022' laat enkel de kapitaalkosten op basis van het begininkomstenjaar zien. Het verschil is pas relevant wanneer de kosten voor de start-GAW wegvallen, ofwel op het moment dat de afschrijvingsklif plaatsvindt. Tot het jaar van de afschrijvingsklif vinden er geen wijzigingen plaats in de regulering.</t>
  </si>
  <si>
    <t>Op dit tabblad worden enkel de gegevens opgehaald vanaf het jaar waarin de eerste afschrijvingsklif plaatsvindt. Dit is het jaar 2023.</t>
  </si>
  <si>
    <t>Op het tabblad 'Berekening verschil' wordt het verschil berekend tussen de kapitaalkosten van de start-GAW en de geschatte kapitaalkosten van de start-GAW in de regulering op basis van het begininkomstenjaar.
De geschatte kapitaalkosten worden geëlimineerd vanaf het jaar dat de afschrijvingsklif optreedt. Omdat netbeheerders kapitaalkosten maken voor de vervanging van de activa uit de start-GAW en een eliminatie van de schatting hier geen rekening mee houdt, corrigeert de ACM het verschil zoals berekend met de kapitaalkosten voor de vervangingsinvesteringen die plaatsvinden vanaf het begininkomsten jaar. 
De correctie vindt plaats vanaf het jaar dat de afschrijvingsklif optreedt. Tot het jaar van de afschrijvingsklif vinden er geen wijzigingen plaats in de regulering.</t>
  </si>
  <si>
    <t>Op dit tabblad worden de kapitaalkosten van de start-GAW berekend voor de jaren gedurende de reguleringsperiode 2022-2026. Deze kosten weergeven de kapitaalkosten van de start-GAW voor de jaren 2022-2026.</t>
  </si>
  <si>
    <t>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</si>
</sst>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0.0%"/>
    <numFmt numFmtId="165" formatCode="_ * #,##0_ ;_ * \-#,##0_ ;_ * &quot;-&quot;??_ ;_ @_ "/>
  </numFmts>
  <fonts count="33"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1"/>
      <color theme="0"/>
      <name val="Arial"/>
      <family val="2"/>
    </font>
    <font>
      <b/>
      <sz val="10"/>
      <color indexed="8"/>
      <name val="Arial"/>
      <family val="2"/>
    </font>
    <font>
      <sz val="8"/>
      <name val="Arial"/>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theme="0"/>
        <bgColor indexed="64"/>
      </patternFill>
    </fill>
  </fills>
  <borders count="2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s>
  <cellStyleXfs count="69">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9" borderId="1">
      <alignment vertical="top"/>
    </xf>
    <xf numFmtId="49" fontId="6" fillId="0" borderId="0">
      <alignment vertical="top"/>
    </xf>
    <xf numFmtId="41" fontId="5" fillId="12" borderId="0">
      <alignment vertical="top"/>
    </xf>
    <xf numFmtId="41" fontId="5" fillId="11" borderId="0">
      <alignment vertical="top"/>
    </xf>
    <xf numFmtId="41" fontId="5" fillId="9" borderId="0">
      <alignment vertical="top"/>
    </xf>
    <xf numFmtId="41" fontId="5" fillId="46" borderId="0">
      <alignment vertical="top"/>
    </xf>
    <xf numFmtId="41" fontId="5" fillId="7" borderId="0">
      <alignment vertical="top"/>
    </xf>
    <xf numFmtId="41" fontId="5" fillId="13" borderId="0">
      <alignment vertical="top"/>
    </xf>
    <xf numFmtId="49" fontId="10" fillId="0" borderId="0">
      <alignment vertical="top"/>
    </xf>
    <xf numFmtId="49" fontId="9" fillId="0" borderId="0">
      <alignment vertical="top"/>
    </xf>
    <xf numFmtId="0" fontId="16" fillId="15" borderId="3" applyNumberFormat="0" applyAlignment="0" applyProtection="0"/>
    <xf numFmtId="0" fontId="17" fillId="16" borderId="4" applyNumberFormat="0" applyAlignment="0" applyProtection="0"/>
    <xf numFmtId="0" fontId="18" fillId="16" borderId="3" applyNumberFormat="0" applyAlignment="0" applyProtection="0"/>
    <xf numFmtId="0" fontId="19" fillId="0" borderId="5" applyNumberFormat="0" applyFill="0" applyAlignment="0" applyProtection="0"/>
    <xf numFmtId="0" fontId="13" fillId="17" borderId="6" applyNumberFormat="0" applyAlignment="0" applyProtection="0"/>
    <xf numFmtId="0" fontId="15" fillId="18" borderId="7"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28" fillId="43" borderId="0" applyNumberFormat="0" applyBorder="0" applyAlignment="0" applyProtection="0"/>
    <xf numFmtId="0" fontId="29" fillId="0" borderId="0" applyNumberFormat="0" applyFill="0" applyBorder="0" applyAlignment="0" applyProtection="0"/>
    <xf numFmtId="49" fontId="21" fillId="0" borderId="0" applyFill="0" applyBorder="0" applyAlignment="0" applyProtection="0"/>
    <xf numFmtId="43" fontId="5" fillId="44" borderId="0" applyNumberFormat="0">
      <alignment vertical="top"/>
    </xf>
    <xf numFmtId="43" fontId="5" fillId="11" borderId="0" applyFont="0" applyFill="0" applyBorder="0" applyAlignment="0" applyProtection="0">
      <alignment vertical="top"/>
    </xf>
    <xf numFmtId="10" fontId="5" fillId="0" borderId="0" applyFont="0" applyFill="0" applyBorder="0" applyAlignment="0" applyProtection="0">
      <alignment vertical="top"/>
    </xf>
    <xf numFmtId="41" fontId="5" fillId="45" borderId="0">
      <alignment vertical="top"/>
    </xf>
    <xf numFmtId="0" fontId="5" fillId="0" borderId="0"/>
    <xf numFmtId="9" fontId="5" fillId="0" borderId="0" applyFont="0" applyFill="0" applyBorder="0" applyAlignment="0" applyProtection="0"/>
    <xf numFmtId="0" fontId="1" fillId="0" borderId="0">
      <alignment vertical="top"/>
    </xf>
  </cellStyleXfs>
  <cellXfs count="103">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9" borderId="1" xfId="6">
      <alignment vertical="top"/>
    </xf>
    <xf numFmtId="0" fontId="5" fillId="0" borderId="0" xfId="4" applyFill="1">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0" fontId="10" fillId="0" borderId="0" xfId="4" applyFont="1" applyFill="1">
      <alignment vertical="top"/>
    </xf>
    <xf numFmtId="0" fontId="5" fillId="6" borderId="0" xfId="4" applyFill="1">
      <alignment vertical="top"/>
    </xf>
    <xf numFmtId="2" fontId="5" fillId="10" borderId="0" xfId="4" applyNumberFormat="1" applyFill="1">
      <alignment vertical="top"/>
    </xf>
    <xf numFmtId="1" fontId="5" fillId="0" borderId="0" xfId="4" applyNumberFormat="1" applyFill="1">
      <alignment vertical="top"/>
    </xf>
    <xf numFmtId="1" fontId="9" fillId="0" borderId="0" xfId="4" applyNumberFormat="1" applyFont="1" applyFill="1">
      <alignment vertical="top"/>
    </xf>
    <xf numFmtId="0" fontId="12" fillId="0" borderId="0" xfId="4" applyFont="1" applyFill="1">
      <alignment vertical="top"/>
    </xf>
    <xf numFmtId="49" fontId="7" fillId="19" borderId="2" xfId="6" applyFont="1" applyBorder="1">
      <alignment vertical="top"/>
    </xf>
    <xf numFmtId="0" fontId="8" fillId="5" borderId="1" xfId="5" applyNumberFormat="1">
      <alignment vertical="top"/>
    </xf>
    <xf numFmtId="0" fontId="14" fillId="0" borderId="0" xfId="4" applyFont="1">
      <alignment vertical="top"/>
    </xf>
    <xf numFmtId="0" fontId="7" fillId="8" borderId="0" xfId="4" applyFont="1" applyFill="1">
      <alignment vertical="top"/>
    </xf>
    <xf numFmtId="0" fontId="5" fillId="14" borderId="0" xfId="4" applyFill="1">
      <alignment vertical="top"/>
    </xf>
    <xf numFmtId="49" fontId="7" fillId="19" borderId="0" xfId="6" applyFont="1" applyBorder="1">
      <alignment vertical="top"/>
    </xf>
    <xf numFmtId="0" fontId="5" fillId="0" borderId="0" xfId="4" applyFont="1">
      <alignment vertical="top"/>
    </xf>
    <xf numFmtId="49" fontId="5" fillId="19" borderId="2" xfId="6" applyFont="1" applyBorder="1">
      <alignment vertical="top"/>
    </xf>
    <xf numFmtId="0" fontId="5" fillId="0" borderId="0" xfId="4" quotePrefix="1">
      <alignment vertical="top"/>
    </xf>
    <xf numFmtId="0" fontId="5" fillId="0" borderId="2" xfId="4" applyFont="1" applyBorder="1">
      <alignment vertical="top"/>
    </xf>
    <xf numFmtId="49" fontId="10" fillId="0" borderId="0" xfId="14">
      <alignment vertical="top"/>
    </xf>
    <xf numFmtId="49" fontId="6" fillId="0" borderId="0" xfId="7">
      <alignment vertical="top"/>
    </xf>
    <xf numFmtId="49" fontId="9" fillId="0" borderId="0" xfId="15">
      <alignment vertical="top"/>
    </xf>
    <xf numFmtId="41" fontId="5" fillId="12" borderId="0" xfId="8">
      <alignment vertical="top"/>
    </xf>
    <xf numFmtId="0" fontId="7" fillId="11" borderId="0" xfId="4" applyFont="1" applyFill="1">
      <alignment vertical="top"/>
    </xf>
    <xf numFmtId="9" fontId="5" fillId="0" borderId="0" xfId="4" applyNumberFormat="1">
      <alignment vertical="top"/>
    </xf>
    <xf numFmtId="41" fontId="5" fillId="9" borderId="0" xfId="10">
      <alignment vertical="top"/>
    </xf>
    <xf numFmtId="41" fontId="5" fillId="7" borderId="0" xfId="12">
      <alignment vertical="top"/>
    </xf>
    <xf numFmtId="41" fontId="5" fillId="46" borderId="0" xfId="11">
      <alignment vertical="top"/>
    </xf>
    <xf numFmtId="41" fontId="5" fillId="46" borderId="2" xfId="11" applyBorder="1">
      <alignment vertical="top"/>
    </xf>
    <xf numFmtId="43" fontId="12" fillId="0" borderId="0" xfId="63" applyFont="1" applyFill="1">
      <alignment vertical="top"/>
    </xf>
    <xf numFmtId="41" fontId="5" fillId="45" borderId="0" xfId="65">
      <alignment vertical="top"/>
    </xf>
    <xf numFmtId="41" fontId="5" fillId="13" borderId="0" xfId="13">
      <alignment vertical="top"/>
    </xf>
    <xf numFmtId="41" fontId="5" fillId="11" borderId="0" xfId="9">
      <alignment vertical="top"/>
    </xf>
    <xf numFmtId="0" fontId="27" fillId="0" borderId="0" xfId="0" applyFont="1" applyAlignment="1"/>
    <xf numFmtId="0" fontId="6" fillId="0" borderId="0" xfId="0" applyFont="1" applyAlignment="1"/>
    <xf numFmtId="0" fontId="1" fillId="0" borderId="0" xfId="0" applyFont="1" applyAlignment="1"/>
    <xf numFmtId="10" fontId="5" fillId="46" borderId="0" xfId="64" applyFill="1">
      <alignment vertical="top"/>
    </xf>
    <xf numFmtId="10" fontId="5" fillId="0" borderId="0" xfId="64" applyFill="1">
      <alignment vertical="top"/>
    </xf>
    <xf numFmtId="0" fontId="0" fillId="0" borderId="0" xfId="0" applyFont="1" applyAlignment="1"/>
    <xf numFmtId="49" fontId="5" fillId="0" borderId="0" xfId="7" applyFont="1">
      <alignment vertical="top"/>
    </xf>
    <xf numFmtId="0" fontId="0" fillId="0" borderId="0" xfId="0" applyFill="1">
      <alignment vertical="top"/>
    </xf>
    <xf numFmtId="0" fontId="5" fillId="0" borderId="0" xfId="66"/>
    <xf numFmtId="10" fontId="5" fillId="13" borderId="0" xfId="66" applyNumberFormat="1" applyFill="1"/>
    <xf numFmtId="10" fontId="5" fillId="11" borderId="0" xfId="66" applyNumberFormat="1" applyFill="1"/>
    <xf numFmtId="10" fontId="5" fillId="13" borderId="0" xfId="64" applyFill="1">
      <alignment vertical="top"/>
    </xf>
    <xf numFmtId="43" fontId="5" fillId="0" borderId="0" xfId="63" applyFill="1">
      <alignment vertical="top"/>
    </xf>
    <xf numFmtId="41" fontId="5" fillId="44" borderId="0" xfId="62" applyNumberFormat="1">
      <alignment vertical="top"/>
    </xf>
    <xf numFmtId="0" fontId="6" fillId="0" borderId="0" xfId="4" applyFont="1" applyFill="1">
      <alignment vertical="top"/>
    </xf>
    <xf numFmtId="0" fontId="5" fillId="44" borderId="0" xfId="62" applyNumberFormat="1">
      <alignment vertical="top"/>
    </xf>
    <xf numFmtId="0" fontId="5" fillId="0" borderId="0" xfId="62" applyNumberFormat="1" applyFill="1">
      <alignment vertical="top"/>
    </xf>
    <xf numFmtId="0" fontId="5" fillId="0" borderId="0" xfId="4" applyFont="1" applyFill="1">
      <alignment vertical="top"/>
    </xf>
    <xf numFmtId="41" fontId="5" fillId="0" borderId="0" xfId="12" applyFill="1">
      <alignment vertical="top"/>
    </xf>
    <xf numFmtId="49" fontId="30" fillId="5" borderId="1" xfId="5" applyFont="1">
      <alignment vertical="top"/>
    </xf>
    <xf numFmtId="49" fontId="9" fillId="0" borderId="0" xfId="7" applyFont="1">
      <alignment vertical="top"/>
    </xf>
    <xf numFmtId="49" fontId="21" fillId="0" borderId="2" xfId="61" applyBorder="1" applyAlignment="1">
      <alignment vertical="top"/>
    </xf>
    <xf numFmtId="0" fontId="1" fillId="0" borderId="0" xfId="0" applyFont="1">
      <alignment vertical="top"/>
    </xf>
    <xf numFmtId="0" fontId="27" fillId="0" borderId="0" xfId="0" applyFont="1">
      <alignment vertical="top"/>
    </xf>
    <xf numFmtId="0" fontId="0" fillId="0" borderId="0" xfId="0" applyFont="1">
      <alignment vertical="top"/>
    </xf>
    <xf numFmtId="49" fontId="6" fillId="0" borderId="0" xfId="6" applyFill="1" applyBorder="1">
      <alignment vertical="top"/>
    </xf>
    <xf numFmtId="49" fontId="6" fillId="19" borderId="1" xfId="6" applyBorder="1">
      <alignment vertical="top"/>
    </xf>
    <xf numFmtId="49" fontId="6" fillId="0" borderId="0" xfId="6" applyFont="1" applyFill="1" applyBorder="1">
      <alignment vertical="top"/>
    </xf>
    <xf numFmtId="49" fontId="5" fillId="0" borderId="0" xfId="7" applyFont="1" applyAlignment="1">
      <alignment horizontal="left" vertical="top" wrapText="1"/>
    </xf>
    <xf numFmtId="49" fontId="6" fillId="0" borderId="0" xfId="14" applyFont="1">
      <alignment vertical="top"/>
    </xf>
    <xf numFmtId="0" fontId="31" fillId="0" borderId="0" xfId="68" applyFont="1" applyFill="1" applyBorder="1" applyAlignment="1">
      <alignment horizontal="center" vertical="top"/>
    </xf>
    <xf numFmtId="0" fontId="5" fillId="0" borderId="12" xfId="4" applyBorder="1">
      <alignment vertical="top"/>
    </xf>
    <xf numFmtId="0" fontId="5" fillId="0" borderId="13" xfId="4" applyBorder="1">
      <alignment vertical="top"/>
    </xf>
    <xf numFmtId="0" fontId="5" fillId="0" borderId="14" xfId="4" applyBorder="1">
      <alignment vertical="top"/>
    </xf>
    <xf numFmtId="0" fontId="5" fillId="0" borderId="15" xfId="4" applyBorder="1">
      <alignment vertical="top"/>
    </xf>
    <xf numFmtId="0" fontId="5" fillId="46" borderId="0" xfId="4" applyFill="1" applyBorder="1" applyAlignment="1">
      <alignment horizontal="center" vertical="top"/>
    </xf>
    <xf numFmtId="0" fontId="5" fillId="0" borderId="16" xfId="4" applyBorder="1">
      <alignment vertical="top"/>
    </xf>
    <xf numFmtId="0" fontId="5" fillId="11" borderId="0" xfId="4" applyFill="1" applyBorder="1" applyAlignment="1">
      <alignment horizontal="center" vertical="top"/>
    </xf>
    <xf numFmtId="0" fontId="5" fillId="0" borderId="17" xfId="4" applyBorder="1">
      <alignment vertical="top"/>
    </xf>
    <xf numFmtId="0" fontId="5" fillId="0" borderId="18" xfId="4" applyBorder="1">
      <alignment vertical="top"/>
    </xf>
    <xf numFmtId="0" fontId="5" fillId="0" borderId="19" xfId="4" applyBorder="1">
      <alignment vertical="top"/>
    </xf>
    <xf numFmtId="0" fontId="5" fillId="0" borderId="0" xfId="4" applyBorder="1">
      <alignment vertical="top"/>
    </xf>
    <xf numFmtId="0" fontId="5" fillId="11" borderId="0" xfId="4" applyFont="1" applyFill="1" applyBorder="1" applyAlignment="1">
      <alignment horizontal="center" vertical="top"/>
    </xf>
    <xf numFmtId="0" fontId="5" fillId="12" borderId="0" xfId="4" applyFill="1" applyBorder="1" applyAlignment="1">
      <alignment horizontal="center" vertical="top"/>
    </xf>
    <xf numFmtId="49" fontId="10" fillId="0" borderId="2" xfId="14" applyBorder="1">
      <alignment vertical="top"/>
    </xf>
    <xf numFmtId="0" fontId="6" fillId="19" borderId="1" xfId="6" applyNumberFormat="1">
      <alignment vertical="top"/>
    </xf>
    <xf numFmtId="0" fontId="5" fillId="47" borderId="0" xfId="4" applyFill="1">
      <alignment vertical="top"/>
    </xf>
    <xf numFmtId="0" fontId="0" fillId="47" borderId="0" xfId="0" applyFont="1" applyFill="1" applyAlignment="1"/>
    <xf numFmtId="10" fontId="5" fillId="47" borderId="0" xfId="64" applyFill="1">
      <alignment vertical="top"/>
    </xf>
    <xf numFmtId="10" fontId="5" fillId="9" borderId="0" xfId="64" applyFill="1">
      <alignment vertical="top"/>
    </xf>
    <xf numFmtId="41" fontId="5" fillId="0" borderId="0" xfId="9" applyFill="1">
      <alignment vertical="top"/>
    </xf>
    <xf numFmtId="164" fontId="5" fillId="11" borderId="0" xfId="64" applyNumberFormat="1" applyFill="1">
      <alignment vertical="top"/>
    </xf>
    <xf numFmtId="41" fontId="5" fillId="0" borderId="0" xfId="4" applyNumberFormat="1">
      <alignment vertical="top"/>
    </xf>
    <xf numFmtId="165" fontId="5" fillId="0" borderId="0" xfId="63" applyNumberFormat="1" applyFill="1">
      <alignment vertical="top"/>
    </xf>
    <xf numFmtId="10" fontId="5" fillId="46" borderId="0" xfId="64" applyNumberFormat="1" applyFill="1">
      <alignment vertical="top"/>
    </xf>
    <xf numFmtId="41" fontId="5" fillId="9" borderId="0" xfId="10" applyNumberFormat="1">
      <alignment vertical="top"/>
    </xf>
    <xf numFmtId="43" fontId="5" fillId="0" borderId="0" xfId="4" applyNumberFormat="1">
      <alignment vertical="top"/>
    </xf>
    <xf numFmtId="49" fontId="21" fillId="0" borderId="0" xfId="61" applyAlignment="1">
      <alignment vertical="top"/>
    </xf>
    <xf numFmtId="41" fontId="5" fillId="9" borderId="0" xfId="9" applyFill="1">
      <alignment vertical="top"/>
    </xf>
    <xf numFmtId="0" fontId="5" fillId="0" borderId="0" xfId="4" applyFont="1" applyAlignment="1">
      <alignment horizontal="left" vertical="top" wrapText="1"/>
    </xf>
    <xf numFmtId="0" fontId="9" fillId="0" borderId="0" xfId="4" applyFont="1" applyAlignment="1">
      <alignment horizontal="left" vertical="top" wrapText="1"/>
    </xf>
    <xf numFmtId="49" fontId="5" fillId="0" borderId="0" xfId="7" applyFont="1" applyAlignment="1">
      <alignment horizontal="left" vertical="top" wrapText="1"/>
    </xf>
  </cellXfs>
  <cellStyles count="69">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D000000}"/>
    <cellStyle name="Cel Berekening" xfId="9" xr:uid="{00000000-0005-0000-0000-00001E000000}"/>
    <cellStyle name="Cel Bijzonderheid" xfId="10" xr:uid="{00000000-0005-0000-0000-00001F000000}"/>
    <cellStyle name="Cel Dataverzoek" xfId="65" xr:uid="{00000000-0005-0000-0000-000020000000}"/>
    <cellStyle name="Cel Input" xfId="11" xr:uid="{00000000-0005-0000-0000-000021000000}"/>
    <cellStyle name="Cel n.v.t. (leeg)" xfId="62" xr:uid="{00000000-0005-0000-0000-000022000000}"/>
    <cellStyle name="Cel PM extern" xfId="12" xr:uid="{00000000-0005-0000-0000-000023000000}"/>
    <cellStyle name="Cel Verwijzing" xfId="13" xr:uid="{00000000-0005-0000-0000-000024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9000000}"/>
    <cellStyle name="Procent" xfId="27" builtinId="5" hidden="1"/>
    <cellStyle name="Procent" xfId="64" builtinId="5"/>
    <cellStyle name="Procent 2" xfId="67" xr:uid="{00000000-0005-0000-0000-00003D000000}"/>
    <cellStyle name="Standaard" xfId="0" builtinId="0" customBuiltin="1"/>
    <cellStyle name="Standaard 2 2" xfId="66" xr:uid="{00000000-0005-0000-0000-00003E000000}"/>
    <cellStyle name="Standaard 33" xfId="68" xr:uid="{00000000-0005-0000-0000-00003F000000}"/>
    <cellStyle name="Standaard ACM-DE" xfId="4" xr:uid="{00000000-0005-0000-0000-000040000000}"/>
    <cellStyle name="Titel" xfId="28" builtinId="15" hidden="1"/>
    <cellStyle name="Toelichting" xfId="15" xr:uid="{00000000-0005-0000-0000-000042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1">
    <dxf>
      <font>
        <color theme="0"/>
      </font>
      <fill>
        <patternFill>
          <bgColor theme="3"/>
        </patternFill>
      </fill>
    </dxf>
  </dxfs>
  <tableStyles count="0" defaultTableStyle="TableStyleMedium2" defaultPivotStyle="PivotStyleLight16"/>
  <colors>
    <mruColors>
      <color rgb="FFE1FFE1"/>
      <color rgb="FFFFFFCC"/>
      <color rgb="FFFFCCFF"/>
      <color rgb="FFCCFFFF"/>
      <color rgb="FFFFCC99"/>
      <color rgb="FF99FF99"/>
      <color rgb="FFCCC8D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178593</xdr:colOff>
      <xdr:row>19</xdr:row>
      <xdr:rowOff>77391</xdr:rowOff>
    </xdr:from>
    <xdr:to>
      <xdr:col>9</xdr:col>
      <xdr:colOff>1363266</xdr:colOff>
      <xdr:row>19</xdr:row>
      <xdr:rowOff>77391</xdr:rowOff>
    </xdr:to>
    <xdr:cxnSp macro="">
      <xdr:nvCxnSpPr>
        <xdr:cNvPr id="3" name="Rechte verbindingslijn met pijl 2">
          <a:extLst>
            <a:ext uri="{FF2B5EF4-FFF2-40B4-BE49-F238E27FC236}">
              <a16:creationId xmlns:a16="http://schemas.microsoft.com/office/drawing/2014/main" id="{00000000-0008-0000-0400-000003000000}"/>
            </a:ext>
          </a:extLst>
        </xdr:cNvPr>
        <xdr:cNvCxnSpPr/>
      </xdr:nvCxnSpPr>
      <xdr:spPr>
        <a:xfrm>
          <a:off x="9122568" y="5659041"/>
          <a:ext cx="136564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179614</xdr:colOff>
      <xdr:row>18</xdr:row>
      <xdr:rowOff>87086</xdr:rowOff>
    </xdr:from>
    <xdr:to>
      <xdr:col>6</xdr:col>
      <xdr:colOff>0</xdr:colOff>
      <xdr:row>18</xdr:row>
      <xdr:rowOff>87086</xdr:rowOff>
    </xdr:to>
    <xdr:cxnSp macro="">
      <xdr:nvCxnSpPr>
        <xdr:cNvPr id="5" name="Rechte verbindingslijn met pijl 4">
          <a:extLst>
            <a:ext uri="{FF2B5EF4-FFF2-40B4-BE49-F238E27FC236}">
              <a16:creationId xmlns:a16="http://schemas.microsoft.com/office/drawing/2014/main" id="{00000000-0008-0000-0400-000005000000}"/>
            </a:ext>
          </a:extLst>
        </xdr:cNvPr>
        <xdr:cNvCxnSpPr/>
      </xdr:nvCxnSpPr>
      <xdr:spPr>
        <a:xfrm>
          <a:off x="4665889" y="5506811"/>
          <a:ext cx="138248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174172</xdr:colOff>
      <xdr:row>19</xdr:row>
      <xdr:rowOff>0</xdr:rowOff>
    </xdr:from>
    <xdr:to>
      <xdr:col>5</xdr:col>
      <xdr:colOff>1366158</xdr:colOff>
      <xdr:row>23</xdr:row>
      <xdr:rowOff>125185</xdr:rowOff>
    </xdr:to>
    <xdr:cxnSp macro="">
      <xdr:nvCxnSpPr>
        <xdr:cNvPr id="6" name="Rechte verbindingslijn met pijl 5">
          <a:extLst>
            <a:ext uri="{FF2B5EF4-FFF2-40B4-BE49-F238E27FC236}">
              <a16:creationId xmlns:a16="http://schemas.microsoft.com/office/drawing/2014/main" id="{00000000-0008-0000-0400-000006000000}"/>
            </a:ext>
          </a:extLst>
        </xdr:cNvPr>
        <xdr:cNvCxnSpPr/>
      </xdr:nvCxnSpPr>
      <xdr:spPr>
        <a:xfrm flipV="1">
          <a:off x="4660447" y="5581650"/>
          <a:ext cx="1372961" cy="77288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179614</xdr:colOff>
      <xdr:row>19</xdr:row>
      <xdr:rowOff>70757</xdr:rowOff>
    </xdr:from>
    <xdr:to>
      <xdr:col>6</xdr:col>
      <xdr:colOff>10886</xdr:colOff>
      <xdr:row>23</xdr:row>
      <xdr:rowOff>163285</xdr:rowOff>
    </xdr:to>
    <xdr:cxnSp macro="">
      <xdr:nvCxnSpPr>
        <xdr:cNvPr id="8" name="Rechte verbindingslijn met pijl 7">
          <a:extLst>
            <a:ext uri="{FF2B5EF4-FFF2-40B4-BE49-F238E27FC236}">
              <a16:creationId xmlns:a16="http://schemas.microsoft.com/office/drawing/2014/main" id="{00000000-0008-0000-0400-000008000000}"/>
            </a:ext>
          </a:extLst>
        </xdr:cNvPr>
        <xdr:cNvCxnSpPr/>
      </xdr:nvCxnSpPr>
      <xdr:spPr>
        <a:xfrm>
          <a:off x="4665889" y="5652407"/>
          <a:ext cx="1393372" cy="74022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2432958</xdr:colOff>
      <xdr:row>16</xdr:row>
      <xdr:rowOff>21771</xdr:rowOff>
    </xdr:from>
    <xdr:to>
      <xdr:col>3</xdr:col>
      <xdr:colOff>2432958</xdr:colOff>
      <xdr:row>17</xdr:row>
      <xdr:rowOff>157842</xdr:rowOff>
    </xdr:to>
    <xdr:cxnSp macro="">
      <xdr:nvCxnSpPr>
        <xdr:cNvPr id="15" name="Rechte verbindingslijn 14">
          <a:extLst>
            <a:ext uri="{FF2B5EF4-FFF2-40B4-BE49-F238E27FC236}">
              <a16:creationId xmlns:a16="http://schemas.microsoft.com/office/drawing/2014/main" id="{00000000-0008-0000-0400-00000F000000}"/>
            </a:ext>
          </a:extLst>
        </xdr:cNvPr>
        <xdr:cNvCxnSpPr/>
      </xdr:nvCxnSpPr>
      <xdr:spPr>
        <a:xfrm flipV="1">
          <a:off x="4204608" y="5117646"/>
          <a:ext cx="0" cy="29799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2438400</xdr:colOff>
      <xdr:row>16</xdr:row>
      <xdr:rowOff>5443</xdr:rowOff>
    </xdr:from>
    <xdr:to>
      <xdr:col>13</xdr:col>
      <xdr:colOff>440872</xdr:colOff>
      <xdr:row>16</xdr:row>
      <xdr:rowOff>5443</xdr:rowOff>
    </xdr:to>
    <xdr:cxnSp macro="">
      <xdr:nvCxnSpPr>
        <xdr:cNvPr id="16" name="Rechte verbindingslijn 15">
          <a:extLst>
            <a:ext uri="{FF2B5EF4-FFF2-40B4-BE49-F238E27FC236}">
              <a16:creationId xmlns:a16="http://schemas.microsoft.com/office/drawing/2014/main" id="{00000000-0008-0000-0400-000010000000}"/>
            </a:ext>
          </a:extLst>
        </xdr:cNvPr>
        <xdr:cNvCxnSpPr/>
      </xdr:nvCxnSpPr>
      <xdr:spPr>
        <a:xfrm>
          <a:off x="4210050" y="5101318"/>
          <a:ext cx="1008017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437029</xdr:colOff>
      <xdr:row>16</xdr:row>
      <xdr:rowOff>10886</xdr:rowOff>
    </xdr:from>
    <xdr:to>
      <xdr:col>13</xdr:col>
      <xdr:colOff>457200</xdr:colOff>
      <xdr:row>24</xdr:row>
      <xdr:rowOff>22411</xdr:rowOff>
    </xdr:to>
    <xdr:cxnSp macro="">
      <xdr:nvCxnSpPr>
        <xdr:cNvPr id="17" name="Rechte verbindingslijn 16">
          <a:extLst>
            <a:ext uri="{FF2B5EF4-FFF2-40B4-BE49-F238E27FC236}">
              <a16:creationId xmlns:a16="http://schemas.microsoft.com/office/drawing/2014/main" id="{00000000-0008-0000-0400-000011000000}"/>
            </a:ext>
          </a:extLst>
        </xdr:cNvPr>
        <xdr:cNvCxnSpPr/>
      </xdr:nvCxnSpPr>
      <xdr:spPr>
        <a:xfrm flipH="1">
          <a:off x="13996147" y="2599445"/>
          <a:ext cx="20171" cy="126658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156563</xdr:colOff>
      <xdr:row>24</xdr:row>
      <xdr:rowOff>29776</xdr:rowOff>
    </xdr:from>
    <xdr:to>
      <xdr:col>13</xdr:col>
      <xdr:colOff>439912</xdr:colOff>
      <xdr:row>24</xdr:row>
      <xdr:rowOff>29776</xdr:rowOff>
    </xdr:to>
    <xdr:cxnSp macro="">
      <xdr:nvCxnSpPr>
        <xdr:cNvPr id="18" name="Rechte verbindingslijn met pijl 17">
          <a:extLst>
            <a:ext uri="{FF2B5EF4-FFF2-40B4-BE49-F238E27FC236}">
              <a16:creationId xmlns:a16="http://schemas.microsoft.com/office/drawing/2014/main" id="{00000000-0008-0000-0400-000012000000}"/>
            </a:ext>
          </a:extLst>
        </xdr:cNvPr>
        <xdr:cNvCxnSpPr/>
      </xdr:nvCxnSpPr>
      <xdr:spPr>
        <a:xfrm flipH="1">
          <a:off x="13536387" y="3873394"/>
          <a:ext cx="46264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7327</xdr:colOff>
      <xdr:row>19</xdr:row>
      <xdr:rowOff>117230</xdr:rowOff>
    </xdr:from>
    <xdr:to>
      <xdr:col>14</xdr:col>
      <xdr:colOff>0</xdr:colOff>
      <xdr:row>19</xdr:row>
      <xdr:rowOff>117230</xdr:rowOff>
    </xdr:to>
    <xdr:cxnSp macro="">
      <xdr:nvCxnSpPr>
        <xdr:cNvPr id="28" name="Rechte verbindingslijn met pijl 27">
          <a:extLst>
            <a:ext uri="{FF2B5EF4-FFF2-40B4-BE49-F238E27FC236}">
              <a16:creationId xmlns:a16="http://schemas.microsoft.com/office/drawing/2014/main" id="{00000000-0008-0000-0400-00001C000000}"/>
            </a:ext>
          </a:extLst>
        </xdr:cNvPr>
        <xdr:cNvCxnSpPr/>
      </xdr:nvCxnSpPr>
      <xdr:spPr>
        <a:xfrm>
          <a:off x="13856677" y="5698880"/>
          <a:ext cx="137379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147038</xdr:colOff>
      <xdr:row>26</xdr:row>
      <xdr:rowOff>15128</xdr:rowOff>
    </xdr:from>
    <xdr:to>
      <xdr:col>4</xdr:col>
      <xdr:colOff>147038</xdr:colOff>
      <xdr:row>27</xdr:row>
      <xdr:rowOff>25053</xdr:rowOff>
    </xdr:to>
    <xdr:cxnSp macro="">
      <xdr:nvCxnSpPr>
        <xdr:cNvPr id="30" name="Rechte verbindingslijn 29">
          <a:extLst>
            <a:ext uri="{FF2B5EF4-FFF2-40B4-BE49-F238E27FC236}">
              <a16:creationId xmlns:a16="http://schemas.microsoft.com/office/drawing/2014/main" id="{00000000-0008-0000-0400-00001E000000}"/>
            </a:ext>
          </a:extLst>
        </xdr:cNvPr>
        <xdr:cNvCxnSpPr/>
      </xdr:nvCxnSpPr>
      <xdr:spPr>
        <a:xfrm>
          <a:off x="4629391" y="4172510"/>
          <a:ext cx="0" cy="1668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147358</xdr:colOff>
      <xdr:row>27</xdr:row>
      <xdr:rowOff>37539</xdr:rowOff>
    </xdr:from>
    <xdr:to>
      <xdr:col>11</xdr:col>
      <xdr:colOff>1546172</xdr:colOff>
      <xdr:row>27</xdr:row>
      <xdr:rowOff>37539</xdr:rowOff>
    </xdr:to>
    <xdr:cxnSp macro="">
      <xdr:nvCxnSpPr>
        <xdr:cNvPr id="31" name="Rechte verbindingslijn 30">
          <a:extLst>
            <a:ext uri="{FF2B5EF4-FFF2-40B4-BE49-F238E27FC236}">
              <a16:creationId xmlns:a16="http://schemas.microsoft.com/office/drawing/2014/main" id="{00000000-0008-0000-0400-00001F000000}"/>
            </a:ext>
          </a:extLst>
        </xdr:cNvPr>
        <xdr:cNvCxnSpPr/>
      </xdr:nvCxnSpPr>
      <xdr:spPr>
        <a:xfrm flipV="1">
          <a:off x="4629711" y="4351804"/>
          <a:ext cx="758446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1546172</xdr:colOff>
      <xdr:row>26</xdr:row>
      <xdr:rowOff>26333</xdr:rowOff>
    </xdr:from>
    <xdr:to>
      <xdr:col>11</xdr:col>
      <xdr:colOff>1546172</xdr:colOff>
      <xdr:row>27</xdr:row>
      <xdr:rowOff>31774</xdr:rowOff>
    </xdr:to>
    <xdr:cxnSp macro="">
      <xdr:nvCxnSpPr>
        <xdr:cNvPr id="32" name="Rechte verbindingslijn met pijl 31">
          <a:extLst>
            <a:ext uri="{FF2B5EF4-FFF2-40B4-BE49-F238E27FC236}">
              <a16:creationId xmlns:a16="http://schemas.microsoft.com/office/drawing/2014/main" id="{00000000-0008-0000-0400-000020000000}"/>
            </a:ext>
          </a:extLst>
        </xdr:cNvPr>
        <xdr:cNvCxnSpPr/>
      </xdr:nvCxnSpPr>
      <xdr:spPr>
        <a:xfrm flipV="1">
          <a:off x="12214172" y="4183715"/>
          <a:ext cx="0" cy="16232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19</xdr:row>
      <xdr:rowOff>145673</xdr:rowOff>
    </xdr:from>
    <xdr:to>
      <xdr:col>9</xdr:col>
      <xdr:colOff>1371280</xdr:colOff>
      <xdr:row>24</xdr:row>
      <xdr:rowOff>113975</xdr:rowOff>
    </xdr:to>
    <xdr:cxnSp macro="">
      <xdr:nvCxnSpPr>
        <xdr:cNvPr id="22" name="Rechte verbindingslijn met pijl 21">
          <a:extLst>
            <a:ext uri="{FF2B5EF4-FFF2-40B4-BE49-F238E27FC236}">
              <a16:creationId xmlns:a16="http://schemas.microsoft.com/office/drawing/2014/main" id="{00000000-0008-0000-0400-000016000000}"/>
            </a:ext>
          </a:extLst>
        </xdr:cNvPr>
        <xdr:cNvCxnSpPr/>
      </xdr:nvCxnSpPr>
      <xdr:spPr>
        <a:xfrm flipV="1">
          <a:off x="9110382" y="3204879"/>
          <a:ext cx="1371280" cy="75271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20</xdr:row>
      <xdr:rowOff>11200</xdr:rowOff>
    </xdr:from>
    <xdr:to>
      <xdr:col>10</xdr:col>
      <xdr:colOff>10566</xdr:colOff>
      <xdr:row>24</xdr:row>
      <xdr:rowOff>103727</xdr:rowOff>
    </xdr:to>
    <xdr:cxnSp macro="">
      <xdr:nvCxnSpPr>
        <xdr:cNvPr id="23" name="Rechte verbindingslijn met pijl 22">
          <a:extLst>
            <a:ext uri="{FF2B5EF4-FFF2-40B4-BE49-F238E27FC236}">
              <a16:creationId xmlns:a16="http://schemas.microsoft.com/office/drawing/2014/main" id="{00000000-0008-0000-0400-000017000000}"/>
            </a:ext>
          </a:extLst>
        </xdr:cNvPr>
        <xdr:cNvCxnSpPr/>
      </xdr:nvCxnSpPr>
      <xdr:spPr>
        <a:xfrm>
          <a:off x="9110382" y="3227288"/>
          <a:ext cx="1388890" cy="72005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6723</xdr:colOff>
      <xdr:row>20</xdr:row>
      <xdr:rowOff>56030</xdr:rowOff>
    </xdr:from>
    <xdr:to>
      <xdr:col>14</xdr:col>
      <xdr:colOff>0</xdr:colOff>
      <xdr:row>23</xdr:row>
      <xdr:rowOff>131905</xdr:rowOff>
    </xdr:to>
    <xdr:cxnSp macro="">
      <xdr:nvCxnSpPr>
        <xdr:cNvPr id="24" name="Rechte verbindingslijn met pijl 23">
          <a:extLst>
            <a:ext uri="{FF2B5EF4-FFF2-40B4-BE49-F238E27FC236}">
              <a16:creationId xmlns:a16="http://schemas.microsoft.com/office/drawing/2014/main" id="{00000000-0008-0000-0400-000018000000}"/>
            </a:ext>
          </a:extLst>
        </xdr:cNvPr>
        <xdr:cNvCxnSpPr/>
      </xdr:nvCxnSpPr>
      <xdr:spPr>
        <a:xfrm flipV="1">
          <a:off x="13565841" y="3272118"/>
          <a:ext cx="1371600" cy="54652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1355911</xdr:colOff>
      <xdr:row>21</xdr:row>
      <xdr:rowOff>11205</xdr:rowOff>
    </xdr:from>
    <xdr:to>
      <xdr:col>7</xdr:col>
      <xdr:colOff>1355911</xdr:colOff>
      <xdr:row>22</xdr:row>
      <xdr:rowOff>145676</xdr:rowOff>
    </xdr:to>
    <xdr:cxnSp macro="">
      <xdr:nvCxnSpPr>
        <xdr:cNvPr id="10" name="Rechte verbindingslijn met pijl 9">
          <a:extLst>
            <a:ext uri="{FF2B5EF4-FFF2-40B4-BE49-F238E27FC236}">
              <a16:creationId xmlns:a16="http://schemas.microsoft.com/office/drawing/2014/main" id="{E2E0B918-3B4B-4CEE-9069-1875D02B9059}"/>
            </a:ext>
          </a:extLst>
        </xdr:cNvPr>
        <xdr:cNvCxnSpPr/>
      </xdr:nvCxnSpPr>
      <xdr:spPr>
        <a:xfrm>
          <a:off x="7575176" y="3384176"/>
          <a:ext cx="0" cy="29135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gulering.Energie@acm.n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nl/publicaties/gewijzigd-methodebesluit-rnbs-elektriciteit-2022-2026" TargetMode="External"/><Relationship Id="rId2" Type="http://schemas.openxmlformats.org/officeDocument/2006/relationships/hyperlink" Target="https://www.acm.nl/nl/publicaties/gewijzigd-methodebesluit-rnbs-elektriciteit-2022-2026" TargetMode="External"/><Relationship Id="rId1" Type="http://schemas.openxmlformats.org/officeDocument/2006/relationships/hyperlink" Target="https://opendata.cbs.nl/statline/"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C39"/>
  <sheetViews>
    <sheetView showGridLines="0" tabSelected="1"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39.85546875" style="2" customWidth="1"/>
    <col min="3" max="3" width="91.85546875" style="2" customWidth="1"/>
    <col min="4" max="16384" width="9.140625" style="2"/>
  </cols>
  <sheetData>
    <row r="2" spans="2:3" s="6" customFormat="1" ht="18" x14ac:dyDescent="0.2">
      <c r="B2" s="6" t="s">
        <v>218</v>
      </c>
    </row>
    <row r="6" spans="2:3" x14ac:dyDescent="0.2">
      <c r="B6" s="3"/>
    </row>
    <row r="13" spans="2:3" s="7" customFormat="1" x14ac:dyDescent="0.2">
      <c r="B13" s="7" t="s">
        <v>1</v>
      </c>
    </row>
    <row r="14" spans="2:3" s="8" customFormat="1" x14ac:dyDescent="0.2"/>
    <row r="15" spans="2:3" x14ac:dyDescent="0.2">
      <c r="B15" s="9" t="s">
        <v>2</v>
      </c>
      <c r="C15" s="10" t="s">
        <v>213</v>
      </c>
    </row>
    <row r="16" spans="2:3" x14ac:dyDescent="0.2">
      <c r="B16" s="9" t="s">
        <v>3</v>
      </c>
      <c r="C16" s="10" t="s">
        <v>218</v>
      </c>
    </row>
    <row r="17" spans="2:3" x14ac:dyDescent="0.2">
      <c r="B17" s="9" t="s">
        <v>4</v>
      </c>
      <c r="C17" s="10" t="s">
        <v>216</v>
      </c>
    </row>
    <row r="18" spans="2:3" x14ac:dyDescent="0.2">
      <c r="B18" s="9" t="s">
        <v>5</v>
      </c>
      <c r="C18" s="10" t="s">
        <v>214</v>
      </c>
    </row>
    <row r="19" spans="2:3" x14ac:dyDescent="0.2">
      <c r="B19" s="9" t="s">
        <v>6</v>
      </c>
      <c r="C19" s="10" t="s">
        <v>216</v>
      </c>
    </row>
    <row r="20" spans="2:3" x14ac:dyDescent="0.2">
      <c r="B20" s="9" t="s">
        <v>7</v>
      </c>
      <c r="C20" s="10" t="s">
        <v>216</v>
      </c>
    </row>
    <row r="21" spans="2:3" x14ac:dyDescent="0.2">
      <c r="B21" s="9" t="s">
        <v>8</v>
      </c>
      <c r="C21" s="10" t="s">
        <v>219</v>
      </c>
    </row>
    <row r="22" spans="2:3" x14ac:dyDescent="0.2">
      <c r="B22" s="9" t="s">
        <v>9</v>
      </c>
      <c r="C22" s="10" t="s">
        <v>216</v>
      </c>
    </row>
    <row r="25" spans="2:3" s="7" customFormat="1" x14ac:dyDescent="0.2">
      <c r="B25" s="7" t="s">
        <v>10</v>
      </c>
    </row>
    <row r="27" spans="2:3" x14ac:dyDescent="0.2">
      <c r="B27" s="10" t="s">
        <v>11</v>
      </c>
      <c r="C27" s="10" t="s">
        <v>237</v>
      </c>
    </row>
    <row r="28" spans="2:3" x14ac:dyDescent="0.2">
      <c r="B28" s="10" t="s">
        <v>64</v>
      </c>
      <c r="C28" s="10" t="s">
        <v>237</v>
      </c>
    </row>
    <row r="29" spans="2:3" ht="25.5" x14ac:dyDescent="0.2">
      <c r="B29" s="10" t="s">
        <v>12</v>
      </c>
      <c r="C29" s="10" t="s">
        <v>237</v>
      </c>
    </row>
    <row r="30" spans="2:3" x14ac:dyDescent="0.2">
      <c r="B30" s="10" t="s">
        <v>63</v>
      </c>
      <c r="C30" s="10"/>
    </row>
    <row r="31" spans="2:3" x14ac:dyDescent="0.2">
      <c r="B31" s="10" t="s">
        <v>13</v>
      </c>
      <c r="C31" s="10" t="s">
        <v>216</v>
      </c>
    </row>
    <row r="32" spans="2:3" x14ac:dyDescent="0.2">
      <c r="B32" s="10" t="s">
        <v>9</v>
      </c>
      <c r="C32" s="10" t="s">
        <v>216</v>
      </c>
    </row>
    <row r="35" spans="2:2" s="7" customFormat="1" x14ac:dyDescent="0.2">
      <c r="B35" s="7" t="s">
        <v>14</v>
      </c>
    </row>
    <row r="37" spans="2:2" x14ac:dyDescent="0.2">
      <c r="B37" s="70" t="s">
        <v>170</v>
      </c>
    </row>
    <row r="38" spans="2:2" x14ac:dyDescent="0.2">
      <c r="B38" s="98" t="s">
        <v>169</v>
      </c>
    </row>
    <row r="39" spans="2:2" x14ac:dyDescent="0.2">
      <c r="B39" s="4"/>
    </row>
  </sheetData>
  <hyperlinks>
    <hyperlink ref="B38" r:id="rId1" xr:uid="{9D5816C6-C48C-4752-BAF1-5988CFE4D065}"/>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sheetPr>
  <dimension ref="A2:U50"/>
  <sheetViews>
    <sheetView showGridLines="0" zoomScale="85" zoomScaleNormal="85" workbookViewId="0">
      <pane xSplit="5" ySplit="8" topLeftCell="F9" activePane="bottomRight" state="frozen"/>
      <selection activeCell="R6" sqref="R6"/>
      <selection pane="topRight" activeCell="R6" sqref="R6"/>
      <selection pane="bottomLeft" activeCell="R6" sqref="R6"/>
      <selection pane="bottomRight" activeCell="F9" sqref="F9"/>
    </sheetView>
  </sheetViews>
  <sheetFormatPr defaultRowHeight="12.75" x14ac:dyDescent="0.2"/>
  <cols>
    <col min="1" max="1" width="2.7109375" style="2" customWidth="1"/>
    <col min="2" max="2" width="62.28515625" style="2" customWidth="1"/>
    <col min="3" max="3" width="14" style="2" customWidth="1"/>
    <col min="4" max="4" width="2.7109375" style="2" customWidth="1"/>
    <col min="5" max="5" width="13.7109375" style="2" customWidth="1"/>
    <col min="6" max="6" width="2.7109375" style="2" customWidth="1"/>
    <col min="7" max="7" width="16.5703125" style="2" bestFit="1" customWidth="1"/>
    <col min="8" max="8" width="2.7109375" style="2" customWidth="1"/>
    <col min="9" max="9" width="13.7109375" style="2" customWidth="1"/>
    <col min="10" max="10" width="2.7109375" style="2" customWidth="1"/>
    <col min="11" max="12" width="12.5703125" style="2" customWidth="1"/>
    <col min="13" max="13" width="11.140625" style="2" customWidth="1"/>
    <col min="14" max="14" width="12.5703125" style="2" customWidth="1"/>
    <col min="15" max="15" width="11.7109375" style="2" customWidth="1"/>
    <col min="16" max="16" width="12.5703125" style="2" customWidth="1"/>
    <col min="17" max="17" width="2.7109375" style="2" customWidth="1"/>
    <col min="18" max="18" width="12.5703125" style="2" customWidth="1"/>
    <col min="19" max="19" width="13.5703125" style="2" customWidth="1"/>
    <col min="20" max="20" width="2.7109375" style="2" customWidth="1"/>
    <col min="21" max="24" width="13.7109375" style="2" customWidth="1"/>
    <col min="25" max="25" width="2.85546875" style="2" customWidth="1"/>
    <col min="26" max="26" width="13.7109375" style="2" customWidth="1"/>
    <col min="27" max="27" width="3.28515625" style="2" customWidth="1"/>
    <col min="28" max="32" width="13.7109375" style="2" customWidth="1"/>
    <col min="33" max="16384" width="9.140625" style="2"/>
  </cols>
  <sheetData>
    <row r="2" spans="2:21" s="18" customFormat="1" ht="18" x14ac:dyDescent="0.2">
      <c r="B2" s="18" t="s">
        <v>117</v>
      </c>
    </row>
    <row r="4" spans="2:21" x14ac:dyDescent="0.2">
      <c r="B4" s="28" t="s">
        <v>53</v>
      </c>
      <c r="C4" s="28"/>
    </row>
    <row r="5" spans="2:21" ht="38.25" customHeight="1" x14ac:dyDescent="0.2">
      <c r="B5" s="102" t="s">
        <v>230</v>
      </c>
      <c r="C5" s="102"/>
      <c r="D5" s="102"/>
      <c r="E5" s="102"/>
    </row>
    <row r="6" spans="2:21" x14ac:dyDescent="0.2">
      <c r="B6" s="28"/>
      <c r="C6" s="28"/>
    </row>
    <row r="7" spans="2:21" s="7" customFormat="1" x14ac:dyDescent="0.2">
      <c r="B7" s="7" t="s">
        <v>45</v>
      </c>
      <c r="E7" s="7" t="s">
        <v>27</v>
      </c>
      <c r="G7" s="7" t="s">
        <v>28</v>
      </c>
      <c r="I7" s="7" t="s">
        <v>48</v>
      </c>
      <c r="K7" s="7" t="s">
        <v>138</v>
      </c>
      <c r="L7" s="7" t="s">
        <v>75</v>
      </c>
      <c r="M7" s="7" t="s">
        <v>76</v>
      </c>
      <c r="N7" s="7" t="s">
        <v>77</v>
      </c>
      <c r="O7" s="7" t="s">
        <v>78</v>
      </c>
      <c r="P7" s="7" t="s">
        <v>79</v>
      </c>
      <c r="R7" s="7" t="s">
        <v>74</v>
      </c>
      <c r="S7" s="7" t="s">
        <v>80</v>
      </c>
      <c r="U7" s="7" t="s">
        <v>47</v>
      </c>
    </row>
    <row r="10" spans="2:21" s="67" customFormat="1" x14ac:dyDescent="0.2">
      <c r="B10" s="67" t="s">
        <v>93</v>
      </c>
    </row>
    <row r="11" spans="2:21" s="66" customFormat="1" x14ac:dyDescent="0.2"/>
    <row r="12" spans="2:21" s="66" customFormat="1" x14ac:dyDescent="0.2">
      <c r="B12" s="68" t="s">
        <v>89</v>
      </c>
      <c r="C12" s="68"/>
    </row>
    <row r="13" spans="2:21" x14ac:dyDescent="0.2">
      <c r="B13" s="46" t="s">
        <v>176</v>
      </c>
      <c r="C13" s="46"/>
      <c r="G13" s="52">
        <f>'2) Parameters'!J15</f>
        <v>1.7999999999999999E-2</v>
      </c>
    </row>
    <row r="14" spans="2:21" x14ac:dyDescent="0.2">
      <c r="B14" s="46" t="s">
        <v>177</v>
      </c>
      <c r="C14" s="46"/>
      <c r="G14" s="52">
        <f>'2) Parameters'!K16</f>
        <v>1.7999999999999999E-2</v>
      </c>
    </row>
    <row r="15" spans="2:21" x14ac:dyDescent="0.2">
      <c r="B15" s="46" t="s">
        <v>178</v>
      </c>
      <c r="C15" s="46"/>
      <c r="G15" s="52">
        <f>'2) Parameters'!L17</f>
        <v>1.7999999999999999E-2</v>
      </c>
    </row>
    <row r="16" spans="2:21" x14ac:dyDescent="0.2">
      <c r="B16" s="46" t="s">
        <v>179</v>
      </c>
      <c r="C16" s="46"/>
      <c r="G16" s="52">
        <f>'2) Parameters'!M18</f>
        <v>1.7999999999999999E-2</v>
      </c>
    </row>
    <row r="17" spans="2:19" x14ac:dyDescent="0.2">
      <c r="B17" s="46" t="s">
        <v>180</v>
      </c>
      <c r="C17" s="46"/>
      <c r="G17" s="52">
        <f>'2) Parameters'!N19</f>
        <v>1.7999999999999999E-2</v>
      </c>
    </row>
    <row r="18" spans="2:19" s="87" customFormat="1" x14ac:dyDescent="0.2">
      <c r="B18" s="88"/>
      <c r="C18" s="88"/>
      <c r="G18" s="89"/>
    </row>
    <row r="19" spans="2:19" s="66" customFormat="1" x14ac:dyDescent="0.2">
      <c r="B19" s="68" t="s">
        <v>90</v>
      </c>
      <c r="C19" s="68"/>
    </row>
    <row r="20" spans="2:19" x14ac:dyDescent="0.2">
      <c r="B20" s="2" t="s">
        <v>206</v>
      </c>
      <c r="G20" s="52">
        <f>'2) Parameters'!F34</f>
        <v>-3.0451719992511186E-2</v>
      </c>
    </row>
    <row r="22" spans="2:19" s="7" customFormat="1" x14ac:dyDescent="0.2">
      <c r="B22" s="7" t="s">
        <v>231</v>
      </c>
    </row>
    <row r="24" spans="2:19" x14ac:dyDescent="0.2">
      <c r="B24" s="2" t="s">
        <v>209</v>
      </c>
      <c r="C24" s="2" t="s">
        <v>207</v>
      </c>
      <c r="E24" s="2" t="s">
        <v>91</v>
      </c>
      <c r="I24" s="40">
        <f>SUM(K24:P24,R24:S24)</f>
        <v>21767737.54754902</v>
      </c>
      <c r="K24" s="39">
        <f>'4) Kapitaalkosten start-GAW'!K35</f>
        <v>2814151.237353914</v>
      </c>
      <c r="L24" s="56"/>
      <c r="M24" s="56"/>
      <c r="N24" s="56"/>
      <c r="O24" s="56"/>
      <c r="P24" s="56"/>
      <c r="R24" s="39">
        <f>'4) Kapitaalkosten start-GAW'!R35</f>
        <v>11974454.382939361</v>
      </c>
      <c r="S24" s="39">
        <f>'4) Kapitaalkosten start-GAW'!S35</f>
        <v>6979131.927255746</v>
      </c>
    </row>
    <row r="25" spans="2:19" x14ac:dyDescent="0.2">
      <c r="B25" s="2" t="s">
        <v>209</v>
      </c>
      <c r="C25" s="2" t="s">
        <v>208</v>
      </c>
      <c r="E25" s="2" t="s">
        <v>91</v>
      </c>
      <c r="I25" s="40">
        <f>SUM(K25:P25,R25:S25)</f>
        <v>21849795.006906226</v>
      </c>
      <c r="K25" s="39">
        <f>'4) Kapitaalkosten start-GAW'!K36</f>
        <v>2823334.5168451569</v>
      </c>
      <c r="L25" s="56"/>
      <c r="M25" s="56"/>
      <c r="N25" s="56"/>
      <c r="O25" s="56"/>
      <c r="P25" s="56"/>
      <c r="R25" s="39">
        <f>'4) Kapitaalkosten start-GAW'!R36</f>
        <v>12030777.438631335</v>
      </c>
      <c r="S25" s="39">
        <f>'4) Kapitaalkosten start-GAW'!S36</f>
        <v>6995683.0514297355</v>
      </c>
    </row>
    <row r="27" spans="2:19" s="7" customFormat="1" x14ac:dyDescent="0.2">
      <c r="B27" s="7" t="s">
        <v>232</v>
      </c>
    </row>
    <row r="28" spans="2:19" s="8" customFormat="1" x14ac:dyDescent="0.2">
      <c r="I28" s="91"/>
      <c r="K28" s="91"/>
      <c r="L28" s="57"/>
      <c r="M28" s="57"/>
      <c r="N28" s="57"/>
      <c r="O28" s="57"/>
      <c r="P28" s="57"/>
      <c r="R28" s="91"/>
      <c r="S28" s="91"/>
    </row>
    <row r="29" spans="2:19" s="8" customFormat="1" x14ac:dyDescent="0.2">
      <c r="B29" s="8" t="s">
        <v>107</v>
      </c>
      <c r="C29" s="8" t="s">
        <v>208</v>
      </c>
      <c r="E29" s="8" t="s">
        <v>185</v>
      </c>
      <c r="I29" s="40">
        <f>SUM(K29:P29,R29:S29)</f>
        <v>27753930.680513281</v>
      </c>
      <c r="K29" s="40">
        <f>K25*(1+$G$13)^5*(1-$G$20)^5</f>
        <v>3586240.9896135661</v>
      </c>
      <c r="L29" s="56"/>
      <c r="M29" s="56"/>
      <c r="N29" s="56"/>
      <c r="O29" s="56"/>
      <c r="P29" s="56"/>
      <c r="R29" s="40">
        <f>R25*(1+$G$13)^5*(1-$G$20)^5</f>
        <v>15281670.283813579</v>
      </c>
      <c r="S29" s="40">
        <f>S25*(1+$G$13)^5*(1-$G$20)^5</f>
        <v>8886019.4070861377</v>
      </c>
    </row>
    <row r="30" spans="2:19" s="8" customFormat="1" x14ac:dyDescent="0.2">
      <c r="I30" s="91"/>
      <c r="K30" s="91"/>
      <c r="R30" s="91"/>
      <c r="S30" s="91"/>
    </row>
    <row r="31" spans="2:19" s="8" customFormat="1" x14ac:dyDescent="0.2">
      <c r="B31" s="8" t="s">
        <v>210</v>
      </c>
      <c r="E31" s="8" t="s">
        <v>86</v>
      </c>
      <c r="G31" s="92">
        <f>(1+$G$13-(I29/I24)^(1/5))</f>
        <v>-3.1789540373783565E-2</v>
      </c>
    </row>
    <row r="32" spans="2:19" s="8" customFormat="1" x14ac:dyDescent="0.2">
      <c r="I32" s="91"/>
      <c r="K32" s="91"/>
      <c r="L32" s="57"/>
      <c r="M32" s="57"/>
      <c r="N32" s="57"/>
      <c r="O32" s="57"/>
      <c r="P32" s="57"/>
      <c r="R32" s="91"/>
      <c r="S32" s="91"/>
    </row>
    <row r="33" spans="1:19" x14ac:dyDescent="0.2">
      <c r="A33" s="8"/>
      <c r="B33" s="2" t="s">
        <v>103</v>
      </c>
      <c r="E33" s="2" t="s">
        <v>181</v>
      </c>
      <c r="I33" s="40">
        <f>SUM(K33:P33,R33:S33)</f>
        <v>22851543.195018638</v>
      </c>
      <c r="K33" s="40">
        <f>K24*(1+$G13-$G$31)</f>
        <v>2954266.5340040796</v>
      </c>
      <c r="L33" s="56"/>
      <c r="M33" s="56"/>
      <c r="N33" s="56"/>
      <c r="O33" s="56"/>
      <c r="P33" s="56"/>
      <c r="R33" s="40">
        <f>R24*(1+$G13-$G$31)</f>
        <v>12570656.96289275</v>
      </c>
      <c r="S33" s="40">
        <f>S24*(1+$G13-$G$31)</f>
        <v>7326619.6981218075</v>
      </c>
    </row>
    <row r="34" spans="1:19" x14ac:dyDescent="0.2">
      <c r="A34" s="8"/>
      <c r="B34" s="2" t="s">
        <v>104</v>
      </c>
      <c r="E34" s="2" t="s">
        <v>182</v>
      </c>
      <c r="I34" s="40">
        <f t="shared" ref="I34:I36" si="0">SUM(K34:P34,R34:S34)</f>
        <v>23989311.027530275</v>
      </c>
      <c r="K34" s="40">
        <f>K33*(1+$G14-$G$31)</f>
        <v>3101358.1068737935</v>
      </c>
      <c r="L34" s="56"/>
      <c r="M34" s="56"/>
      <c r="N34" s="56"/>
      <c r="O34" s="56"/>
      <c r="P34" s="56"/>
      <c r="R34" s="40">
        <f t="shared" ref="R34:S37" si="1">R33*(1+$G14-$G$31)</f>
        <v>13196544.195271682</v>
      </c>
      <c r="S34" s="40">
        <f t="shared" si="1"/>
        <v>7691408.7253848016</v>
      </c>
    </row>
    <row r="35" spans="1:19" x14ac:dyDescent="0.2">
      <c r="A35" s="8"/>
      <c r="B35" s="2" t="s">
        <v>105</v>
      </c>
      <c r="E35" s="2" t="s">
        <v>183</v>
      </c>
      <c r="I35" s="40">
        <f t="shared" si="0"/>
        <v>25183727.797474749</v>
      </c>
      <c r="K35" s="40">
        <f>K34*(1+$G15-$G$31)</f>
        <v>3255773.3015495474</v>
      </c>
      <c r="L35" s="56"/>
      <c r="M35" s="56"/>
      <c r="N35" s="56"/>
      <c r="O35" s="56"/>
      <c r="P35" s="56"/>
      <c r="R35" s="40">
        <f t="shared" si="1"/>
        <v>13853594.06527658</v>
      </c>
      <c r="S35" s="40">
        <f t="shared" si="1"/>
        <v>8074360.4306486193</v>
      </c>
    </row>
    <row r="36" spans="1:19" x14ac:dyDescent="0.2">
      <c r="A36" s="8"/>
      <c r="B36" s="2" t="s">
        <v>106</v>
      </c>
      <c r="E36" s="2" t="s">
        <v>184</v>
      </c>
      <c r="I36" s="40">
        <f t="shared" si="0"/>
        <v>26437614.029409491</v>
      </c>
      <c r="K36" s="40">
        <f>K35*(1+$G16-$G$31)</f>
        <v>3417876.7577949353</v>
      </c>
      <c r="L36" s="56"/>
      <c r="M36" s="56"/>
      <c r="N36" s="56"/>
      <c r="O36" s="56"/>
      <c r="P36" s="56"/>
      <c r="R36" s="40">
        <f t="shared" si="1"/>
        <v>14543358.146311676</v>
      </c>
      <c r="S36" s="40">
        <f t="shared" si="1"/>
        <v>8476379.1253028791</v>
      </c>
    </row>
    <row r="37" spans="1:19" x14ac:dyDescent="0.2">
      <c r="B37" s="2" t="s">
        <v>107</v>
      </c>
      <c r="E37" s="2" t="s">
        <v>185</v>
      </c>
      <c r="I37" s="40">
        <f>SUM(K37:P37,R37:S37)</f>
        <v>27753930.680513278</v>
      </c>
      <c r="K37" s="40">
        <f>K36*(1+$G17-$G$31)</f>
        <v>3588051.2706197826</v>
      </c>
      <c r="L37" s="56"/>
      <c r="M37" s="56"/>
      <c r="N37" s="56"/>
      <c r="O37" s="56"/>
      <c r="P37" s="56"/>
      <c r="R37" s="40">
        <f t="shared" si="1"/>
        <v>15267465.263907855</v>
      </c>
      <c r="S37" s="40">
        <f t="shared" si="1"/>
        <v>8898414.1459856424</v>
      </c>
    </row>
    <row r="43" spans="1:19" x14ac:dyDescent="0.2">
      <c r="G43" s="97"/>
    </row>
    <row r="50" spans="7:7" x14ac:dyDescent="0.2">
      <c r="G50" s="53"/>
    </row>
  </sheetData>
  <mergeCells count="1">
    <mergeCell ref="B5:E5"/>
  </mergeCells>
  <phoneticPr fontId="32"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sheetPr>
  <dimension ref="B2:T34"/>
  <sheetViews>
    <sheetView showGridLines="0" zoomScale="85" zoomScaleNormal="85" workbookViewId="0">
      <pane xSplit="4" ySplit="11" topLeftCell="E12" activePane="bottomRight" state="frozen"/>
      <selection activeCell="R6" sqref="R6"/>
      <selection pane="topRight" activeCell="R6" sqref="R6"/>
      <selection pane="bottomLeft" activeCell="R6" sqref="R6"/>
      <selection pane="bottomRight" activeCell="E12" sqref="E12"/>
    </sheetView>
  </sheetViews>
  <sheetFormatPr defaultRowHeight="12.75" x14ac:dyDescent="0.2"/>
  <cols>
    <col min="1" max="1" width="2.7109375" style="2" customWidth="1"/>
    <col min="2" max="2" width="65.5703125" style="2" customWidth="1"/>
    <col min="3" max="3" width="2.7109375" style="2" customWidth="1"/>
    <col min="4" max="4" width="13.7109375" style="2" customWidth="1"/>
    <col min="5" max="5" width="2.7109375" style="2" customWidth="1"/>
    <col min="6" max="6" width="16.5703125" style="2" bestFit="1" customWidth="1"/>
    <col min="7" max="7" width="2.7109375" style="2" customWidth="1"/>
    <col min="8" max="8" width="13.7109375" style="2" customWidth="1"/>
    <col min="9" max="9" width="2.7109375" style="2" customWidth="1"/>
    <col min="10" max="11" width="12.5703125" style="2" customWidth="1"/>
    <col min="12" max="12" width="11.140625" style="2" customWidth="1"/>
    <col min="13" max="13" width="12.5703125" style="2" customWidth="1"/>
    <col min="14" max="14" width="11.7109375" style="2" customWidth="1"/>
    <col min="15" max="15" width="12.5703125" style="2" customWidth="1"/>
    <col min="16" max="16" width="2.7109375" style="2" customWidth="1"/>
    <col min="17" max="17" width="12.5703125" style="2" customWidth="1"/>
    <col min="18" max="18" width="13.5703125" style="2" customWidth="1"/>
    <col min="19" max="19" width="2.7109375" style="2" customWidth="1"/>
    <col min="20" max="23" width="13.7109375" style="2" customWidth="1"/>
    <col min="24" max="24" width="2.85546875" style="2" customWidth="1"/>
    <col min="25" max="25" width="13.7109375" style="2" customWidth="1"/>
    <col min="26" max="26" width="3.28515625" style="2" customWidth="1"/>
    <col min="27" max="31" width="13.7109375" style="2" customWidth="1"/>
    <col min="32" max="16384" width="9.140625" style="2"/>
  </cols>
  <sheetData>
    <row r="2" spans="2:20" s="18" customFormat="1" ht="18" x14ac:dyDescent="0.2">
      <c r="B2" s="18" t="s">
        <v>133</v>
      </c>
    </row>
    <row r="4" spans="2:20" x14ac:dyDescent="0.2">
      <c r="B4" s="28" t="s">
        <v>53</v>
      </c>
    </row>
    <row r="5" spans="2:20" ht="104.25" customHeight="1" x14ac:dyDescent="0.2">
      <c r="B5" s="102" t="s">
        <v>233</v>
      </c>
      <c r="C5" s="102"/>
      <c r="D5" s="102"/>
    </row>
    <row r="6" spans="2:20" x14ac:dyDescent="0.2">
      <c r="B6" s="47"/>
    </row>
    <row r="7" spans="2:20" x14ac:dyDescent="0.2">
      <c r="B7" s="61" t="s">
        <v>162</v>
      </c>
    </row>
    <row r="8" spans="2:20" ht="26.25" customHeight="1" x14ac:dyDescent="0.2">
      <c r="B8" s="102" t="s">
        <v>234</v>
      </c>
      <c r="C8" s="102"/>
      <c r="D8" s="102"/>
    </row>
    <row r="10" spans="2:20" s="7" customFormat="1" x14ac:dyDescent="0.2">
      <c r="B10" s="7" t="s">
        <v>45</v>
      </c>
      <c r="D10" s="7" t="s">
        <v>27</v>
      </c>
      <c r="F10" s="7" t="s">
        <v>28</v>
      </c>
      <c r="H10" s="7" t="s">
        <v>48</v>
      </c>
      <c r="J10" s="7" t="s">
        <v>138</v>
      </c>
      <c r="K10" s="7" t="s">
        <v>75</v>
      </c>
      <c r="L10" s="7" t="s">
        <v>76</v>
      </c>
      <c r="M10" s="7" t="s">
        <v>77</v>
      </c>
      <c r="N10" s="7" t="s">
        <v>78</v>
      </c>
      <c r="O10" s="7" t="s">
        <v>79</v>
      </c>
      <c r="Q10" s="7" t="s">
        <v>74</v>
      </c>
      <c r="R10" s="7" t="s">
        <v>80</v>
      </c>
      <c r="T10" s="7" t="s">
        <v>47</v>
      </c>
    </row>
    <row r="13" spans="2:20" s="7" customFormat="1" x14ac:dyDescent="0.2">
      <c r="B13" s="7" t="s">
        <v>163</v>
      </c>
    </row>
    <row r="15" spans="2:20" x14ac:dyDescent="0.2">
      <c r="B15" s="2" t="s">
        <v>104</v>
      </c>
      <c r="D15" s="2" t="s">
        <v>182</v>
      </c>
      <c r="H15" s="40">
        <f>SUM(J15:O15,Q15:R15)</f>
        <v>15048552.541410219</v>
      </c>
      <c r="J15" s="39">
        <f>'4) Kapitaalkosten start-GAW'!K54</f>
        <v>1931168.4687659731</v>
      </c>
      <c r="K15" s="56"/>
      <c r="L15" s="56"/>
      <c r="M15" s="56"/>
      <c r="N15" s="56"/>
      <c r="O15" s="56"/>
      <c r="Q15" s="39">
        <f>'4) Kapitaalkosten start-GAW'!R54</f>
        <v>11578458.153534502</v>
      </c>
      <c r="R15" s="39">
        <f>'4) Kapitaalkosten start-GAW'!S54</f>
        <v>1538925.9191097431</v>
      </c>
    </row>
    <row r="16" spans="2:20" x14ac:dyDescent="0.2">
      <c r="B16" s="2" t="s">
        <v>105</v>
      </c>
      <c r="D16" s="2" t="s">
        <v>183</v>
      </c>
      <c r="H16" s="40">
        <f t="shared" ref="H16:H18" si="0">SUM(J16:O16,Q16:R16)</f>
        <v>5831681.6824068734</v>
      </c>
      <c r="J16" s="39">
        <f>'4) Kapitaalkosten start-GAW'!K63</f>
        <v>0</v>
      </c>
      <c r="K16" s="56"/>
      <c r="L16" s="56"/>
      <c r="M16" s="56"/>
      <c r="N16" s="56"/>
      <c r="O16" s="56"/>
      <c r="Q16" s="39">
        <f>'4) Kapitaalkosten start-GAW'!R63</f>
        <v>5831681.6824068734</v>
      </c>
      <c r="R16" s="39">
        <f>'4) Kapitaalkosten start-GAW'!S63</f>
        <v>0</v>
      </c>
    </row>
    <row r="17" spans="2:18" x14ac:dyDescent="0.2">
      <c r="B17" s="2" t="s">
        <v>106</v>
      </c>
      <c r="D17" s="2" t="s">
        <v>184</v>
      </c>
      <c r="H17" s="40">
        <f t="shared" si="0"/>
        <v>0</v>
      </c>
      <c r="J17" s="39">
        <f>'4) Kapitaalkosten start-GAW'!K72</f>
        <v>0</v>
      </c>
      <c r="K17" s="56"/>
      <c r="L17" s="56"/>
      <c r="M17" s="56"/>
      <c r="N17" s="56"/>
      <c r="O17" s="56"/>
      <c r="Q17" s="39">
        <f>'4) Kapitaalkosten start-GAW'!R72</f>
        <v>0</v>
      </c>
      <c r="R17" s="39">
        <f>'4) Kapitaalkosten start-GAW'!S72</f>
        <v>0</v>
      </c>
    </row>
    <row r="18" spans="2:18" x14ac:dyDescent="0.2">
      <c r="B18" s="2" t="s">
        <v>107</v>
      </c>
      <c r="D18" s="2" t="s">
        <v>185</v>
      </c>
      <c r="H18" s="40">
        <f t="shared" si="0"/>
        <v>0</v>
      </c>
      <c r="J18" s="39">
        <f>'4) Kapitaalkosten start-GAW'!K81</f>
        <v>0</v>
      </c>
      <c r="K18" s="56"/>
      <c r="L18" s="56"/>
      <c r="M18" s="56"/>
      <c r="N18" s="56"/>
      <c r="O18" s="56"/>
      <c r="Q18" s="39">
        <f>'4) Kapitaalkosten start-GAW'!R81</f>
        <v>0</v>
      </c>
      <c r="R18" s="39">
        <f>'4) Kapitaalkosten start-GAW'!S81</f>
        <v>0</v>
      </c>
    </row>
    <row r="19" spans="2:18" x14ac:dyDescent="0.2">
      <c r="B19" s="55"/>
    </row>
    <row r="20" spans="2:18" s="7" customFormat="1" x14ac:dyDescent="0.2">
      <c r="B20" s="7" t="s">
        <v>117</v>
      </c>
    </row>
    <row r="21" spans="2:18" x14ac:dyDescent="0.2">
      <c r="B21" s="55"/>
    </row>
    <row r="22" spans="2:18" x14ac:dyDescent="0.2">
      <c r="B22" s="2" t="s">
        <v>120</v>
      </c>
      <c r="D22" s="2" t="s">
        <v>182</v>
      </c>
      <c r="H22" s="40">
        <f t="shared" ref="H22:H25" si="1">SUM(J22:O22,Q22:R22)</f>
        <v>23989311.027530275</v>
      </c>
      <c r="J22" s="39">
        <f>'5) Schatting REG2022'!K34</f>
        <v>3101358.1068737935</v>
      </c>
      <c r="K22" s="56"/>
      <c r="L22" s="56"/>
      <c r="M22" s="56"/>
      <c r="N22" s="56"/>
      <c r="O22" s="56"/>
      <c r="Q22" s="39">
        <f>'5) Schatting REG2022'!R34</f>
        <v>13196544.195271682</v>
      </c>
      <c r="R22" s="39">
        <f>'5) Schatting REG2022'!S34</f>
        <v>7691408.7253848016</v>
      </c>
    </row>
    <row r="23" spans="2:18" x14ac:dyDescent="0.2">
      <c r="B23" s="2" t="s">
        <v>121</v>
      </c>
      <c r="D23" s="2" t="s">
        <v>183</v>
      </c>
      <c r="H23" s="40">
        <f t="shared" si="1"/>
        <v>25183727.797474749</v>
      </c>
      <c r="J23" s="39">
        <f>'5) Schatting REG2022'!K35</f>
        <v>3255773.3015495474</v>
      </c>
      <c r="K23" s="56"/>
      <c r="L23" s="56"/>
      <c r="M23" s="56"/>
      <c r="N23" s="56"/>
      <c r="O23" s="56"/>
      <c r="Q23" s="39">
        <f>'5) Schatting REG2022'!R35</f>
        <v>13853594.06527658</v>
      </c>
      <c r="R23" s="39">
        <f>'5) Schatting REG2022'!S35</f>
        <v>8074360.4306486193</v>
      </c>
    </row>
    <row r="24" spans="2:18" x14ac:dyDescent="0.2">
      <c r="B24" s="2" t="s">
        <v>122</v>
      </c>
      <c r="D24" s="2" t="s">
        <v>184</v>
      </c>
      <c r="H24" s="40">
        <f t="shared" si="1"/>
        <v>26437614.029409491</v>
      </c>
      <c r="J24" s="39">
        <f>'5) Schatting REG2022'!K36</f>
        <v>3417876.7577949353</v>
      </c>
      <c r="K24" s="56"/>
      <c r="L24" s="56"/>
      <c r="M24" s="56"/>
      <c r="N24" s="56"/>
      <c r="O24" s="56"/>
      <c r="Q24" s="39">
        <f>'5) Schatting REG2022'!R36</f>
        <v>14543358.146311676</v>
      </c>
      <c r="R24" s="39">
        <f>'5) Schatting REG2022'!S36</f>
        <v>8476379.1253028791</v>
      </c>
    </row>
    <row r="25" spans="2:18" x14ac:dyDescent="0.2">
      <c r="B25" s="2" t="s">
        <v>123</v>
      </c>
      <c r="D25" s="2" t="s">
        <v>185</v>
      </c>
      <c r="H25" s="40">
        <f t="shared" si="1"/>
        <v>27753930.680513278</v>
      </c>
      <c r="J25" s="39">
        <f>'5) Schatting REG2022'!K37</f>
        <v>3588051.2706197826</v>
      </c>
      <c r="K25" s="56"/>
      <c r="L25" s="56"/>
      <c r="M25" s="56"/>
      <c r="N25" s="56"/>
      <c r="O25" s="56"/>
      <c r="Q25" s="39">
        <f>'5) Schatting REG2022'!R37</f>
        <v>15267465.263907855</v>
      </c>
      <c r="R25" s="39">
        <f>'5) Schatting REG2022'!S37</f>
        <v>8898414.1459856424</v>
      </c>
    </row>
    <row r="26" spans="2:18" x14ac:dyDescent="0.2">
      <c r="B26" s="55"/>
    </row>
    <row r="27" spans="2:18" s="7" customFormat="1" x14ac:dyDescent="0.2">
      <c r="B27" s="7" t="s">
        <v>135</v>
      </c>
    </row>
    <row r="28" spans="2:18" x14ac:dyDescent="0.2">
      <c r="B28" s="55"/>
    </row>
    <row r="29" spans="2:18" x14ac:dyDescent="0.2">
      <c r="B29" s="58" t="s">
        <v>124</v>
      </c>
      <c r="D29" s="2" t="s">
        <v>182</v>
      </c>
      <c r="H29" s="40">
        <f t="shared" ref="H29:H32" si="2">SUM(J29:O29,Q29:R29)</f>
        <v>7322672.444382879</v>
      </c>
      <c r="J29" s="33">
        <f>J22-J15</f>
        <v>1170189.6381078204</v>
      </c>
      <c r="K29" s="56"/>
      <c r="L29" s="56"/>
      <c r="M29" s="56"/>
      <c r="N29" s="56"/>
      <c r="O29" s="56"/>
      <c r="Q29" s="54"/>
      <c r="R29" s="33">
        <f>R22-R15</f>
        <v>6152482.8062750585</v>
      </c>
    </row>
    <row r="30" spans="2:18" x14ac:dyDescent="0.2">
      <c r="B30" s="58" t="s">
        <v>125</v>
      </c>
      <c r="D30" s="2" t="s">
        <v>183</v>
      </c>
      <c r="H30" s="40">
        <f t="shared" si="2"/>
        <v>19352046.115067873</v>
      </c>
      <c r="J30" s="40">
        <f>J23-J16</f>
        <v>3255773.3015495474</v>
      </c>
      <c r="K30" s="56"/>
      <c r="L30" s="56"/>
      <c r="M30" s="56"/>
      <c r="N30" s="56"/>
      <c r="O30" s="56"/>
      <c r="Q30" s="33">
        <f>Q23-Q16</f>
        <v>8021912.3828697065</v>
      </c>
      <c r="R30" s="40">
        <f>R23-R16</f>
        <v>8074360.4306486193</v>
      </c>
    </row>
    <row r="31" spans="2:18" x14ac:dyDescent="0.2">
      <c r="B31" s="58" t="s">
        <v>126</v>
      </c>
      <c r="D31" s="2" t="s">
        <v>184</v>
      </c>
      <c r="H31" s="40">
        <f t="shared" si="2"/>
        <v>26437614.029409491</v>
      </c>
      <c r="J31" s="40">
        <f>J24-J17</f>
        <v>3417876.7577949353</v>
      </c>
      <c r="K31" s="56"/>
      <c r="L31" s="56"/>
      <c r="M31" s="56"/>
      <c r="N31" s="56"/>
      <c r="O31" s="56"/>
      <c r="Q31" s="40">
        <f>Q24-Q17</f>
        <v>14543358.146311676</v>
      </c>
      <c r="R31" s="40">
        <f>R24-R17</f>
        <v>8476379.1253028791</v>
      </c>
    </row>
    <row r="32" spans="2:18" x14ac:dyDescent="0.2">
      <c r="B32" s="58" t="s">
        <v>127</v>
      </c>
      <c r="D32" s="2" t="s">
        <v>185</v>
      </c>
      <c r="H32" s="40">
        <f t="shared" si="2"/>
        <v>27753930.680513278</v>
      </c>
      <c r="J32" s="40">
        <f>J25-J18</f>
        <v>3588051.2706197826</v>
      </c>
      <c r="K32" s="56"/>
      <c r="L32" s="56"/>
      <c r="M32" s="56"/>
      <c r="N32" s="56"/>
      <c r="O32" s="56"/>
      <c r="Q32" s="40">
        <f>Q25-Q18</f>
        <v>15267465.263907855</v>
      </c>
      <c r="R32" s="40">
        <f>R25-R18</f>
        <v>8898414.1459856424</v>
      </c>
    </row>
    <row r="33" spans="2:2" x14ac:dyDescent="0.2">
      <c r="B33" s="55"/>
    </row>
    <row r="34" spans="2:2" x14ac:dyDescent="0.2">
      <c r="B34" s="55"/>
    </row>
  </sheetData>
  <mergeCells count="2">
    <mergeCell ref="B5:D5"/>
    <mergeCell ref="B8:D8"/>
  </mergeCells>
  <phoneticPr fontId="32" type="noConversion"/>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CC"/>
  </sheetPr>
  <dimension ref="B2:T94"/>
  <sheetViews>
    <sheetView showGridLines="0" zoomScale="85" zoomScaleNormal="85" workbookViewId="0">
      <pane xSplit="4" ySplit="14" topLeftCell="E15" activePane="bottomRight" state="frozen"/>
      <selection activeCell="R6" sqref="R6"/>
      <selection pane="topRight" activeCell="R6" sqref="R6"/>
      <selection pane="bottomLeft" activeCell="R6" sqref="R6"/>
      <selection pane="bottomRight" activeCell="E15" sqref="E15"/>
    </sheetView>
  </sheetViews>
  <sheetFormatPr defaultRowHeight="12.75" x14ac:dyDescent="0.2"/>
  <cols>
    <col min="1" max="1" width="2.7109375" style="2" customWidth="1"/>
    <col min="2" max="2" width="41.5703125" style="2" customWidth="1"/>
    <col min="3" max="3" width="2.7109375" style="2" customWidth="1"/>
    <col min="4" max="4" width="13.7109375" style="2" customWidth="1"/>
    <col min="5" max="5" width="2.7109375" style="2" customWidth="1"/>
    <col min="6" max="6" width="16.5703125" style="2" bestFit="1" customWidth="1"/>
    <col min="7" max="7" width="2.7109375" style="2" customWidth="1"/>
    <col min="8" max="8" width="13.7109375" style="2" customWidth="1"/>
    <col min="9" max="9" width="2.7109375" style="2" customWidth="1"/>
    <col min="10" max="11" width="12.5703125" style="2" customWidth="1"/>
    <col min="12" max="12" width="11.140625" style="2" customWidth="1"/>
    <col min="13" max="13" width="12.5703125" style="2" customWidth="1"/>
    <col min="14" max="14" width="11.7109375" style="2" customWidth="1"/>
    <col min="15" max="15" width="12.5703125" style="2" customWidth="1"/>
    <col min="16" max="16" width="2.7109375" style="2" customWidth="1"/>
    <col min="17" max="17" width="12.5703125" style="2" customWidth="1"/>
    <col min="18" max="18" width="13.5703125" style="2" customWidth="1"/>
    <col min="19" max="19" width="2.7109375" style="2" customWidth="1"/>
    <col min="20" max="23" width="13.7109375" style="2" customWidth="1"/>
    <col min="24" max="24" width="2.85546875" style="2" customWidth="1"/>
    <col min="25" max="25" width="13.7109375" style="2" customWidth="1"/>
    <col min="26" max="26" width="3.28515625" style="2" customWidth="1"/>
    <col min="27" max="31" width="13.7109375" style="2" customWidth="1"/>
    <col min="32" max="16384" width="9.140625" style="2"/>
  </cols>
  <sheetData>
    <row r="2" spans="2:20" s="18" customFormat="1" ht="18" x14ac:dyDescent="0.2">
      <c r="B2" s="18" t="s">
        <v>132</v>
      </c>
    </row>
    <row r="4" spans="2:20" x14ac:dyDescent="0.2">
      <c r="B4" s="28" t="s">
        <v>53</v>
      </c>
    </row>
    <row r="5" spans="2:20" ht="116.25" customHeight="1" x14ac:dyDescent="0.2">
      <c r="B5" s="102" t="s">
        <v>235</v>
      </c>
      <c r="C5" s="102"/>
      <c r="D5" s="102"/>
      <c r="E5" s="102"/>
      <c r="F5" s="102"/>
      <c r="G5" s="102"/>
      <c r="H5" s="102"/>
    </row>
    <row r="6" spans="2:20" ht="11.25" customHeight="1" x14ac:dyDescent="0.2">
      <c r="B6" s="69"/>
      <c r="C6" s="69"/>
      <c r="D6" s="69"/>
      <c r="E6" s="69"/>
      <c r="F6" s="69"/>
      <c r="G6" s="69"/>
      <c r="H6" s="69"/>
    </row>
    <row r="7" spans="2:20" x14ac:dyDescent="0.2">
      <c r="B7" s="61" t="s">
        <v>0</v>
      </c>
    </row>
    <row r="8" spans="2:20" ht="90" customHeight="1" x14ac:dyDescent="0.2">
      <c r="B8" s="102" t="s">
        <v>205</v>
      </c>
      <c r="C8" s="102"/>
      <c r="D8" s="102"/>
      <c r="E8" s="102"/>
      <c r="F8" s="102"/>
      <c r="G8" s="102"/>
      <c r="H8" s="102"/>
    </row>
    <row r="9" spans="2:20" x14ac:dyDescent="0.2">
      <c r="B9" s="47"/>
    </row>
    <row r="10" spans="2:20" x14ac:dyDescent="0.2">
      <c r="B10" s="29" t="s">
        <v>30</v>
      </c>
    </row>
    <row r="11" spans="2:20" ht="28.5" customHeight="1" x14ac:dyDescent="0.2">
      <c r="B11" s="102" t="s">
        <v>119</v>
      </c>
      <c r="C11" s="102"/>
      <c r="D11" s="102"/>
      <c r="E11" s="102"/>
      <c r="F11" s="102"/>
      <c r="G11" s="102"/>
      <c r="H11" s="102"/>
    </row>
    <row r="13" spans="2:20" s="7" customFormat="1" x14ac:dyDescent="0.2">
      <c r="B13" s="7" t="s">
        <v>45</v>
      </c>
      <c r="D13" s="7" t="s">
        <v>27</v>
      </c>
      <c r="F13" s="7" t="s">
        <v>28</v>
      </c>
      <c r="H13" s="7" t="s">
        <v>48</v>
      </c>
      <c r="J13" s="7" t="s">
        <v>138</v>
      </c>
      <c r="K13" s="7" t="s">
        <v>75</v>
      </c>
      <c r="L13" s="7" t="s">
        <v>76</v>
      </c>
      <c r="M13" s="7" t="s">
        <v>77</v>
      </c>
      <c r="N13" s="7" t="s">
        <v>78</v>
      </c>
      <c r="O13" s="7" t="s">
        <v>79</v>
      </c>
      <c r="Q13" s="7" t="s">
        <v>74</v>
      </c>
      <c r="R13" s="7" t="s">
        <v>80</v>
      </c>
      <c r="T13" s="7" t="s">
        <v>47</v>
      </c>
    </row>
    <row r="16" spans="2:20" s="7" customFormat="1" x14ac:dyDescent="0.2">
      <c r="B16" s="7" t="s">
        <v>93</v>
      </c>
    </row>
    <row r="18" spans="2:10" x14ac:dyDescent="0.2">
      <c r="B18" s="1" t="s">
        <v>203</v>
      </c>
    </row>
    <row r="19" spans="2:10" x14ac:dyDescent="0.2">
      <c r="B19" s="2" t="s">
        <v>187</v>
      </c>
      <c r="D19" s="2" t="s">
        <v>86</v>
      </c>
      <c r="F19" s="52">
        <f>'2) Parameters'!J27</f>
        <v>1.8080999999999792E-2</v>
      </c>
    </row>
    <row r="20" spans="2:10" x14ac:dyDescent="0.2">
      <c r="B20" s="2" t="s">
        <v>188</v>
      </c>
      <c r="D20" s="2" t="s">
        <v>86</v>
      </c>
      <c r="F20" s="52">
        <f>'2) Parameters'!J28</f>
        <v>2.7243728999999606E-2</v>
      </c>
    </row>
    <row r="21" spans="2:10" x14ac:dyDescent="0.2">
      <c r="B21" s="2" t="s">
        <v>189</v>
      </c>
      <c r="D21" s="2" t="s">
        <v>86</v>
      </c>
      <c r="F21" s="52">
        <f>'2) Parameters'!J29</f>
        <v>3.6488922560999448E-2</v>
      </c>
    </row>
    <row r="22" spans="2:10" x14ac:dyDescent="0.2">
      <c r="B22" s="2" t="s">
        <v>190</v>
      </c>
      <c r="D22" s="2" t="s">
        <v>86</v>
      </c>
      <c r="F22" s="52">
        <f>'2) Parameters'!J30</f>
        <v>4.5817322864048382E-2</v>
      </c>
    </row>
    <row r="23" spans="2:10" x14ac:dyDescent="0.2">
      <c r="B23" s="2" t="s">
        <v>191</v>
      </c>
      <c r="D23" s="2" t="s">
        <v>86</v>
      </c>
      <c r="F23" s="52">
        <f>'2) Parameters'!K27</f>
        <v>9.0000000000000011E-3</v>
      </c>
    </row>
    <row r="24" spans="2:10" x14ac:dyDescent="0.2">
      <c r="B24" s="2" t="s">
        <v>192</v>
      </c>
      <c r="D24" s="2" t="s">
        <v>86</v>
      </c>
      <c r="F24" s="52">
        <f>'2) Parameters'!K28</f>
        <v>1.8080999999999792E-2</v>
      </c>
    </row>
    <row r="25" spans="2:10" x14ac:dyDescent="0.2">
      <c r="B25" s="2" t="s">
        <v>193</v>
      </c>
      <c r="D25" s="2" t="s">
        <v>86</v>
      </c>
      <c r="F25" s="52">
        <f>'2) Parameters'!K29</f>
        <v>2.7243728999999606E-2</v>
      </c>
    </row>
    <row r="26" spans="2:10" x14ac:dyDescent="0.2">
      <c r="B26" s="2" t="s">
        <v>194</v>
      </c>
      <c r="D26" s="2" t="s">
        <v>86</v>
      </c>
      <c r="F26" s="52">
        <f>'2) Parameters'!K30</f>
        <v>3.6488922560999448E-2</v>
      </c>
    </row>
    <row r="27" spans="2:10" x14ac:dyDescent="0.2">
      <c r="B27" s="2" t="s">
        <v>178</v>
      </c>
      <c r="D27" s="2" t="s">
        <v>86</v>
      </c>
      <c r="F27" s="52">
        <f>'2) Parameters'!L28</f>
        <v>9.0000000000000011E-3</v>
      </c>
    </row>
    <row r="28" spans="2:10" x14ac:dyDescent="0.2">
      <c r="B28" s="2" t="s">
        <v>195</v>
      </c>
      <c r="D28" s="2" t="s">
        <v>86</v>
      </c>
      <c r="F28" s="52">
        <f>'2) Parameters'!L29</f>
        <v>1.8080999999999792E-2</v>
      </c>
    </row>
    <row r="29" spans="2:10" x14ac:dyDescent="0.2">
      <c r="B29" s="2" t="s">
        <v>196</v>
      </c>
      <c r="D29" s="2" t="s">
        <v>86</v>
      </c>
      <c r="F29" s="52">
        <f>'2) Parameters'!L30</f>
        <v>2.7243728999999606E-2</v>
      </c>
    </row>
    <row r="30" spans="2:10" x14ac:dyDescent="0.2">
      <c r="B30" s="2" t="s">
        <v>179</v>
      </c>
      <c r="D30" s="2" t="s">
        <v>86</v>
      </c>
      <c r="F30" s="52">
        <f>'2) Parameters'!M29</f>
        <v>9.0000000000000011E-3</v>
      </c>
      <c r="J30" s="25"/>
    </row>
    <row r="31" spans="2:10" x14ac:dyDescent="0.2">
      <c r="B31" s="2" t="s">
        <v>197</v>
      </c>
      <c r="D31" s="2" t="s">
        <v>86</v>
      </c>
      <c r="F31" s="52">
        <f>'2) Parameters'!M30</f>
        <v>1.8080999999999792E-2</v>
      </c>
    </row>
    <row r="33" spans="2:18" x14ac:dyDescent="0.2">
      <c r="B33" s="1" t="s">
        <v>140</v>
      </c>
    </row>
    <row r="34" spans="2:18" x14ac:dyDescent="0.2">
      <c r="B34" s="2" t="s">
        <v>143</v>
      </c>
      <c r="F34" s="52">
        <f>'2) Parameters'!L39</f>
        <v>2.3E-2</v>
      </c>
    </row>
    <row r="35" spans="2:18" x14ac:dyDescent="0.2">
      <c r="B35" s="2" t="s">
        <v>144</v>
      </c>
      <c r="F35" s="52">
        <f>'2) Parameters'!M39</f>
        <v>2.8000000000000001E-2</v>
      </c>
    </row>
    <row r="36" spans="2:18" x14ac:dyDescent="0.2">
      <c r="B36" s="2" t="s">
        <v>145</v>
      </c>
      <c r="F36" s="52">
        <f>'2) Parameters'!N39</f>
        <v>2.8000000000000001E-2</v>
      </c>
    </row>
    <row r="37" spans="2:18" x14ac:dyDescent="0.2">
      <c r="B37" s="2" t="s">
        <v>146</v>
      </c>
      <c r="F37" s="52">
        <f>'2) Parameters'!O39</f>
        <v>2.8000000000000001E-2</v>
      </c>
    </row>
    <row r="38" spans="2:18" s="8" customFormat="1" x14ac:dyDescent="0.2">
      <c r="F38" s="45"/>
    </row>
    <row r="39" spans="2:18" s="8" customFormat="1" x14ac:dyDescent="0.2">
      <c r="B39" s="55" t="s">
        <v>90</v>
      </c>
      <c r="F39" s="45"/>
    </row>
    <row r="40" spans="2:18" x14ac:dyDescent="0.2">
      <c r="B40" s="2" t="s">
        <v>206</v>
      </c>
      <c r="F40" s="52">
        <f>'2) Parameters'!F34</f>
        <v>-3.0451719992511186E-2</v>
      </c>
    </row>
    <row r="42" spans="2:18" s="7" customFormat="1" x14ac:dyDescent="0.2">
      <c r="B42" s="7" t="s">
        <v>94</v>
      </c>
    </row>
    <row r="44" spans="2:18" x14ac:dyDescent="0.2">
      <c r="B44" s="1" t="s">
        <v>92</v>
      </c>
    </row>
    <row r="45" spans="2:18" x14ac:dyDescent="0.2">
      <c r="B45" s="2" t="s">
        <v>95</v>
      </c>
      <c r="J45" s="39">
        <f>'3) Import GAW'!J12</f>
        <v>22.7039087285122</v>
      </c>
      <c r="K45" s="56"/>
      <c r="L45" s="56"/>
      <c r="M45" s="56"/>
      <c r="N45" s="56"/>
      <c r="O45" s="56"/>
      <c r="Q45" s="39">
        <f>'3) Import GAW'!Q12</f>
        <v>23.504971529317128</v>
      </c>
      <c r="R45" s="39">
        <f>'3) Import GAW'!R12</f>
        <v>22.223477539741737</v>
      </c>
    </row>
    <row r="47" spans="2:18" x14ac:dyDescent="0.2">
      <c r="B47" s="1" t="s">
        <v>168</v>
      </c>
    </row>
    <row r="48" spans="2:18" x14ac:dyDescent="0.2">
      <c r="B48" s="2" t="s">
        <v>167</v>
      </c>
      <c r="D48" s="2" t="s">
        <v>91</v>
      </c>
      <c r="H48" s="40">
        <f t="shared" ref="H48:H51" si="0">SUM(J48:O48,Q48:R48)</f>
        <v>20700990.575905338</v>
      </c>
      <c r="J48" s="39">
        <f>'4) Kapitaalkosten start-GAW'!K29</f>
        <v>2694768.6039677551</v>
      </c>
      <c r="K48" s="56"/>
      <c r="L48" s="56"/>
      <c r="M48" s="56"/>
      <c r="N48" s="56"/>
      <c r="O48" s="56"/>
      <c r="Q48" s="39">
        <f>'4) Kapitaalkosten start-GAW'!R29</f>
        <v>11242254.658943705</v>
      </c>
      <c r="R48" s="39">
        <f>'4) Kapitaalkosten start-GAW'!S29</f>
        <v>6763967.3129938785</v>
      </c>
    </row>
    <row r="49" spans="2:18" x14ac:dyDescent="0.2">
      <c r="B49" s="2" t="s">
        <v>186</v>
      </c>
      <c r="D49" s="2" t="s">
        <v>181</v>
      </c>
      <c r="H49" s="40">
        <f t="shared" si="0"/>
        <v>20887299.491088487</v>
      </c>
      <c r="J49" s="39">
        <f>'4) Kapitaalkosten start-GAW'!K41</f>
        <v>2719021.5214034645</v>
      </c>
      <c r="K49" s="56"/>
      <c r="L49" s="56"/>
      <c r="M49" s="56"/>
      <c r="N49" s="56"/>
      <c r="O49" s="56"/>
      <c r="Q49" s="39">
        <f>'4) Kapitaalkosten start-GAW'!R41</f>
        <v>11343434.950874198</v>
      </c>
      <c r="R49" s="39">
        <f>'4) Kapitaalkosten start-GAW'!S41</f>
        <v>6824843.0188108226</v>
      </c>
    </row>
    <row r="50" spans="2:18" x14ac:dyDescent="0.2">
      <c r="B50" s="2" t="s">
        <v>165</v>
      </c>
      <c r="D50" s="2" t="s">
        <v>182</v>
      </c>
      <c r="H50" s="40">
        <f t="shared" si="0"/>
        <v>14915620.253307782</v>
      </c>
      <c r="J50" s="39">
        <f>'4) Kapitaalkosten start-GAW'!K50</f>
        <v>1931168.4687659731</v>
      </c>
      <c r="K50" s="56"/>
      <c r="L50" s="56"/>
      <c r="M50" s="56"/>
      <c r="N50" s="56"/>
      <c r="O50" s="56"/>
      <c r="Q50" s="39">
        <f>'4) Kapitaalkosten start-GAW'!R50</f>
        <v>11445525.865432065</v>
      </c>
      <c r="R50" s="39">
        <f>'4) Kapitaalkosten start-GAW'!S50</f>
        <v>1538925.9191097431</v>
      </c>
    </row>
    <row r="51" spans="2:18" x14ac:dyDescent="0.2">
      <c r="B51" s="2" t="s">
        <v>166</v>
      </c>
      <c r="D51" s="2" t="s">
        <v>183</v>
      </c>
      <c r="H51" s="40">
        <f t="shared" si="0"/>
        <v>5831681.6824068734</v>
      </c>
      <c r="J51" s="39">
        <f>'4) Kapitaalkosten start-GAW'!K59</f>
        <v>0</v>
      </c>
      <c r="K51" s="56"/>
      <c r="L51" s="56"/>
      <c r="M51" s="56"/>
      <c r="N51" s="56"/>
      <c r="O51" s="56"/>
      <c r="Q51" s="39">
        <f>'4) Kapitaalkosten start-GAW'!R59</f>
        <v>5831681.6824068734</v>
      </c>
      <c r="R51" s="39">
        <f>'4) Kapitaalkosten start-GAW'!S59</f>
        <v>0</v>
      </c>
    </row>
    <row r="52" spans="2:18" x14ac:dyDescent="0.2">
      <c r="B52" s="55"/>
    </row>
    <row r="53" spans="2:18" s="7" customFormat="1" x14ac:dyDescent="0.2">
      <c r="B53" s="7" t="s">
        <v>108</v>
      </c>
    </row>
    <row r="54" spans="2:18" x14ac:dyDescent="0.2">
      <c r="B54" s="55"/>
    </row>
    <row r="55" spans="2:18" x14ac:dyDescent="0.2">
      <c r="B55" s="55" t="s">
        <v>128</v>
      </c>
    </row>
    <row r="56" spans="2:18" x14ac:dyDescent="0.2">
      <c r="B56" s="58" t="s">
        <v>109</v>
      </c>
      <c r="D56" s="59" t="s">
        <v>91</v>
      </c>
      <c r="H56" s="40">
        <f t="shared" ref="H56:H61" si="1">SUM(J56:O56,Q56:R56)</f>
        <v>0</v>
      </c>
      <c r="J56" s="54"/>
      <c r="K56" s="56"/>
      <c r="L56" s="56"/>
      <c r="M56" s="56"/>
      <c r="N56" s="56"/>
      <c r="O56" s="56"/>
      <c r="Q56" s="54"/>
      <c r="R56" s="54"/>
    </row>
    <row r="57" spans="2:18" x14ac:dyDescent="0.2">
      <c r="B57" s="58" t="s">
        <v>110</v>
      </c>
      <c r="D57" s="59" t="s">
        <v>181</v>
      </c>
      <c r="H57" s="40">
        <f t="shared" si="1"/>
        <v>0</v>
      </c>
      <c r="J57" s="54"/>
      <c r="K57" s="56"/>
      <c r="L57" s="56"/>
      <c r="M57" s="56"/>
      <c r="N57" s="56"/>
      <c r="O57" s="56"/>
      <c r="Q57" s="54"/>
      <c r="R57" s="54"/>
    </row>
    <row r="58" spans="2:18" x14ac:dyDescent="0.2">
      <c r="B58" s="58" t="s">
        <v>111</v>
      </c>
      <c r="D58" s="59" t="s">
        <v>182</v>
      </c>
      <c r="H58" s="40">
        <f>SUM(J58:O58,Q58:R58)</f>
        <v>666215.41109760106</v>
      </c>
      <c r="J58" s="40">
        <f>(($J$48*(1+$F19)-($J$48*(1+$F19)/$J$45*2.5))*$F$34+($J$48*(1+$F19)/$J$45))*(1-$F$40)^2</f>
        <v>187933.48319686222</v>
      </c>
      <c r="K58" s="56"/>
      <c r="L58" s="56"/>
      <c r="M58" s="56"/>
      <c r="N58" s="56"/>
      <c r="O58" s="56"/>
      <c r="Q58" s="54"/>
      <c r="R58" s="40">
        <f>(($R$48*(1+$F19)-($R$48*(1+$F19)/$R$45*2.5))*$F$34+($R$48*(1+$F19)/$R$45))*(1-$F$40)^2</f>
        <v>478281.9279007389</v>
      </c>
    </row>
    <row r="59" spans="2:18" x14ac:dyDescent="0.2">
      <c r="B59" s="58" t="s">
        <v>112</v>
      </c>
      <c r="D59" s="59" t="s">
        <v>183</v>
      </c>
      <c r="H59" s="40">
        <f t="shared" si="1"/>
        <v>1565293.6505253678</v>
      </c>
      <c r="J59" s="40">
        <f>(($J$48*(1+$F20)-($J$48*(1+$F20)/$J$45*3.5))*$F$35+($J$48*(1+$F20)/$J$45))*(1-$F$40)^3</f>
        <v>205140.57692195426</v>
      </c>
      <c r="K59" s="56"/>
      <c r="L59" s="56"/>
      <c r="M59" s="56"/>
      <c r="N59" s="56"/>
      <c r="O59" s="56"/>
      <c r="Q59" s="40">
        <f>(($Q$48*(1+$F20)-($Q$48*(1+$F20)/$Q$45*3.5))*$F$35+($Q$48*(1+$F20)/$Q$45))*(1-$F$40)^3</f>
        <v>838713.20974049612</v>
      </c>
      <c r="R59" s="40">
        <f>(($R$48*(1+$F20)-($R$48*(1+$F20)/$R$45*3.5))*$F$35+($R$48*(1+$F20)/$R$45))*(1-$F$40)^3</f>
        <v>521439.86386291753</v>
      </c>
    </row>
    <row r="60" spans="2:18" x14ac:dyDescent="0.2">
      <c r="B60" s="58" t="s">
        <v>113</v>
      </c>
      <c r="D60" s="59" t="s">
        <v>184</v>
      </c>
      <c r="H60" s="40">
        <f t="shared" si="1"/>
        <v>1597982.7777817466</v>
      </c>
      <c r="J60" s="40">
        <f>(($J$48*(1+$F21)-($J$48*(1+$F21)/$J$45*4.5))*$F$36+($J$48*(1+$F21)/$J$45))*(1-$F$40)^4</f>
        <v>209406.17180144426</v>
      </c>
      <c r="K60" s="56"/>
      <c r="L60" s="56"/>
      <c r="M60" s="56"/>
      <c r="N60" s="56"/>
      <c r="O60" s="56"/>
      <c r="Q60" s="40">
        <f>(($Q$48*(1+$F21)-($Q$48*(1+$F21)/$Q$45*4.5))*$F$36+($Q$48*(1+$F21)/$Q$45))*(1-$F$40)^4</f>
        <v>856381.2953768858</v>
      </c>
      <c r="R60" s="40">
        <f>(($R$48*(1+$F21)-($R$48*(1+$F21)/$R$45*4.5))*$F$36+($R$48*(1+$F21)/$R$45))*(1-$F$40)^4</f>
        <v>532195.31060341652</v>
      </c>
    </row>
    <row r="61" spans="2:18" x14ac:dyDescent="0.2">
      <c r="B61" s="58" t="s">
        <v>114</v>
      </c>
      <c r="D61" s="59" t="s">
        <v>185</v>
      </c>
      <c r="H61" s="40">
        <f t="shared" si="1"/>
        <v>1630798.8581112551</v>
      </c>
      <c r="J61" s="40">
        <f>(($J$48*(1+$F22)-($J$48*(1+$F22)/$J$45*5.5))*$F$37+($J$48*(1+$F22)/$J$45))*(1-$F$40)^5</f>
        <v>213686.93474889992</v>
      </c>
      <c r="K61" s="56"/>
      <c r="L61" s="56"/>
      <c r="M61" s="56"/>
      <c r="N61" s="56"/>
      <c r="O61" s="56"/>
      <c r="Q61" s="40">
        <f>(($Q$48*(1+$F22)-($Q$48*(1+$F22)/$Q$45*5.5))*$F$37+($Q$48*(1+$F22)/$Q$45))*(1-$F$40)^5</f>
        <v>874129.53295894433</v>
      </c>
      <c r="R61" s="40">
        <f>(($R$48*(1+$F22)-($R$48*(1+$F22)/$R$45*5.5))*$F$37+($R$48*(1+$F22)/$R$45))*(1-$F$40)^5</f>
        <v>542982.39040341089</v>
      </c>
    </row>
    <row r="62" spans="2:18" x14ac:dyDescent="0.2">
      <c r="B62" s="55"/>
      <c r="D62" s="59"/>
    </row>
    <row r="63" spans="2:18" x14ac:dyDescent="0.2">
      <c r="B63" s="55" t="s">
        <v>129</v>
      </c>
      <c r="D63" s="59"/>
    </row>
    <row r="64" spans="2:18" x14ac:dyDescent="0.2">
      <c r="B64" s="58" t="s">
        <v>109</v>
      </c>
      <c r="D64" s="59" t="s">
        <v>91</v>
      </c>
      <c r="H64" s="40">
        <f t="shared" ref="H64:H69" si="2">SUM(J64:O64,Q64:R64)</f>
        <v>0</v>
      </c>
      <c r="J64" s="56"/>
      <c r="K64" s="56"/>
      <c r="L64" s="56"/>
      <c r="M64" s="56"/>
      <c r="N64" s="56"/>
      <c r="O64" s="56"/>
      <c r="Q64" s="56"/>
      <c r="R64" s="56"/>
    </row>
    <row r="65" spans="2:18" x14ac:dyDescent="0.2">
      <c r="B65" s="58" t="s">
        <v>110</v>
      </c>
      <c r="D65" s="59" t="s">
        <v>181</v>
      </c>
      <c r="H65" s="40">
        <f t="shared" si="2"/>
        <v>0</v>
      </c>
      <c r="J65" s="54"/>
      <c r="K65" s="56"/>
      <c r="L65" s="56"/>
      <c r="M65" s="56"/>
      <c r="N65" s="56"/>
      <c r="O65" s="56"/>
      <c r="Q65" s="54"/>
      <c r="R65" s="54"/>
    </row>
    <row r="66" spans="2:18" x14ac:dyDescent="0.2">
      <c r="B66" s="58" t="s">
        <v>111</v>
      </c>
      <c r="D66" s="59" t="s">
        <v>182</v>
      </c>
      <c r="H66" s="40">
        <f t="shared" si="2"/>
        <v>656735.35018512548</v>
      </c>
      <c r="J66" s="40">
        <f>(($J$49*(1+$F23)-($J$49*(1+$F23)/$J$45*1.5))*$F$34+($J$49*(1+$F23)/$J$45))*(1-$F$40)</f>
        <v>185243.6127832518</v>
      </c>
      <c r="K66" s="56"/>
      <c r="L66" s="56"/>
      <c r="M66" s="56"/>
      <c r="N66" s="56"/>
      <c r="O66" s="56"/>
      <c r="Q66" s="54"/>
      <c r="R66" s="40">
        <f>(($R$49*(1+$F23)-($R$49*(1+$F23)/$R$45*1.5))*$F$34+($R$49*(1+$F23)/$R$45))*(1-$F$40)</f>
        <v>471491.73740187369</v>
      </c>
    </row>
    <row r="67" spans="2:18" x14ac:dyDescent="0.2">
      <c r="B67" s="58" t="s">
        <v>112</v>
      </c>
      <c r="D67" s="59" t="s">
        <v>183</v>
      </c>
      <c r="H67" s="40">
        <f t="shared" si="2"/>
        <v>1546564.6087022531</v>
      </c>
      <c r="J67" s="40">
        <f>(($J$49*(1+$F24)-($J$49*(1+$F24)/$J$45*2.5))*$F$35+($J$49*(1+$F24)/$J$45))*(1-$F$40)^2</f>
        <v>202703.29745077438</v>
      </c>
      <c r="K67" s="56"/>
      <c r="L67" s="56"/>
      <c r="M67" s="56"/>
      <c r="N67" s="56"/>
      <c r="O67" s="56"/>
      <c r="Q67" s="40">
        <f>(($Q$49*(1+$F24)-($Q$49*(1+$F24)/$Q$45*2.5))*$F$35+($Q$49*(1+$F24)/$Q$45))*(1-$F$40)^2</f>
        <v>828535.36642772716</v>
      </c>
      <c r="R67" s="40">
        <f>(($R$49*(1+$F24)-($R$49*(1+$F24)/$R$45*2.5))*$F$35+($R$49*(1+$F24)/$R$45))*(1-$F$40)^2</f>
        <v>515325.94482375158</v>
      </c>
    </row>
    <row r="68" spans="2:18" x14ac:dyDescent="0.2">
      <c r="B68" s="58" t="s">
        <v>113</v>
      </c>
      <c r="D68" s="59" t="s">
        <v>184</v>
      </c>
      <c r="H68" s="40">
        <f t="shared" si="2"/>
        <v>1579381.2933800961</v>
      </c>
      <c r="J68" s="40">
        <f>(($J$49*(1+$F25)-($J$49*(1+$F25)/$J$45*3.5))*$F$36+($J$49*(1+$F25)/$J$45))*(1-$F$40)^3</f>
        <v>206986.84211425178</v>
      </c>
      <c r="K68" s="56"/>
      <c r="L68" s="56"/>
      <c r="M68" s="56"/>
      <c r="N68" s="56"/>
      <c r="O68" s="56"/>
      <c r="Q68" s="40">
        <f>(($Q$49*(1+$F25)-($Q$49*(1+$F25)/$Q$45*3.5))*$F$36+($Q$49*(1+$F25)/$Q$45))*(1-$F$40)^3</f>
        <v>846261.62862816057</v>
      </c>
      <c r="R68" s="40">
        <f>(($R$49*(1+$F25)-($R$49*(1+$F25)/$R$45*3.5))*$F$36+($R$49*(1+$F25)/$R$45))*(1-$F$40)^3</f>
        <v>526132.82263768371</v>
      </c>
    </row>
    <row r="69" spans="2:18" x14ac:dyDescent="0.2">
      <c r="B69" s="58" t="s">
        <v>114</v>
      </c>
      <c r="D69" s="59" t="s">
        <v>185</v>
      </c>
      <c r="H69" s="40">
        <f t="shared" si="2"/>
        <v>1612364.6227817822</v>
      </c>
      <c r="J69" s="40">
        <f>(($J$49*(1+$F26)-($J$49*(1+$F26)/$J$45*4.5))*$F$37+($J$49*(1+$F26)/$J$45))*(1-$F$40)^4</f>
        <v>211290.82734765726</v>
      </c>
      <c r="K69" s="56"/>
      <c r="L69" s="56"/>
      <c r="M69" s="56"/>
      <c r="N69" s="56"/>
      <c r="O69" s="56"/>
      <c r="Q69" s="40">
        <f>(($Q$49*(1+$F26)-($Q$49*(1+$F26)/$Q$45*4.5))*$F$37+($Q$49*(1+$F26)/$Q$45))*(1-$F$40)^4</f>
        <v>864088.72703527776</v>
      </c>
      <c r="R69" s="40">
        <f>(($R$49*(1+$F26)-($R$49*(1+$F26)/$R$45*4.5))*$F$37+($R$49*(1+$F26)/$R$45))*(1-$F$40)^4</f>
        <v>536985.06839884724</v>
      </c>
    </row>
    <row r="70" spans="2:18" x14ac:dyDescent="0.2">
      <c r="B70" s="55"/>
      <c r="D70" s="59"/>
    </row>
    <row r="71" spans="2:18" x14ac:dyDescent="0.2">
      <c r="B71" s="55" t="s">
        <v>130</v>
      </c>
      <c r="D71" s="59"/>
    </row>
    <row r="72" spans="2:18" x14ac:dyDescent="0.2">
      <c r="B72" s="58" t="s">
        <v>109</v>
      </c>
      <c r="D72" s="59" t="s">
        <v>91</v>
      </c>
      <c r="H72" s="40">
        <f t="shared" ref="H72:H77" si="3">SUM(J72:O72,Q72:R72)</f>
        <v>0</v>
      </c>
      <c r="J72" s="56"/>
      <c r="K72" s="56"/>
      <c r="L72" s="56"/>
      <c r="M72" s="56"/>
      <c r="N72" s="56"/>
      <c r="O72" s="56"/>
      <c r="Q72" s="56"/>
      <c r="R72" s="56"/>
    </row>
    <row r="73" spans="2:18" x14ac:dyDescent="0.2">
      <c r="B73" s="58" t="s">
        <v>110</v>
      </c>
      <c r="D73" s="59" t="s">
        <v>181</v>
      </c>
      <c r="H73" s="40">
        <f t="shared" si="3"/>
        <v>0</v>
      </c>
      <c r="J73" s="56"/>
      <c r="K73" s="56"/>
      <c r="L73" s="56"/>
      <c r="M73" s="56"/>
      <c r="N73" s="56"/>
      <c r="O73" s="56"/>
      <c r="Q73" s="56"/>
      <c r="R73" s="56"/>
    </row>
    <row r="74" spans="2:18" x14ac:dyDescent="0.2">
      <c r="B74" s="58" t="s">
        <v>111</v>
      </c>
      <c r="D74" s="59" t="s">
        <v>182</v>
      </c>
      <c r="H74" s="40">
        <f t="shared" si="3"/>
        <v>155190.94946061712</v>
      </c>
      <c r="J74" s="40">
        <f>($J$50-($J$50/$J$45*0.5))*$F$34+($J$50/$J$45)*0.5</f>
        <v>85968.125197254412</v>
      </c>
      <c r="K74" s="56"/>
      <c r="L74" s="56"/>
      <c r="M74" s="56"/>
      <c r="N74" s="56"/>
      <c r="O74" s="56"/>
      <c r="Q74" s="54"/>
      <c r="R74" s="40">
        <f>($R$50-($R$50/$R$45*0.5))*$F$34+($R$50/$R$45)*0.5</f>
        <v>69222.824263362709</v>
      </c>
    </row>
    <row r="75" spans="2:18" x14ac:dyDescent="0.2">
      <c r="B75" s="58" t="s">
        <v>112</v>
      </c>
      <c r="D75" s="59" t="s">
        <v>183</v>
      </c>
      <c r="H75" s="40">
        <f t="shared" si="3"/>
        <v>1072947.3440907262</v>
      </c>
      <c r="J75" s="40">
        <f>(($J$50*(1+$F27)-($J$50*(1+$F27)/$J$45*1.5))*$F$35+($J$50*(1+$F27)/$J$45))*(1-$F$40)</f>
        <v>140944.291435892</v>
      </c>
      <c r="K75" s="56"/>
      <c r="L75" s="56"/>
      <c r="M75" s="56"/>
      <c r="N75" s="56"/>
      <c r="O75" s="56"/>
      <c r="Q75" s="40">
        <f>(($Q$50*(1+$F27)-($Q$50*(1+$F27)/$Q$45*1.5))*$F$35+($Q$50*(1+$F27)/$Q$45))*(1-$F$40)</f>
        <v>818226.61412058829</v>
      </c>
      <c r="R75" s="40">
        <f>(($R$50*(1+$F27)-($R$50*(1+$F27)/$R$45*1.5))*$F$35+($R$50*(1+$F27)/$R$45))*(1-$F$40)</f>
        <v>113776.43853424603</v>
      </c>
    </row>
    <row r="76" spans="2:18" x14ac:dyDescent="0.2">
      <c r="B76" s="58" t="s">
        <v>113</v>
      </c>
      <c r="D76" s="59" t="s">
        <v>184</v>
      </c>
      <c r="H76" s="40">
        <f t="shared" si="3"/>
        <v>1096161.214965859</v>
      </c>
      <c r="J76" s="40">
        <f>(($J$50*(1+$F28)-($J$50*(1+$F28)/$J$45*2.5))*$F$36+($J$50*(1+$F28)/$J$45))*(1-$F$40)^2</f>
        <v>143968.78195718382</v>
      </c>
      <c r="K76" s="56"/>
      <c r="L76" s="56"/>
      <c r="M76" s="56"/>
      <c r="N76" s="56"/>
      <c r="O76" s="56"/>
      <c r="Q76" s="40">
        <f>(($Q$50*(1+$F28)-($Q$50*(1+$F28)/$Q$45*2.5))*$F$36+($Q$50*(1+$F28)/$Q$45))*(1-$F$40)^2</f>
        <v>835992.18472557666</v>
      </c>
      <c r="R76" s="40">
        <f>(($R$50*(1+$F28)-($R$50*(1+$F28)/$R$45*2.5))*$F$36+($R$50*(1+$F28)/$R$45))*(1-$F$40)^2</f>
        <v>116200.24828309844</v>
      </c>
    </row>
    <row r="77" spans="2:18" x14ac:dyDescent="0.2">
      <c r="B77" s="58" t="s">
        <v>114</v>
      </c>
      <c r="D77" s="59" t="s">
        <v>185</v>
      </c>
      <c r="H77" s="40">
        <f t="shared" si="3"/>
        <v>1119526.2053403303</v>
      </c>
      <c r="J77" s="40">
        <f>(($J$50*(1+$F29)-($J$50*(1+$F29)/$J$45*3.5))*$F$37+($J$50*(1+$F29)/$J$45))*(1-$F$40)^3</f>
        <v>147011.14345507603</v>
      </c>
      <c r="K77" s="56"/>
      <c r="L77" s="56"/>
      <c r="M77" s="56"/>
      <c r="N77" s="56"/>
      <c r="O77" s="56"/>
      <c r="Q77" s="40">
        <f>(($Q$50*(1+$F29)-($Q$50*(1+$F29)/$Q$45*3.5))*$F$37+($Q$50*(1+$F29)/$Q$45))*(1-$F$40)^3</f>
        <v>853877.98328581394</v>
      </c>
      <c r="R77" s="40">
        <f>(($R$50*(1+$F29)-($R$50*(1+$F29)/$R$45*3.5))*$F$37+($R$50*(1+$F29)/$R$45))*(1-$F$40)^3</f>
        <v>118637.07859944028</v>
      </c>
    </row>
    <row r="78" spans="2:18" x14ac:dyDescent="0.2">
      <c r="B78" s="55"/>
    </row>
    <row r="79" spans="2:18" x14ac:dyDescent="0.2">
      <c r="B79" s="55" t="s">
        <v>134</v>
      </c>
    </row>
    <row r="80" spans="2:18" x14ac:dyDescent="0.2">
      <c r="B80" s="58" t="s">
        <v>109</v>
      </c>
      <c r="D80" s="59" t="s">
        <v>91</v>
      </c>
      <c r="H80" s="40">
        <f t="shared" ref="H80:H85" si="4">SUM(J80:O80,Q80:R80)</f>
        <v>0</v>
      </c>
      <c r="J80" s="56"/>
      <c r="K80" s="56"/>
      <c r="L80" s="56"/>
      <c r="M80" s="56"/>
      <c r="N80" s="56"/>
      <c r="O80" s="56"/>
      <c r="Q80" s="56"/>
      <c r="R80" s="56"/>
    </row>
    <row r="81" spans="2:18" x14ac:dyDescent="0.2">
      <c r="B81" s="58" t="s">
        <v>110</v>
      </c>
      <c r="D81" s="59" t="s">
        <v>181</v>
      </c>
      <c r="H81" s="40">
        <f t="shared" si="4"/>
        <v>0</v>
      </c>
      <c r="J81" s="56"/>
      <c r="K81" s="56"/>
      <c r="L81" s="56"/>
      <c r="M81" s="56"/>
      <c r="N81" s="56"/>
      <c r="O81" s="56"/>
      <c r="Q81" s="56"/>
      <c r="R81" s="56"/>
    </row>
    <row r="82" spans="2:18" x14ac:dyDescent="0.2">
      <c r="B82" s="58" t="s">
        <v>111</v>
      </c>
      <c r="D82" s="59" t="s">
        <v>182</v>
      </c>
      <c r="H82" s="40">
        <f t="shared" si="4"/>
        <v>0</v>
      </c>
      <c r="J82" s="54"/>
      <c r="K82" s="56"/>
      <c r="L82" s="56"/>
      <c r="M82" s="56"/>
      <c r="N82" s="56"/>
      <c r="O82" s="56"/>
      <c r="Q82" s="56"/>
      <c r="R82" s="56"/>
    </row>
    <row r="83" spans="2:18" x14ac:dyDescent="0.2">
      <c r="B83" s="58" t="s">
        <v>112</v>
      </c>
      <c r="D83" s="59" t="s">
        <v>183</v>
      </c>
      <c r="H83" s="40">
        <f t="shared" si="4"/>
        <v>283865.718488193</v>
      </c>
      <c r="J83" s="54"/>
      <c r="K83" s="56"/>
      <c r="L83" s="56"/>
      <c r="M83" s="56"/>
      <c r="N83" s="56"/>
      <c r="O83" s="56"/>
      <c r="Q83" s="40">
        <f>($Q$51-($Q$51/$Q$45*0.5))*$F$35+($Q$51/$Q$45)*0.5</f>
        <v>283865.718488193</v>
      </c>
      <c r="R83" s="56"/>
    </row>
    <row r="84" spans="2:18" x14ac:dyDescent="0.2">
      <c r="B84" s="58" t="s">
        <v>113</v>
      </c>
      <c r="D84" s="59" t="s">
        <v>184</v>
      </c>
      <c r="H84" s="40">
        <f t="shared" si="4"/>
        <v>416899.77496238926</v>
      </c>
      <c r="J84" s="54"/>
      <c r="K84" s="56"/>
      <c r="L84" s="56"/>
      <c r="M84" s="56"/>
      <c r="N84" s="56"/>
      <c r="O84" s="56"/>
      <c r="Q84" s="40">
        <f>(($Q$51*(1+$F30)-($Q$51*(1+$F30)/$Q$45*1.5))*$F$36+($Q$51*(1+$F30)/$Q$45))*(1-$F$40)</f>
        <v>416899.77496238926</v>
      </c>
      <c r="R84" s="56"/>
    </row>
    <row r="85" spans="2:18" x14ac:dyDescent="0.2">
      <c r="B85" s="58" t="s">
        <v>114</v>
      </c>
      <c r="D85" s="59" t="s">
        <v>185</v>
      </c>
      <c r="H85" s="40">
        <f t="shared" si="4"/>
        <v>425951.62228619982</v>
      </c>
      <c r="J85" s="54"/>
      <c r="K85" s="56"/>
      <c r="L85" s="56"/>
      <c r="M85" s="56"/>
      <c r="N85" s="56"/>
      <c r="O85" s="56"/>
      <c r="Q85" s="40">
        <f>(($Q$51*(1+$F31)-($Q$51*(1+$F31)/$Q$45*2.5))*$F$37+($Q$51*(1+$F31)/$Q$45))*(1-$F$40)^2</f>
        <v>425951.62228619982</v>
      </c>
      <c r="R85" s="56"/>
    </row>
    <row r="86" spans="2:18" x14ac:dyDescent="0.2">
      <c r="B86" s="55"/>
    </row>
    <row r="87" spans="2:18" x14ac:dyDescent="0.2">
      <c r="B87" s="55" t="s">
        <v>198</v>
      </c>
    </row>
    <row r="88" spans="2:18" x14ac:dyDescent="0.2">
      <c r="B88" s="58" t="s">
        <v>109</v>
      </c>
      <c r="D88" s="59" t="s">
        <v>91</v>
      </c>
      <c r="H88" s="40">
        <f t="shared" ref="H88:H93" si="5">SUM(J88:O88,Q88:R88)</f>
        <v>0</v>
      </c>
      <c r="J88" s="56"/>
      <c r="K88" s="56"/>
      <c r="L88" s="56"/>
      <c r="M88" s="56"/>
      <c r="N88" s="56"/>
      <c r="O88" s="56"/>
      <c r="Q88" s="56"/>
      <c r="R88" s="56"/>
    </row>
    <row r="89" spans="2:18" x14ac:dyDescent="0.2">
      <c r="B89" s="58" t="s">
        <v>110</v>
      </c>
      <c r="D89" s="59" t="s">
        <v>181</v>
      </c>
      <c r="H89" s="40">
        <f t="shared" si="5"/>
        <v>0</v>
      </c>
      <c r="J89" s="56"/>
      <c r="K89" s="56"/>
      <c r="L89" s="56"/>
      <c r="M89" s="56"/>
      <c r="N89" s="56"/>
      <c r="O89" s="56"/>
      <c r="Q89" s="56"/>
      <c r="R89" s="56"/>
    </row>
    <row r="90" spans="2:18" x14ac:dyDescent="0.2">
      <c r="B90" s="58" t="s">
        <v>111</v>
      </c>
      <c r="D90" s="59" t="s">
        <v>182</v>
      </c>
      <c r="H90" s="40">
        <f t="shared" si="5"/>
        <v>1478141.7107433437</v>
      </c>
      <c r="J90" s="40">
        <f>J58+J66+J74+J82</f>
        <v>459145.22117736842</v>
      </c>
      <c r="K90" s="56"/>
      <c r="L90" s="56"/>
      <c r="M90" s="56"/>
      <c r="N90" s="56"/>
      <c r="O90" s="56"/>
      <c r="Q90" s="54"/>
      <c r="R90" s="40">
        <f>R58+R66+R74+R82</f>
        <v>1018996.4895659753</v>
      </c>
    </row>
    <row r="91" spans="2:18" x14ac:dyDescent="0.2">
      <c r="B91" s="58" t="s">
        <v>112</v>
      </c>
      <c r="D91" s="59" t="s">
        <v>183</v>
      </c>
      <c r="H91" s="40">
        <f t="shared" si="5"/>
        <v>4468671.3218065398</v>
      </c>
      <c r="J91" s="40">
        <f>J59+J67+J75+J83</f>
        <v>548788.16580862063</v>
      </c>
      <c r="K91" s="56"/>
      <c r="L91" s="56"/>
      <c r="M91" s="56"/>
      <c r="N91" s="56"/>
      <c r="O91" s="56"/>
      <c r="Q91" s="40">
        <f>Q59+Q67+Q75+Q83</f>
        <v>2769340.9087770046</v>
      </c>
      <c r="R91" s="40">
        <f>R59+R67+R75+R83</f>
        <v>1150542.247220915</v>
      </c>
    </row>
    <row r="92" spans="2:18" x14ac:dyDescent="0.2">
      <c r="B92" s="58" t="s">
        <v>113</v>
      </c>
      <c r="D92" s="59" t="s">
        <v>184</v>
      </c>
      <c r="H92" s="40">
        <f t="shared" si="5"/>
        <v>4690425.0610900912</v>
      </c>
      <c r="J92" s="40">
        <f>J60+J68+J76+J84</f>
        <v>560361.79587287991</v>
      </c>
      <c r="K92" s="56"/>
      <c r="L92" s="56"/>
      <c r="M92" s="56"/>
      <c r="N92" s="56"/>
      <c r="O92" s="56"/>
      <c r="Q92" s="40">
        <f>Q60+Q68+Q76+Q84</f>
        <v>2955534.8836930124</v>
      </c>
      <c r="R92" s="40">
        <f t="shared" ref="R92" si="6">R60+R68+R76+R84</f>
        <v>1174528.3815241987</v>
      </c>
    </row>
    <row r="93" spans="2:18" x14ac:dyDescent="0.2">
      <c r="B93" s="58" t="s">
        <v>114</v>
      </c>
      <c r="D93" s="59" t="s">
        <v>185</v>
      </c>
      <c r="H93" s="40">
        <f t="shared" si="5"/>
        <v>4788641.3085195683</v>
      </c>
      <c r="J93" s="40">
        <f>J61+J69+J77+J85</f>
        <v>571988.90555163322</v>
      </c>
      <c r="K93" s="56"/>
      <c r="L93" s="56"/>
      <c r="M93" s="56"/>
      <c r="N93" s="56"/>
      <c r="O93" s="56"/>
      <c r="Q93" s="40">
        <f>Q61+Q69+Q77+Q85</f>
        <v>3018047.865566236</v>
      </c>
      <c r="R93" s="40">
        <f>R61+R69+R77+R85</f>
        <v>1198604.5374016985</v>
      </c>
    </row>
    <row r="94" spans="2:18" x14ac:dyDescent="0.2">
      <c r="B94" s="58"/>
      <c r="D94" s="59"/>
    </row>
  </sheetData>
  <mergeCells count="3">
    <mergeCell ref="B5:H5"/>
    <mergeCell ref="B8:H8"/>
    <mergeCell ref="B11:H11"/>
  </mergeCells>
  <phoneticPr fontId="3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A2:Q62"/>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19.140625" style="2" customWidth="1"/>
    <col min="3" max="3" width="2.7109375" style="2" customWidth="1"/>
    <col min="4" max="4" width="40.7109375" style="2" customWidth="1"/>
    <col min="5" max="5" width="2.7109375" style="2" customWidth="1"/>
    <col min="6" max="6" width="20.7109375" style="2" customWidth="1"/>
    <col min="7" max="7" width="2.7109375" style="2" customWidth="1"/>
    <col min="8" max="8" width="40.7109375" style="2" customWidth="1"/>
    <col min="9" max="9" width="2.7109375" style="2" customWidth="1"/>
    <col min="10" max="10" width="20.7109375" style="2" customWidth="1"/>
    <col min="11" max="11" width="2.7109375" style="2" customWidth="1"/>
    <col min="12" max="12" width="40.7109375" style="2" customWidth="1"/>
    <col min="13" max="13" width="2.7109375" style="2" customWidth="1"/>
    <col min="14" max="14" width="20.7109375" style="2" customWidth="1"/>
    <col min="15" max="15" width="2.7109375" style="2" customWidth="1"/>
    <col min="16" max="16" width="40.7109375" style="2" customWidth="1"/>
    <col min="17" max="17" width="2.7109375" style="2" customWidth="1"/>
    <col min="18" max="16384" width="9.140625" style="2"/>
  </cols>
  <sheetData>
    <row r="2" spans="1:16" s="6" customFormat="1" ht="18" x14ac:dyDescent="0.2">
      <c r="B2" s="6" t="s">
        <v>49</v>
      </c>
    </row>
    <row r="4" spans="1:16" s="7" customFormat="1" x14ac:dyDescent="0.2">
      <c r="B4" s="7" t="s">
        <v>15</v>
      </c>
    </row>
    <row r="6" spans="1:16" x14ac:dyDescent="0.2">
      <c r="B6" s="23" t="s">
        <v>155</v>
      </c>
    </row>
    <row r="7" spans="1:16" ht="13.5" customHeight="1" x14ac:dyDescent="0.2">
      <c r="B7" s="23" t="s">
        <v>220</v>
      </c>
    </row>
    <row r="8" spans="1:16" x14ac:dyDescent="0.2">
      <c r="B8" s="2" t="s">
        <v>217</v>
      </c>
      <c r="H8" s="32"/>
    </row>
    <row r="10" spans="1:16" s="7" customFormat="1" x14ac:dyDescent="0.2">
      <c r="B10" s="7" t="s">
        <v>55</v>
      </c>
    </row>
    <row r="11" spans="1:16" x14ac:dyDescent="0.2">
      <c r="A11" s="8"/>
    </row>
    <row r="12" spans="1:16" x14ac:dyDescent="0.2">
      <c r="A12" s="8"/>
      <c r="B12" s="2" t="s">
        <v>147</v>
      </c>
    </row>
    <row r="13" spans="1:16" x14ac:dyDescent="0.2">
      <c r="A13" s="8"/>
    </row>
    <row r="14" spans="1:16" x14ac:dyDescent="0.2">
      <c r="A14" s="8"/>
      <c r="D14" s="71" t="s">
        <v>149</v>
      </c>
      <c r="J14" s="71" t="s">
        <v>148</v>
      </c>
      <c r="P14" s="71" t="s">
        <v>33</v>
      </c>
    </row>
    <row r="15" spans="1:16" x14ac:dyDescent="0.2">
      <c r="A15" s="8"/>
      <c r="D15" s="71"/>
    </row>
    <row r="16" spans="1:16" x14ac:dyDescent="0.2">
      <c r="A16" s="8"/>
      <c r="D16" s="71"/>
    </row>
    <row r="17" spans="1:17" x14ac:dyDescent="0.2">
      <c r="A17" s="8"/>
      <c r="D17" s="71"/>
    </row>
    <row r="18" spans="1:17" x14ac:dyDescent="0.2">
      <c r="A18" s="8"/>
      <c r="D18" s="71"/>
    </row>
    <row r="19" spans="1:17" x14ac:dyDescent="0.2">
      <c r="A19" s="8"/>
      <c r="C19" s="72"/>
      <c r="D19" s="73"/>
      <c r="E19" s="74"/>
      <c r="G19" s="72"/>
      <c r="H19" s="73"/>
      <c r="I19" s="74"/>
      <c r="K19" s="72"/>
      <c r="L19" s="73"/>
      <c r="M19" s="74"/>
      <c r="O19" s="72"/>
      <c r="P19" s="73"/>
      <c r="Q19" s="74"/>
    </row>
    <row r="20" spans="1:17" x14ac:dyDescent="0.2">
      <c r="A20" s="8"/>
      <c r="C20" s="75"/>
      <c r="D20" s="76" t="s">
        <v>161</v>
      </c>
      <c r="E20" s="77"/>
      <c r="G20" s="75"/>
      <c r="H20" s="78" t="s">
        <v>151</v>
      </c>
      <c r="I20" s="77"/>
      <c r="K20" s="75"/>
      <c r="L20" s="78" t="s">
        <v>153</v>
      </c>
      <c r="M20" s="77"/>
      <c r="O20" s="75"/>
      <c r="P20" s="84" t="s">
        <v>154</v>
      </c>
      <c r="Q20" s="77"/>
    </row>
    <row r="21" spans="1:17" x14ac:dyDescent="0.2">
      <c r="A21" s="8"/>
      <c r="C21" s="79"/>
      <c r="D21" s="80"/>
      <c r="E21" s="81"/>
      <c r="G21" s="79"/>
      <c r="H21" s="80"/>
      <c r="I21" s="81"/>
      <c r="K21" s="79"/>
      <c r="L21" s="80"/>
      <c r="M21" s="81"/>
      <c r="O21" s="79"/>
      <c r="P21" s="80"/>
      <c r="Q21" s="81"/>
    </row>
    <row r="22" spans="1:17" x14ac:dyDescent="0.2">
      <c r="A22" s="8"/>
      <c r="C22" s="82"/>
      <c r="D22" s="82"/>
      <c r="E22" s="82"/>
      <c r="G22" s="82"/>
      <c r="H22" s="82"/>
      <c r="I22" s="82"/>
    </row>
    <row r="23" spans="1:17" x14ac:dyDescent="0.2">
      <c r="A23" s="8"/>
      <c r="C23" s="82"/>
      <c r="D23" s="82"/>
      <c r="E23" s="82"/>
      <c r="G23" s="82"/>
      <c r="H23" s="82"/>
      <c r="I23" s="82"/>
    </row>
    <row r="24" spans="1:17" x14ac:dyDescent="0.2">
      <c r="A24" s="8"/>
      <c r="C24" s="72"/>
      <c r="D24" s="73"/>
      <c r="E24" s="74"/>
      <c r="G24" s="72"/>
      <c r="H24" s="73"/>
      <c r="I24" s="74"/>
      <c r="K24" s="72"/>
      <c r="L24" s="73"/>
      <c r="M24" s="74"/>
    </row>
    <row r="25" spans="1:17" x14ac:dyDescent="0.2">
      <c r="A25" s="8"/>
      <c r="C25" s="75"/>
      <c r="D25" s="76" t="s">
        <v>150</v>
      </c>
      <c r="E25" s="77"/>
      <c r="G25" s="75"/>
      <c r="H25" s="83" t="s">
        <v>152</v>
      </c>
      <c r="I25" s="77"/>
      <c r="K25" s="75"/>
      <c r="L25" s="83" t="s">
        <v>164</v>
      </c>
      <c r="M25" s="77"/>
    </row>
    <row r="26" spans="1:17" x14ac:dyDescent="0.2">
      <c r="A26" s="8"/>
      <c r="C26" s="79"/>
      <c r="D26" s="80"/>
      <c r="E26" s="81"/>
      <c r="G26" s="79"/>
      <c r="H26" s="80"/>
      <c r="I26" s="81"/>
      <c r="K26" s="79"/>
      <c r="L26" s="80"/>
      <c r="M26" s="81"/>
    </row>
    <row r="27" spans="1:17" x14ac:dyDescent="0.2">
      <c r="A27" s="8"/>
      <c r="C27" s="82"/>
      <c r="D27" s="82"/>
      <c r="E27" s="82"/>
      <c r="G27" s="82"/>
      <c r="H27" s="82"/>
      <c r="I27" s="82"/>
    </row>
    <row r="28" spans="1:17" x14ac:dyDescent="0.2">
      <c r="A28" s="8"/>
      <c r="C28" s="82"/>
      <c r="D28" s="82"/>
      <c r="E28" s="82"/>
      <c r="G28" s="82"/>
      <c r="H28" s="82"/>
      <c r="I28" s="82"/>
    </row>
    <row r="29" spans="1:17" x14ac:dyDescent="0.2">
      <c r="A29" s="8"/>
      <c r="C29" s="82"/>
      <c r="D29" s="82"/>
      <c r="E29" s="82"/>
      <c r="G29" s="82"/>
      <c r="H29" s="82"/>
      <c r="I29" s="82"/>
    </row>
    <row r="30" spans="1:17" x14ac:dyDescent="0.2">
      <c r="A30" s="8"/>
    </row>
    <row r="32" spans="1:17" s="7" customFormat="1" x14ac:dyDescent="0.2">
      <c r="B32" s="7" t="s">
        <v>16</v>
      </c>
    </row>
    <row r="33" spans="2:7" x14ac:dyDescent="0.2">
      <c r="C33" s="8"/>
    </row>
    <row r="34" spans="2:7" x14ac:dyDescent="0.2">
      <c r="B34" s="28" t="s">
        <v>39</v>
      </c>
      <c r="C34" s="8"/>
      <c r="D34" s="28" t="s">
        <v>17</v>
      </c>
      <c r="F34" s="11"/>
    </row>
    <row r="35" spans="2:7" x14ac:dyDescent="0.2">
      <c r="C35" s="8"/>
    </row>
    <row r="36" spans="2:7" x14ac:dyDescent="0.2">
      <c r="B36" s="35">
        <v>123</v>
      </c>
      <c r="C36" s="8"/>
      <c r="D36" s="23" t="s">
        <v>65</v>
      </c>
    </row>
    <row r="37" spans="2:7" x14ac:dyDescent="0.2">
      <c r="B37" s="39">
        <f>B36</f>
        <v>123</v>
      </c>
      <c r="C37" s="8"/>
      <c r="D37" s="2" t="s">
        <v>18</v>
      </c>
    </row>
    <row r="38" spans="2:7" x14ac:dyDescent="0.2">
      <c r="B38" s="40">
        <f>B37+B36</f>
        <v>246</v>
      </c>
      <c r="C38" s="8"/>
      <c r="D38" s="2" t="s">
        <v>19</v>
      </c>
    </row>
    <row r="39" spans="2:7" x14ac:dyDescent="0.2">
      <c r="B39" s="30">
        <f>B37+B38</f>
        <v>369</v>
      </c>
      <c r="C39" s="8"/>
      <c r="D39" s="23" t="s">
        <v>66</v>
      </c>
      <c r="E39" s="11"/>
      <c r="F39" s="4"/>
    </row>
    <row r="40" spans="2:7" x14ac:dyDescent="0.2">
      <c r="B40" s="12"/>
      <c r="C40" s="8"/>
      <c r="D40" s="23" t="s">
        <v>20</v>
      </c>
      <c r="E40" s="11"/>
    </row>
    <row r="41" spans="2:7" x14ac:dyDescent="0.2">
      <c r="B41" s="8"/>
      <c r="C41" s="8"/>
    </row>
    <row r="42" spans="2:7" x14ac:dyDescent="0.2">
      <c r="B42" s="29" t="s">
        <v>21</v>
      </c>
      <c r="C42" s="8"/>
    </row>
    <row r="43" spans="2:7" x14ac:dyDescent="0.2">
      <c r="B43" s="33">
        <f>B39+16</f>
        <v>385</v>
      </c>
      <c r="C43" s="8"/>
      <c r="D43" s="2" t="s">
        <v>67</v>
      </c>
    </row>
    <row r="44" spans="2:7" x14ac:dyDescent="0.2">
      <c r="B44" s="34">
        <f>B37*PI()</f>
        <v>386.41589639154455</v>
      </c>
      <c r="C44" s="14"/>
      <c r="D44" s="2" t="s">
        <v>22</v>
      </c>
    </row>
    <row r="45" spans="2:7" x14ac:dyDescent="0.2">
      <c r="B45" s="14"/>
      <c r="C45" s="14"/>
    </row>
    <row r="46" spans="2:7" x14ac:dyDescent="0.2">
      <c r="B46" s="29" t="s">
        <v>23</v>
      </c>
      <c r="C46" s="15"/>
    </row>
    <row r="47" spans="2:7" x14ac:dyDescent="0.2">
      <c r="B47" s="38">
        <v>123</v>
      </c>
      <c r="C47" s="15"/>
      <c r="D47" s="23" t="s">
        <v>68</v>
      </c>
      <c r="G47" s="11"/>
    </row>
    <row r="48" spans="2:7" x14ac:dyDescent="0.2">
      <c r="B48" s="36">
        <v>124</v>
      </c>
      <c r="C48" s="15"/>
      <c r="D48" s="23" t="s">
        <v>70</v>
      </c>
    </row>
    <row r="49" spans="2:4" x14ac:dyDescent="0.2">
      <c r="B49" s="37">
        <f>B47-B48</f>
        <v>-1</v>
      </c>
      <c r="C49" s="16"/>
      <c r="D49" s="2" t="s">
        <v>54</v>
      </c>
    </row>
    <row r="52" spans="2:4" x14ac:dyDescent="0.2">
      <c r="B52" s="28" t="s">
        <v>34</v>
      </c>
    </row>
    <row r="53" spans="2:4" x14ac:dyDescent="0.2">
      <c r="B53" s="1"/>
    </row>
    <row r="54" spans="2:4" x14ac:dyDescent="0.2">
      <c r="B54" s="29" t="s">
        <v>40</v>
      </c>
    </row>
    <row r="55" spans="2:4" x14ac:dyDescent="0.2">
      <c r="B55" s="20" t="s">
        <v>33</v>
      </c>
      <c r="C55" s="8"/>
      <c r="D55" s="3" t="s">
        <v>43</v>
      </c>
    </row>
    <row r="56" spans="2:4" x14ac:dyDescent="0.2">
      <c r="B56" s="35" t="s">
        <v>31</v>
      </c>
      <c r="C56" s="8"/>
      <c r="D56" s="3" t="s">
        <v>35</v>
      </c>
    </row>
    <row r="57" spans="2:4" x14ac:dyDescent="0.2">
      <c r="B57" s="31" t="s">
        <v>32</v>
      </c>
      <c r="C57" s="8"/>
      <c r="D57" s="3" t="s">
        <v>36</v>
      </c>
    </row>
    <row r="58" spans="2:4" x14ac:dyDescent="0.2">
      <c r="B58" s="13" t="s">
        <v>32</v>
      </c>
      <c r="C58" s="8"/>
      <c r="D58" s="3" t="s">
        <v>38</v>
      </c>
    </row>
    <row r="59" spans="2:4" x14ac:dyDescent="0.2">
      <c r="C59" s="8"/>
      <c r="D59" s="3"/>
    </row>
    <row r="60" spans="2:4" x14ac:dyDescent="0.2">
      <c r="B60" s="29" t="s">
        <v>42</v>
      </c>
      <c r="C60" s="8"/>
      <c r="D60" s="3"/>
    </row>
    <row r="61" spans="2:4" x14ac:dyDescent="0.2">
      <c r="B61" s="21" t="s">
        <v>37</v>
      </c>
      <c r="C61" s="8"/>
      <c r="D61" s="3" t="s">
        <v>44</v>
      </c>
    </row>
    <row r="62" spans="2:4" x14ac:dyDescent="0.2">
      <c r="B62" s="22" t="s">
        <v>41</v>
      </c>
      <c r="D62" s="23" t="s">
        <v>69</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C8D9"/>
  </sheetPr>
  <dimension ref="B2:G15"/>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7.5703125" style="2" customWidth="1"/>
    <col min="3" max="3" width="44.85546875" style="2" bestFit="1" customWidth="1"/>
    <col min="4" max="4" width="47.5703125" style="2" bestFit="1" customWidth="1"/>
    <col min="5" max="5" width="36.28515625" style="2" customWidth="1"/>
    <col min="6" max="6" width="40.7109375" style="2" customWidth="1"/>
    <col min="7" max="7" width="4.5703125" style="2" customWidth="1"/>
    <col min="8" max="8" width="43.42578125" style="2" customWidth="1"/>
    <col min="9" max="9" width="28.7109375" style="2" customWidth="1"/>
    <col min="10" max="10" width="18.42578125" style="2" customWidth="1"/>
    <col min="11" max="12" width="58.42578125" style="2" customWidth="1"/>
    <col min="13" max="16384" width="9.140625" style="2"/>
  </cols>
  <sheetData>
    <row r="2" spans="2:7" s="6" customFormat="1" ht="18" x14ac:dyDescent="0.2">
      <c r="B2" s="6" t="s">
        <v>24</v>
      </c>
    </row>
    <row r="4" spans="2:7" s="7" customFormat="1" x14ac:dyDescent="0.2">
      <c r="B4" s="7" t="s">
        <v>25</v>
      </c>
    </row>
    <row r="6" spans="2:7" x14ac:dyDescent="0.2">
      <c r="B6" s="29" t="s">
        <v>60</v>
      </c>
    </row>
    <row r="7" spans="2:7" x14ac:dyDescent="0.2">
      <c r="B7" s="29" t="s">
        <v>61</v>
      </c>
    </row>
    <row r="9" spans="2:7" ht="15" x14ac:dyDescent="0.2">
      <c r="B9" s="60" t="s">
        <v>50</v>
      </c>
      <c r="C9" s="60" t="s">
        <v>51</v>
      </c>
      <c r="D9" s="60" t="s">
        <v>52</v>
      </c>
      <c r="E9" s="60" t="s">
        <v>59</v>
      </c>
      <c r="F9" s="60" t="s">
        <v>56</v>
      </c>
    </row>
    <row r="10" spans="2:7" x14ac:dyDescent="0.2">
      <c r="B10" s="17"/>
      <c r="C10" s="24" t="s">
        <v>58</v>
      </c>
      <c r="D10" s="24" t="s">
        <v>26</v>
      </c>
      <c r="E10" s="24" t="s">
        <v>62</v>
      </c>
      <c r="F10" s="24" t="s">
        <v>57</v>
      </c>
    </row>
    <row r="11" spans="2:7" x14ac:dyDescent="0.2">
      <c r="B11" s="26">
        <v>1</v>
      </c>
      <c r="C11" s="5" t="s">
        <v>156</v>
      </c>
      <c r="D11" s="62" t="s">
        <v>136</v>
      </c>
      <c r="E11" s="5"/>
      <c r="F11" s="62"/>
      <c r="G11" s="2" t="s">
        <v>137</v>
      </c>
    </row>
    <row r="12" spans="2:7" x14ac:dyDescent="0.2">
      <c r="B12" s="26">
        <v>2</v>
      </c>
      <c r="C12" s="5" t="s">
        <v>225</v>
      </c>
      <c r="D12" s="98" t="s">
        <v>226</v>
      </c>
      <c r="E12" s="82"/>
      <c r="F12" s="62"/>
    </row>
    <row r="13" spans="2:7" x14ac:dyDescent="0.2">
      <c r="B13" s="5">
        <v>3</v>
      </c>
      <c r="C13" s="5" t="s">
        <v>224</v>
      </c>
      <c r="D13" s="5"/>
      <c r="E13" s="27"/>
      <c r="F13" s="5"/>
      <c r="G13" s="2" t="s">
        <v>137</v>
      </c>
    </row>
    <row r="14" spans="2:7" x14ac:dyDescent="0.2">
      <c r="B14" s="5">
        <v>4</v>
      </c>
      <c r="C14" s="5" t="s">
        <v>219</v>
      </c>
      <c r="D14" s="5"/>
      <c r="E14" s="5"/>
      <c r="F14" s="5"/>
    </row>
    <row r="15" spans="2:7" ht="13.5" customHeight="1" x14ac:dyDescent="0.2">
      <c r="B15" s="5">
        <v>5</v>
      </c>
      <c r="C15" s="5" t="s">
        <v>221</v>
      </c>
      <c r="D15" s="62" t="s">
        <v>226</v>
      </c>
      <c r="E15" s="85"/>
      <c r="F15" s="5"/>
    </row>
  </sheetData>
  <hyperlinks>
    <hyperlink ref="D11" r:id="rId1" location="/CBS/nl/dataset/83131ned/table?fromstatweb" xr:uid="{00000000-0004-0000-0500-000001000000}"/>
    <hyperlink ref="D12" r:id="rId2" display="https://www.acm.nl/nl/publicaties/gewijzigd-methodebesluit-rnbs-elektriciteit-2022-2026" xr:uid="{3AD75CB0-BE2F-4C28-9882-5FD4B2DC0082}"/>
    <hyperlink ref="D15" r:id="rId3" display="https://www.acm.nl/nl/publicaties/gewijzigd-methodebesluit-rnbs-elektriciteit-2022-2026" xr:uid="{2BF60B7F-126D-4B74-97DB-016DEF93BE26}"/>
  </hyperlinks>
  <pageMargins left="0.75" right="0.75" top="1" bottom="1" header="0.5" footer="0.5"/>
  <pageSetup paperSize="9" orientation="portrait" r:id="rId4"/>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sheetPr>
  <dimension ref="B2:T37"/>
  <sheetViews>
    <sheetView showGridLines="0" zoomScale="85" zoomScaleNormal="85" workbookViewId="0">
      <pane xSplit="4" ySplit="11" topLeftCell="E12" activePane="bottomRight" state="frozen"/>
      <selection activeCell="O39" sqref="O39"/>
      <selection pane="topRight" activeCell="O39" sqref="O39"/>
      <selection pane="bottomLeft" activeCell="O39" sqref="O39"/>
      <selection pane="bottomRight" activeCell="E12" sqref="E12"/>
    </sheetView>
  </sheetViews>
  <sheetFormatPr defaultRowHeight="12.75" x14ac:dyDescent="0.2"/>
  <cols>
    <col min="1" max="1" width="2.7109375" style="2" customWidth="1"/>
    <col min="2" max="2" width="64.7109375" style="2" customWidth="1"/>
    <col min="3" max="3" width="2.7109375" style="2" customWidth="1"/>
    <col min="4" max="4" width="14.28515625" style="2" customWidth="1"/>
    <col min="5" max="5" width="2.7109375" style="2" customWidth="1"/>
    <col min="6" max="6" width="13.7109375" style="2" customWidth="1"/>
    <col min="7" max="7" width="2.7109375" style="2" customWidth="1"/>
    <col min="8" max="8" width="13.7109375" style="2" customWidth="1"/>
    <col min="9" max="9" width="2.7109375" style="2" customWidth="1"/>
    <col min="10" max="10" width="12.5703125" style="2" customWidth="1"/>
    <col min="11" max="13" width="14" style="2" bestFit="1" customWidth="1"/>
    <col min="14" max="14" width="14" style="2" customWidth="1"/>
    <col min="15" max="15" width="14" style="2" bestFit="1" customWidth="1"/>
    <col min="16" max="16" width="3.28515625" style="2" customWidth="1"/>
    <col min="17" max="17" width="13" style="2" customWidth="1"/>
    <col min="18" max="18" width="17.140625" style="2" customWidth="1"/>
    <col min="19" max="19" width="2.7109375" style="2" customWidth="1"/>
    <col min="20" max="30" width="13.7109375" style="2" customWidth="1"/>
    <col min="31" max="16384" width="9.140625" style="2"/>
  </cols>
  <sheetData>
    <row r="2" spans="2:20" s="18" customFormat="1" ht="18" x14ac:dyDescent="0.2">
      <c r="B2" s="18" t="s">
        <v>33</v>
      </c>
    </row>
    <row r="4" spans="2:20" x14ac:dyDescent="0.2">
      <c r="B4" s="28" t="s">
        <v>157</v>
      </c>
      <c r="J4"/>
    </row>
    <row r="5" spans="2:20" ht="54" customHeight="1" x14ac:dyDescent="0.2">
      <c r="B5" s="100" t="s">
        <v>158</v>
      </c>
      <c r="C5" s="100"/>
      <c r="D5" s="100"/>
      <c r="F5" s="19"/>
      <c r="N5" s="48"/>
      <c r="O5" s="48"/>
    </row>
    <row r="6" spans="2:20" x14ac:dyDescent="0.2">
      <c r="B6" s="23"/>
      <c r="F6" s="19"/>
    </row>
    <row r="7" spans="2:20" x14ac:dyDescent="0.2">
      <c r="B7" s="29" t="s">
        <v>30</v>
      </c>
      <c r="F7" s="27"/>
    </row>
    <row r="8" spans="2:20" ht="25.5" customHeight="1" x14ac:dyDescent="0.2">
      <c r="B8" s="101" t="s">
        <v>159</v>
      </c>
      <c r="C8" s="101"/>
      <c r="D8" s="101"/>
    </row>
    <row r="10" spans="2:20" s="7" customFormat="1" x14ac:dyDescent="0.2">
      <c r="B10" s="7" t="s">
        <v>45</v>
      </c>
      <c r="D10" s="7" t="s">
        <v>27</v>
      </c>
      <c r="F10" s="7" t="s">
        <v>28</v>
      </c>
      <c r="H10" s="7" t="s">
        <v>48</v>
      </c>
      <c r="J10" s="7" t="s">
        <v>138</v>
      </c>
      <c r="K10" s="7" t="s">
        <v>75</v>
      </c>
      <c r="L10" s="7" t="s">
        <v>76</v>
      </c>
      <c r="M10" s="7" t="s">
        <v>77</v>
      </c>
      <c r="N10" s="7" t="s">
        <v>78</v>
      </c>
      <c r="O10" s="7" t="s">
        <v>79</v>
      </c>
      <c r="Q10" s="7" t="s">
        <v>74</v>
      </c>
      <c r="R10" s="7" t="s">
        <v>80</v>
      </c>
      <c r="T10" s="7" t="s">
        <v>47</v>
      </c>
    </row>
    <row r="13" spans="2:20" s="7" customFormat="1" x14ac:dyDescent="0.2">
      <c r="B13" s="7" t="s">
        <v>135</v>
      </c>
    </row>
    <row r="14" spans="2:20" x14ac:dyDescent="0.2">
      <c r="B14" s="55"/>
    </row>
    <row r="15" spans="2:20" x14ac:dyDescent="0.2">
      <c r="B15" s="58" t="s">
        <v>124</v>
      </c>
      <c r="D15" s="2" t="s">
        <v>182</v>
      </c>
      <c r="H15" s="40">
        <f t="shared" ref="H15:H18" si="0">SUM(J15:O15,Q15:R15)</f>
        <v>7322672.444382879</v>
      </c>
      <c r="J15" s="39">
        <f>'6) Berekening verschil'!J29</f>
        <v>1170189.6381078204</v>
      </c>
      <c r="K15" s="56"/>
      <c r="L15" s="56"/>
      <c r="M15" s="56"/>
      <c r="N15" s="56"/>
      <c r="O15" s="56"/>
      <c r="Q15" s="54"/>
      <c r="R15" s="39">
        <f>'6) Berekening verschil'!R29</f>
        <v>6152482.8062750585</v>
      </c>
    </row>
    <row r="16" spans="2:20" x14ac:dyDescent="0.2">
      <c r="B16" s="58" t="s">
        <v>125</v>
      </c>
      <c r="D16" s="2" t="s">
        <v>183</v>
      </c>
      <c r="H16" s="40">
        <f t="shared" si="0"/>
        <v>19352046.115067873</v>
      </c>
      <c r="J16" s="39">
        <f>'6) Berekening verschil'!J30</f>
        <v>3255773.3015495474</v>
      </c>
      <c r="K16" s="56"/>
      <c r="L16" s="56"/>
      <c r="M16" s="56"/>
      <c r="N16" s="56"/>
      <c r="O16" s="56"/>
      <c r="Q16" s="39">
        <f>'6) Berekening verschil'!Q30</f>
        <v>8021912.3828697065</v>
      </c>
      <c r="R16" s="39">
        <f>'6) Berekening verschil'!R30</f>
        <v>8074360.4306486193</v>
      </c>
    </row>
    <row r="17" spans="2:18" x14ac:dyDescent="0.2">
      <c r="B17" s="58" t="s">
        <v>126</v>
      </c>
      <c r="D17" s="2" t="s">
        <v>184</v>
      </c>
      <c r="H17" s="40">
        <f t="shared" si="0"/>
        <v>26437614.029409491</v>
      </c>
      <c r="J17" s="39">
        <f>'6) Berekening verschil'!J31</f>
        <v>3417876.7577949353</v>
      </c>
      <c r="K17" s="56"/>
      <c r="L17" s="56"/>
      <c r="M17" s="56"/>
      <c r="N17" s="56"/>
      <c r="O17" s="56"/>
      <c r="Q17" s="39">
        <f>'6) Berekening verschil'!Q31</f>
        <v>14543358.146311676</v>
      </c>
      <c r="R17" s="39">
        <f>'6) Berekening verschil'!R31</f>
        <v>8476379.1253028791</v>
      </c>
    </row>
    <row r="18" spans="2:18" x14ac:dyDescent="0.2">
      <c r="B18" s="58" t="s">
        <v>127</v>
      </c>
      <c r="D18" s="2" t="s">
        <v>185</v>
      </c>
      <c r="H18" s="40">
        <f t="shared" si="0"/>
        <v>27753930.680513278</v>
      </c>
      <c r="J18" s="39">
        <f>'6) Berekening verschil'!J32</f>
        <v>3588051.2706197826</v>
      </c>
      <c r="K18" s="56"/>
      <c r="L18" s="56"/>
      <c r="M18" s="56"/>
      <c r="N18" s="56"/>
      <c r="O18" s="56"/>
      <c r="Q18" s="39">
        <f>'6) Berekening verschil'!Q32</f>
        <v>15267465.263907855</v>
      </c>
      <c r="R18" s="39">
        <f>'6) Berekening verschil'!R32</f>
        <v>8898414.1459856424</v>
      </c>
    </row>
    <row r="19" spans="2:18" x14ac:dyDescent="0.2">
      <c r="B19" s="55"/>
    </row>
    <row r="20" spans="2:18" s="7" customFormat="1" x14ac:dyDescent="0.2">
      <c r="B20" s="7" t="s">
        <v>131</v>
      </c>
    </row>
    <row r="22" spans="2:18" x14ac:dyDescent="0.2">
      <c r="B22" s="58" t="s">
        <v>111</v>
      </c>
      <c r="D22" s="59" t="s">
        <v>182</v>
      </c>
      <c r="H22" s="40">
        <f t="shared" ref="H22:H25" si="1">SUM(J22:O22,Q22:R22)</f>
        <v>1478141.7107433437</v>
      </c>
      <c r="J22" s="39">
        <f>'7) Correctie kapitaalkosten'!J90</f>
        <v>459145.22117736842</v>
      </c>
      <c r="K22" s="56"/>
      <c r="L22" s="56"/>
      <c r="M22" s="56"/>
      <c r="N22" s="56"/>
      <c r="O22" s="56"/>
      <c r="Q22" s="54"/>
      <c r="R22" s="39">
        <f>'7) Correctie kapitaalkosten'!R90</f>
        <v>1018996.4895659753</v>
      </c>
    </row>
    <row r="23" spans="2:18" x14ac:dyDescent="0.2">
      <c r="B23" s="58" t="s">
        <v>112</v>
      </c>
      <c r="D23" s="59" t="s">
        <v>183</v>
      </c>
      <c r="H23" s="40">
        <f t="shared" si="1"/>
        <v>4468671.3218065398</v>
      </c>
      <c r="J23" s="39">
        <f>'7) Correctie kapitaalkosten'!J91</f>
        <v>548788.16580862063</v>
      </c>
      <c r="K23" s="56"/>
      <c r="L23" s="56"/>
      <c r="M23" s="56"/>
      <c r="N23" s="56"/>
      <c r="O23" s="56"/>
      <c r="Q23" s="39">
        <f>'7) Correctie kapitaalkosten'!Q91</f>
        <v>2769340.9087770046</v>
      </c>
      <c r="R23" s="39">
        <f>'7) Correctie kapitaalkosten'!R91</f>
        <v>1150542.247220915</v>
      </c>
    </row>
    <row r="24" spans="2:18" x14ac:dyDescent="0.2">
      <c r="B24" s="58" t="s">
        <v>113</v>
      </c>
      <c r="D24" s="59" t="s">
        <v>184</v>
      </c>
      <c r="H24" s="40">
        <f t="shared" si="1"/>
        <v>4690425.0610900912</v>
      </c>
      <c r="J24" s="39">
        <f>'7) Correctie kapitaalkosten'!J92</f>
        <v>560361.79587287991</v>
      </c>
      <c r="K24" s="56"/>
      <c r="L24" s="56"/>
      <c r="M24" s="56"/>
      <c r="N24" s="56"/>
      <c r="O24" s="56"/>
      <c r="Q24" s="39">
        <f>'7) Correctie kapitaalkosten'!Q92</f>
        <v>2955534.8836930124</v>
      </c>
      <c r="R24" s="39">
        <f>'7) Correctie kapitaalkosten'!R92</f>
        <v>1174528.3815241987</v>
      </c>
    </row>
    <row r="25" spans="2:18" x14ac:dyDescent="0.2">
      <c r="B25" s="58" t="s">
        <v>114</v>
      </c>
      <c r="D25" s="59" t="s">
        <v>185</v>
      </c>
      <c r="H25" s="40">
        <f t="shared" si="1"/>
        <v>4788641.3085195683</v>
      </c>
      <c r="J25" s="39">
        <f>'7) Correctie kapitaalkosten'!J93</f>
        <v>571988.90555163322</v>
      </c>
      <c r="K25" s="56"/>
      <c r="L25" s="56"/>
      <c r="M25" s="56"/>
      <c r="N25" s="56"/>
      <c r="O25" s="56"/>
      <c r="Q25" s="39">
        <f>'7) Correctie kapitaalkosten'!Q93</f>
        <v>3018047.865566236</v>
      </c>
      <c r="R25" s="39">
        <f>'7) Correctie kapitaalkosten'!R93</f>
        <v>1198604.5374016985</v>
      </c>
    </row>
    <row r="27" spans="2:18" s="7" customFormat="1" x14ac:dyDescent="0.2">
      <c r="B27" s="7" t="s">
        <v>115</v>
      </c>
    </row>
    <row r="29" spans="2:18" x14ac:dyDescent="0.2">
      <c r="B29" s="2" t="s">
        <v>199</v>
      </c>
      <c r="D29" s="59" t="s">
        <v>182</v>
      </c>
      <c r="H29" s="40">
        <f t="shared" ref="H29:H32" si="2">SUM(J29:O29,Q29:R29)</f>
        <v>5844530.7336395355</v>
      </c>
      <c r="J29" s="30">
        <f>J15-J22</f>
        <v>711044.41693045199</v>
      </c>
      <c r="K29" s="33">
        <f>R15-R22</f>
        <v>5133486.3167090835</v>
      </c>
      <c r="L29" s="56"/>
      <c r="M29" s="56"/>
      <c r="N29" s="56"/>
      <c r="O29" s="56"/>
      <c r="Q29" s="54"/>
      <c r="R29" s="54"/>
    </row>
    <row r="30" spans="2:18" x14ac:dyDescent="0.2">
      <c r="B30" s="2" t="s">
        <v>200</v>
      </c>
      <c r="D30" s="59" t="s">
        <v>183</v>
      </c>
      <c r="H30" s="40">
        <f t="shared" si="2"/>
        <v>14883374.793261332</v>
      </c>
      <c r="J30" s="30">
        <f>J16-J23</f>
        <v>2706985.1357409265</v>
      </c>
      <c r="K30" s="33">
        <f>R16-R23</f>
        <v>6923818.1834277045</v>
      </c>
      <c r="L30" s="56"/>
      <c r="M30" s="56"/>
      <c r="N30" s="33">
        <f>Q16-Q23</f>
        <v>5252571.4740927014</v>
      </c>
      <c r="O30" s="56"/>
      <c r="Q30" s="54"/>
      <c r="R30" s="54"/>
    </row>
    <row r="31" spans="2:18" x14ac:dyDescent="0.2">
      <c r="B31" s="2" t="s">
        <v>201</v>
      </c>
      <c r="D31" s="59" t="s">
        <v>184</v>
      </c>
      <c r="H31" s="40">
        <f t="shared" si="2"/>
        <v>21747188.968319401</v>
      </c>
      <c r="J31" s="30">
        <f>J17-J24</f>
        <v>2857514.9619220551</v>
      </c>
      <c r="K31" s="33">
        <f>R17-R24</f>
        <v>7301850.7437786805</v>
      </c>
      <c r="L31" s="56"/>
      <c r="M31" s="56"/>
      <c r="N31" s="33">
        <f>Q17-Q24</f>
        <v>11587823.262618665</v>
      </c>
      <c r="O31" s="56"/>
      <c r="Q31" s="54"/>
      <c r="R31" s="54"/>
    </row>
    <row r="32" spans="2:18" x14ac:dyDescent="0.2">
      <c r="B32" s="2" t="s">
        <v>202</v>
      </c>
      <c r="D32" s="59" t="s">
        <v>185</v>
      </c>
      <c r="H32" s="40">
        <f t="shared" si="2"/>
        <v>22965289.371993713</v>
      </c>
      <c r="J32" s="30">
        <f>J18-J25</f>
        <v>3016062.3650681493</v>
      </c>
      <c r="K32" s="33">
        <f>R18-R25</f>
        <v>7699809.6085839439</v>
      </c>
      <c r="L32" s="56"/>
      <c r="M32" s="56"/>
      <c r="N32" s="96">
        <f>Q18-Q25</f>
        <v>12249417.398341618</v>
      </c>
      <c r="O32" s="56"/>
      <c r="Q32" s="54"/>
      <c r="R32" s="54"/>
    </row>
    <row r="35" spans="10:10" x14ac:dyDescent="0.2">
      <c r="J35" s="93"/>
    </row>
    <row r="37" spans="10:10" x14ac:dyDescent="0.2">
      <c r="J37" s="94"/>
    </row>
  </sheetData>
  <mergeCells count="2">
    <mergeCell ref="B5:D5"/>
    <mergeCell ref="B8:D8"/>
  </mergeCells>
  <phoneticPr fontId="32" type="noConversion"/>
  <conditionalFormatting sqref="N5:O5">
    <cfRule type="cellIs" dxfId="0" priority="1" stopIfTrue="1" operator="notEqual">
      <formula>""</formula>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
  <sheetViews>
    <sheetView showGridLines="0" zoomScale="85" zoomScaleNormal="85" workbookViewId="0"/>
  </sheetViews>
  <sheetFormatPr defaultRowHeight="12.75" x14ac:dyDescent="0.2"/>
  <cols>
    <col min="1" max="16384" width="9.140625" style="21"/>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1FFE1"/>
  </sheetPr>
  <dimension ref="B2:Y39"/>
  <sheetViews>
    <sheetView showGridLines="0" zoomScale="85" zoomScaleNormal="85" workbookViewId="0">
      <pane xSplit="4" ySplit="8" topLeftCell="E9" activePane="bottomRight" state="frozen"/>
      <selection activeCell="O39" sqref="O39"/>
      <selection pane="topRight" activeCell="O39" sqref="O39"/>
      <selection pane="bottomLeft" activeCell="O39" sqref="O39"/>
      <selection pane="bottomRight" activeCell="E9" sqref="E9"/>
    </sheetView>
  </sheetViews>
  <sheetFormatPr defaultRowHeight="12.75" x14ac:dyDescent="0.2"/>
  <cols>
    <col min="1" max="1" width="2.7109375" style="2" customWidth="1"/>
    <col min="2" max="2" width="35.7109375" style="2" customWidth="1"/>
    <col min="3" max="3" width="2.7109375" style="2" customWidth="1"/>
    <col min="4" max="4" width="11.7109375" style="2" customWidth="1"/>
    <col min="5" max="5" width="2.7109375" style="2" customWidth="1"/>
    <col min="6" max="6" width="13.7109375" style="2" customWidth="1"/>
    <col min="7" max="7" width="2.7109375" style="2" customWidth="1"/>
    <col min="8" max="8" width="13.7109375" style="2" customWidth="1"/>
    <col min="9" max="9" width="2.7109375" style="2" customWidth="1"/>
    <col min="10" max="15" width="12.5703125" style="2" customWidth="1"/>
    <col min="16" max="16" width="2.5703125" style="2" customWidth="1"/>
    <col min="17" max="17" width="14" style="2" customWidth="1"/>
    <col min="18" max="18" width="2.7109375" style="2" customWidth="1"/>
    <col min="19" max="19" width="13.7109375" style="2" customWidth="1"/>
    <col min="20" max="20" width="2.7109375" style="2" customWidth="1"/>
    <col min="21" max="35" width="13.7109375" style="2" customWidth="1"/>
    <col min="36" max="16384" width="9.140625" style="2"/>
  </cols>
  <sheetData>
    <row r="2" spans="2:25" s="18" customFormat="1" ht="18" x14ac:dyDescent="0.2">
      <c r="B2" s="18" t="s">
        <v>160</v>
      </c>
    </row>
    <row r="4" spans="2:25" x14ac:dyDescent="0.2">
      <c r="B4" s="28" t="s">
        <v>29</v>
      </c>
    </row>
    <row r="5" spans="2:25" x14ac:dyDescent="0.2">
      <c r="B5" s="23" t="s">
        <v>227</v>
      </c>
      <c r="F5" s="19"/>
    </row>
    <row r="7" spans="2:25" s="7" customFormat="1" x14ac:dyDescent="0.2">
      <c r="B7" s="7" t="s">
        <v>45</v>
      </c>
      <c r="D7" s="7" t="s">
        <v>27</v>
      </c>
      <c r="F7" s="7" t="s">
        <v>28</v>
      </c>
      <c r="H7" s="7" t="s">
        <v>48</v>
      </c>
      <c r="J7" s="86">
        <v>2021</v>
      </c>
      <c r="K7" s="86">
        <v>2022</v>
      </c>
      <c r="L7" s="86">
        <v>2023</v>
      </c>
      <c r="M7" s="86">
        <v>2024</v>
      </c>
      <c r="N7" s="86">
        <v>2025</v>
      </c>
      <c r="O7" s="86">
        <v>2026</v>
      </c>
      <c r="Q7" s="7" t="s">
        <v>46</v>
      </c>
      <c r="S7" s="7" t="s">
        <v>47</v>
      </c>
    </row>
    <row r="10" spans="2:25" s="7" customFormat="1" x14ac:dyDescent="0.2">
      <c r="B10" s="7" t="s">
        <v>89</v>
      </c>
    </row>
    <row r="12" spans="2:25" x14ac:dyDescent="0.2">
      <c r="B12" s="41" t="s">
        <v>89</v>
      </c>
      <c r="C12" s="43"/>
      <c r="D12" s="43"/>
      <c r="E12" s="43"/>
      <c r="F12" s="43"/>
      <c r="G12" s="43"/>
      <c r="H12" s="43"/>
      <c r="I12" s="43"/>
    </row>
    <row r="13" spans="2:25" x14ac:dyDescent="0.2">
      <c r="B13" s="46" t="s">
        <v>229</v>
      </c>
      <c r="C13" s="43"/>
      <c r="D13" s="43" t="s">
        <v>86</v>
      </c>
      <c r="E13" s="43"/>
      <c r="G13" s="43"/>
      <c r="I13" s="43"/>
      <c r="K13" s="44">
        <v>1.7999999999999999E-2</v>
      </c>
      <c r="L13" s="44">
        <v>1.7999999999999999E-2</v>
      </c>
      <c r="M13" s="44">
        <v>1.7999999999999999E-2</v>
      </c>
      <c r="N13" s="44">
        <v>1.7999999999999999E-2</v>
      </c>
      <c r="O13" s="44">
        <v>1.7999999999999999E-2</v>
      </c>
      <c r="Q13" s="2" t="s">
        <v>215</v>
      </c>
    </row>
    <row r="14" spans="2:25" x14ac:dyDescent="0.2">
      <c r="B14" s="43"/>
      <c r="C14" s="43"/>
      <c r="D14" s="43"/>
      <c r="E14" s="43"/>
      <c r="F14" s="43"/>
      <c r="G14" s="43"/>
      <c r="H14" s="43"/>
      <c r="I14" s="43"/>
      <c r="J14" s="43"/>
      <c r="K14" s="43"/>
      <c r="L14" s="43"/>
      <c r="M14" s="43"/>
      <c r="N14" s="43"/>
      <c r="O14" s="43"/>
      <c r="P14" s="43"/>
      <c r="Q14" s="43"/>
      <c r="R14" s="43"/>
      <c r="S14" s="43"/>
      <c r="T14" s="43"/>
      <c r="U14" s="43"/>
      <c r="V14" s="43"/>
      <c r="W14" s="43"/>
      <c r="X14" s="43"/>
      <c r="Y14" s="43"/>
    </row>
    <row r="15" spans="2:25" x14ac:dyDescent="0.2">
      <c r="B15" s="43" t="s">
        <v>171</v>
      </c>
      <c r="C15" s="43"/>
      <c r="D15" s="43"/>
      <c r="E15" s="43"/>
      <c r="F15" s="43"/>
      <c r="G15" s="43"/>
      <c r="H15" s="49"/>
      <c r="I15" s="49"/>
      <c r="J15" s="50">
        <f>K$13</f>
        <v>1.7999999999999999E-2</v>
      </c>
      <c r="K15" s="12"/>
      <c r="L15" s="12"/>
      <c r="M15" s="12"/>
      <c r="N15" s="12"/>
      <c r="O15" s="12"/>
    </row>
    <row r="16" spans="2:25" x14ac:dyDescent="0.2">
      <c r="B16" s="43" t="s">
        <v>172</v>
      </c>
      <c r="C16" s="43"/>
      <c r="D16" s="43"/>
      <c r="E16" s="43"/>
      <c r="F16" s="43"/>
      <c r="G16" s="43"/>
      <c r="H16" s="49"/>
      <c r="I16" s="49"/>
      <c r="J16" s="51">
        <f>(1+J15)*(1+$L13)-1</f>
        <v>3.6324000000000023E-2</v>
      </c>
      <c r="K16" s="50">
        <f t="shared" ref="K16:N19" si="0">L$13</f>
        <v>1.7999999999999999E-2</v>
      </c>
      <c r="L16" s="12"/>
      <c r="M16" s="12"/>
      <c r="N16" s="12"/>
      <c r="O16" s="12"/>
    </row>
    <row r="17" spans="2:19" x14ac:dyDescent="0.2">
      <c r="B17" s="43" t="s">
        <v>173</v>
      </c>
      <c r="C17" s="43"/>
      <c r="D17" s="43"/>
      <c r="E17" s="43"/>
      <c r="F17" s="43"/>
      <c r="G17" s="43"/>
      <c r="H17" s="49"/>
      <c r="I17" s="49"/>
      <c r="J17" s="51">
        <f>(1+J16)*(1+$M13)-1</f>
        <v>5.497783200000006E-2</v>
      </c>
      <c r="K17" s="51">
        <f>(1+K16)*(1+$M13)-1</f>
        <v>3.6324000000000023E-2</v>
      </c>
      <c r="L17" s="50">
        <f t="shared" si="0"/>
        <v>1.7999999999999999E-2</v>
      </c>
      <c r="M17" s="12"/>
      <c r="N17" s="12"/>
      <c r="O17" s="12"/>
    </row>
    <row r="18" spans="2:19" x14ac:dyDescent="0.2">
      <c r="B18" s="43" t="s">
        <v>174</v>
      </c>
      <c r="C18" s="43"/>
      <c r="D18" s="43"/>
      <c r="E18" s="43"/>
      <c r="F18" s="43"/>
      <c r="G18" s="43"/>
      <c r="H18" s="49"/>
      <c r="I18" s="49"/>
      <c r="J18" s="51">
        <f>(1+J17)*(1+$N13)-1</f>
        <v>7.3967432976000058E-2</v>
      </c>
      <c r="K18" s="51">
        <f>(1+K17)*(1+$N13)-1</f>
        <v>5.497783200000006E-2</v>
      </c>
      <c r="L18" s="51">
        <f>(1+L17)*(1+$N13)-1</f>
        <v>3.6324000000000023E-2</v>
      </c>
      <c r="M18" s="50">
        <f t="shared" si="0"/>
        <v>1.7999999999999999E-2</v>
      </c>
      <c r="N18" s="12"/>
      <c r="O18" s="12"/>
    </row>
    <row r="19" spans="2:19" x14ac:dyDescent="0.2">
      <c r="B19" s="43" t="s">
        <v>175</v>
      </c>
      <c r="C19" s="43"/>
      <c r="D19" s="43"/>
      <c r="E19" s="43"/>
      <c r="F19" s="43"/>
      <c r="G19" s="43"/>
      <c r="H19" s="49"/>
      <c r="I19" s="49"/>
      <c r="J19" s="51">
        <f>(1+J18)*(1+$O13)-1</f>
        <v>9.3298846769568122E-2</v>
      </c>
      <c r="K19" s="51">
        <f>(1+K18)*(1+$O13)-1</f>
        <v>7.3967432976000058E-2</v>
      </c>
      <c r="L19" s="51">
        <f>(1+L18)*(1+$O13)-1</f>
        <v>5.497783200000006E-2</v>
      </c>
      <c r="M19" s="51">
        <f>(1+M18)*(1+$O13)-1</f>
        <v>3.6324000000000023E-2</v>
      </c>
      <c r="N19" s="50">
        <f t="shared" si="0"/>
        <v>1.7999999999999999E-2</v>
      </c>
      <c r="O19" s="12"/>
    </row>
    <row r="20" spans="2:19" ht="12" customHeight="1" x14ac:dyDescent="0.2"/>
    <row r="21" spans="2:19" s="7" customFormat="1" x14ac:dyDescent="0.2">
      <c r="B21" s="7" t="s">
        <v>203</v>
      </c>
    </row>
    <row r="22" spans="2:19" ht="12" customHeight="1" x14ac:dyDescent="0.2"/>
    <row r="23" spans="2:19" ht="12" customHeight="1" x14ac:dyDescent="0.2">
      <c r="B23" s="41" t="s">
        <v>89</v>
      </c>
      <c r="C23" s="43"/>
      <c r="D23" s="43"/>
      <c r="E23" s="43"/>
      <c r="F23" s="43"/>
      <c r="G23" s="43"/>
      <c r="H23" s="43"/>
      <c r="I23" s="43"/>
    </row>
    <row r="24" spans="2:19" ht="12" customHeight="1" x14ac:dyDescent="0.2">
      <c r="B24" s="46" t="s">
        <v>229</v>
      </c>
      <c r="C24" s="43"/>
      <c r="D24" s="43" t="s">
        <v>86</v>
      </c>
      <c r="E24" s="43"/>
      <c r="G24" s="43"/>
      <c r="I24" s="43"/>
      <c r="J24" s="44">
        <v>7.0000000000000001E-3</v>
      </c>
      <c r="K24" s="90">
        <f>0.9%</f>
        <v>9.0000000000000011E-3</v>
      </c>
      <c r="L24" s="90">
        <f t="shared" ref="L24:O24" si="1">0.9%</f>
        <v>9.0000000000000011E-3</v>
      </c>
      <c r="M24" s="90">
        <f t="shared" si="1"/>
        <v>9.0000000000000011E-3</v>
      </c>
      <c r="N24" s="90">
        <f t="shared" si="1"/>
        <v>9.0000000000000011E-3</v>
      </c>
      <c r="O24" s="90">
        <f t="shared" si="1"/>
        <v>9.0000000000000011E-3</v>
      </c>
      <c r="S24" s="2" t="s">
        <v>204</v>
      </c>
    </row>
    <row r="25" spans="2:19" ht="12" customHeight="1" x14ac:dyDescent="0.2">
      <c r="B25" s="43"/>
      <c r="C25" s="43"/>
      <c r="D25" s="43"/>
      <c r="E25" s="43"/>
      <c r="F25" s="43"/>
      <c r="G25" s="43"/>
      <c r="H25" s="43"/>
      <c r="I25" s="43"/>
      <c r="J25" s="43"/>
      <c r="K25" s="43"/>
      <c r="L25" s="43"/>
      <c r="M25" s="43"/>
      <c r="N25" s="43"/>
      <c r="O25" s="43"/>
    </row>
    <row r="26" spans="2:19" ht="12" customHeight="1" x14ac:dyDescent="0.2">
      <c r="B26" s="43" t="s">
        <v>171</v>
      </c>
      <c r="C26" s="43"/>
      <c r="D26" s="43"/>
      <c r="E26" s="43"/>
      <c r="F26" s="43"/>
      <c r="G26" s="43"/>
      <c r="H26" s="49"/>
      <c r="I26" s="49"/>
      <c r="J26" s="50">
        <f>K$24</f>
        <v>9.0000000000000011E-3</v>
      </c>
      <c r="K26" s="12"/>
      <c r="L26" s="12"/>
      <c r="M26" s="12"/>
      <c r="N26" s="12"/>
      <c r="O26" s="12"/>
    </row>
    <row r="27" spans="2:19" ht="12" customHeight="1" x14ac:dyDescent="0.2">
      <c r="B27" s="43" t="s">
        <v>172</v>
      </c>
      <c r="C27" s="43"/>
      <c r="D27" s="43"/>
      <c r="E27" s="43"/>
      <c r="F27" s="43"/>
      <c r="G27" s="43"/>
      <c r="H27" s="49"/>
      <c r="I27" s="49"/>
      <c r="J27" s="51">
        <f>(1+J26)*(1+$L24)-1</f>
        <v>1.8080999999999792E-2</v>
      </c>
      <c r="K27" s="50">
        <f>L$24</f>
        <v>9.0000000000000011E-3</v>
      </c>
      <c r="L27" s="12"/>
      <c r="M27" s="12"/>
      <c r="N27" s="12"/>
      <c r="O27" s="12"/>
    </row>
    <row r="28" spans="2:19" ht="12" customHeight="1" x14ac:dyDescent="0.2">
      <c r="B28" s="43" t="s">
        <v>173</v>
      </c>
      <c r="C28" s="43"/>
      <c r="D28" s="43"/>
      <c r="E28" s="43"/>
      <c r="F28" s="43"/>
      <c r="G28" s="43"/>
      <c r="H28" s="49"/>
      <c r="I28" s="49"/>
      <c r="J28" s="51">
        <f>(1+J27)*(1+$M24)-1</f>
        <v>2.7243728999999606E-2</v>
      </c>
      <c r="K28" s="51">
        <f>(1+K27)*(1+$M24)-1</f>
        <v>1.8080999999999792E-2</v>
      </c>
      <c r="L28" s="50">
        <f>M$24</f>
        <v>9.0000000000000011E-3</v>
      </c>
      <c r="M28" s="12"/>
      <c r="N28" s="12"/>
      <c r="O28" s="12"/>
    </row>
    <row r="29" spans="2:19" ht="12" customHeight="1" x14ac:dyDescent="0.2">
      <c r="B29" s="43" t="s">
        <v>174</v>
      </c>
      <c r="C29" s="43"/>
      <c r="D29" s="43"/>
      <c r="E29" s="43"/>
      <c r="F29" s="43"/>
      <c r="G29" s="43"/>
      <c r="H29" s="49"/>
      <c r="I29" s="49"/>
      <c r="J29" s="51">
        <f>(1+J28)*(1+$N24)-1</f>
        <v>3.6488922560999448E-2</v>
      </c>
      <c r="K29" s="51">
        <f>(1+K28)*(1+$N24)-1</f>
        <v>2.7243728999999606E-2</v>
      </c>
      <c r="L29" s="51">
        <f>(1+L28)*(1+$N24)-1</f>
        <v>1.8080999999999792E-2</v>
      </c>
      <c r="M29" s="50">
        <f>N$24</f>
        <v>9.0000000000000011E-3</v>
      </c>
      <c r="N29" s="12"/>
      <c r="O29" s="12"/>
    </row>
    <row r="30" spans="2:19" ht="12" customHeight="1" x14ac:dyDescent="0.2">
      <c r="B30" s="43" t="s">
        <v>175</v>
      </c>
      <c r="C30" s="43"/>
      <c r="D30" s="43"/>
      <c r="E30" s="43"/>
      <c r="F30" s="43"/>
      <c r="G30" s="43"/>
      <c r="H30" s="49"/>
      <c r="I30" s="49"/>
      <c r="J30" s="51">
        <f>(1+J29)*(1+$O24)-1</f>
        <v>4.5817322864048382E-2</v>
      </c>
      <c r="K30" s="51">
        <f>(1+K29)*(1+$O24)-1</f>
        <v>3.6488922560999448E-2</v>
      </c>
      <c r="L30" s="51">
        <f>(1+L29)*(1+$O24)-1</f>
        <v>2.7243728999999606E-2</v>
      </c>
      <c r="M30" s="51">
        <f>(1+M29)*(1+$O24)-1</f>
        <v>1.8080999999999792E-2</v>
      </c>
      <c r="N30" s="50">
        <f>O$24</f>
        <v>9.0000000000000011E-3</v>
      </c>
      <c r="O30" s="12"/>
    </row>
    <row r="31" spans="2:19" ht="12" customHeight="1" x14ac:dyDescent="0.2"/>
    <row r="32" spans="2:19" s="7" customFormat="1" x14ac:dyDescent="0.2">
      <c r="B32" s="7" t="s">
        <v>72</v>
      </c>
    </row>
    <row r="34" spans="2:17" x14ac:dyDescent="0.2">
      <c r="B34" s="2" t="s">
        <v>206</v>
      </c>
      <c r="D34" s="2" t="s">
        <v>86</v>
      </c>
      <c r="F34" s="95">
        <v>-3.0451719992511186E-2</v>
      </c>
      <c r="Q34" s="2" t="s">
        <v>222</v>
      </c>
    </row>
    <row r="36" spans="2:17" s="7" customFormat="1" x14ac:dyDescent="0.2">
      <c r="B36" s="7" t="s">
        <v>71</v>
      </c>
    </row>
    <row r="37" spans="2:17" s="8" customFormat="1" x14ac:dyDescent="0.2">
      <c r="H37" s="45"/>
    </row>
    <row r="38" spans="2:17" s="63" customFormat="1" x14ac:dyDescent="0.2">
      <c r="B38" s="64" t="s">
        <v>228</v>
      </c>
    </row>
    <row r="39" spans="2:17" s="63" customFormat="1" x14ac:dyDescent="0.2">
      <c r="B39" s="65" t="s">
        <v>71</v>
      </c>
      <c r="D39" s="63" t="s">
        <v>86</v>
      </c>
      <c r="J39" s="44">
        <v>2.5999999999999999E-2</v>
      </c>
      <c r="K39" s="44">
        <v>2.4E-2</v>
      </c>
      <c r="L39" s="44">
        <v>2.3E-2</v>
      </c>
      <c r="M39" s="44">
        <v>2.8000000000000001E-2</v>
      </c>
      <c r="N39" s="44">
        <v>2.8000000000000001E-2</v>
      </c>
      <c r="O39" s="44">
        <v>2.8000000000000001E-2</v>
      </c>
      <c r="Q39" s="63" t="s">
        <v>223</v>
      </c>
    </row>
  </sheetData>
  <phoneticPr fontId="32"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1FFE1"/>
  </sheetPr>
  <dimension ref="B2:V18"/>
  <sheetViews>
    <sheetView showGridLines="0" zoomScale="85" zoomScaleNormal="85" workbookViewId="0">
      <pane xSplit="4" ySplit="8" topLeftCell="E9" activePane="bottomRight" state="frozen"/>
      <selection activeCell="R6" sqref="R6"/>
      <selection pane="topRight" activeCell="R6" sqref="R6"/>
      <selection pane="bottomLeft" activeCell="R6" sqref="R6"/>
      <selection pane="bottomRight" activeCell="E9" sqref="E9"/>
    </sheetView>
  </sheetViews>
  <sheetFormatPr defaultRowHeight="12.75" x14ac:dyDescent="0.2"/>
  <cols>
    <col min="1" max="1" width="2.7109375" style="2" customWidth="1"/>
    <col min="2" max="2" width="55.28515625" style="2" customWidth="1"/>
    <col min="3" max="3" width="2.7109375" style="2" customWidth="1"/>
    <col min="4" max="4" width="13.7109375" style="2" customWidth="1"/>
    <col min="5" max="5" width="2.7109375" style="2" customWidth="1"/>
    <col min="6" max="6" width="13.7109375" style="2" customWidth="1"/>
    <col min="7" max="7" width="2.7109375" style="2" customWidth="1"/>
    <col min="8" max="8" width="15" style="2" bestFit="1" customWidth="1"/>
    <col min="9" max="9" width="2.7109375" style="2" customWidth="1"/>
    <col min="10" max="10" width="12.5703125" style="2" customWidth="1"/>
    <col min="11" max="12" width="14" style="2" bestFit="1" customWidth="1"/>
    <col min="13" max="13" width="12.5703125" style="2" customWidth="1"/>
    <col min="14" max="14" width="14" style="2" bestFit="1" customWidth="1"/>
    <col min="15" max="15" width="12.5703125" style="2" customWidth="1"/>
    <col min="16" max="16" width="2.28515625" style="2" customWidth="1"/>
    <col min="17" max="18" width="12.5703125" style="2" customWidth="1"/>
    <col min="19" max="19" width="2.140625" style="2" customWidth="1"/>
    <col min="20" max="20" width="24" style="2" customWidth="1"/>
    <col min="21" max="21" width="2.7109375" style="2" customWidth="1"/>
    <col min="22" max="36" width="13.7109375" style="2" customWidth="1"/>
    <col min="37" max="16384" width="9.140625" style="2"/>
  </cols>
  <sheetData>
    <row r="2" spans="2:22" s="18" customFormat="1" ht="18" x14ac:dyDescent="0.2">
      <c r="B2" s="18" t="s">
        <v>73</v>
      </c>
    </row>
    <row r="4" spans="2:22" x14ac:dyDescent="0.2">
      <c r="B4" s="28" t="s">
        <v>29</v>
      </c>
    </row>
    <row r="5" spans="2:22" x14ac:dyDescent="0.2">
      <c r="B5" s="23" t="s">
        <v>118</v>
      </c>
      <c r="F5" s="19"/>
    </row>
    <row r="7" spans="2:22" s="7" customFormat="1" x14ac:dyDescent="0.2">
      <c r="B7" s="7" t="s">
        <v>45</v>
      </c>
      <c r="D7" s="7" t="s">
        <v>27</v>
      </c>
      <c r="F7" s="7" t="s">
        <v>28</v>
      </c>
      <c r="H7" s="7" t="s">
        <v>48</v>
      </c>
      <c r="J7" s="7" t="s">
        <v>138</v>
      </c>
      <c r="K7" s="7" t="s">
        <v>75</v>
      </c>
      <c r="L7" s="7" t="s">
        <v>76</v>
      </c>
      <c r="M7" s="7" t="s">
        <v>77</v>
      </c>
      <c r="N7" s="7" t="s">
        <v>78</v>
      </c>
      <c r="O7" s="7" t="s">
        <v>79</v>
      </c>
      <c r="Q7" s="7" t="s">
        <v>74</v>
      </c>
      <c r="R7" s="7" t="s">
        <v>80</v>
      </c>
      <c r="T7" s="7" t="s">
        <v>139</v>
      </c>
      <c r="V7" s="7" t="s">
        <v>47</v>
      </c>
    </row>
    <row r="10" spans="2:22" s="7" customFormat="1" x14ac:dyDescent="0.2">
      <c r="B10" s="7" t="s">
        <v>92</v>
      </c>
    </row>
    <row r="12" spans="2:22" x14ac:dyDescent="0.2">
      <c r="B12" s="2" t="s">
        <v>92</v>
      </c>
      <c r="J12" s="35">
        <v>22.7039087285122</v>
      </c>
      <c r="K12" s="54"/>
      <c r="L12" s="54"/>
      <c r="M12" s="54"/>
      <c r="N12" s="54"/>
      <c r="O12" s="54"/>
      <c r="Q12" s="35">
        <v>23.504971529317128</v>
      </c>
      <c r="R12" s="35">
        <v>22.223477539741737</v>
      </c>
      <c r="T12" s="2" t="s">
        <v>224</v>
      </c>
    </row>
    <row r="14" spans="2:22" s="7" customFormat="1" x14ac:dyDescent="0.2">
      <c r="B14" s="7" t="s">
        <v>211</v>
      </c>
    </row>
    <row r="16" spans="2:22" x14ac:dyDescent="0.2">
      <c r="B16" s="42" t="s">
        <v>81</v>
      </c>
    </row>
    <row r="17" spans="2:20" x14ac:dyDescent="0.2">
      <c r="B17" s="43" t="s">
        <v>82</v>
      </c>
      <c r="D17" s="43" t="s">
        <v>212</v>
      </c>
      <c r="H17" s="40">
        <f>SUM(J17:O17,Q17:R17)</f>
        <v>20700990.575905338</v>
      </c>
      <c r="J17" s="35">
        <v>2694768.6039677551</v>
      </c>
      <c r="K17" s="54"/>
      <c r="L17" s="54"/>
      <c r="M17" s="54"/>
      <c r="N17" s="54"/>
      <c r="O17" s="54"/>
      <c r="Q17" s="35">
        <v>11242254.658943705</v>
      </c>
      <c r="R17" s="35">
        <v>6763967.3129938785</v>
      </c>
      <c r="T17" s="2" t="s">
        <v>224</v>
      </c>
    </row>
    <row r="18" spans="2:20" x14ac:dyDescent="0.2">
      <c r="B18" s="43" t="s">
        <v>83</v>
      </c>
      <c r="D18" s="43" t="s">
        <v>212</v>
      </c>
      <c r="H18" s="40">
        <f>SUM(J18:O18,Q18:R18)</f>
        <v>41028729.678603165</v>
      </c>
      <c r="J18" s="35">
        <v>4591639.7456214875</v>
      </c>
      <c r="K18" s="54"/>
      <c r="L18" s="54"/>
      <c r="M18" s="54"/>
      <c r="N18" s="54"/>
      <c r="O18" s="54"/>
      <c r="Q18" s="35">
        <v>28161527.845986769</v>
      </c>
      <c r="R18" s="35">
        <v>8275562.0869949088</v>
      </c>
      <c r="T18" s="2" t="s">
        <v>224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
  <sheetViews>
    <sheetView showGridLines="0" zoomScale="85" zoomScaleNormal="85" workbookViewId="0"/>
  </sheetViews>
  <sheetFormatPr defaultRowHeight="12.75" x14ac:dyDescent="0.2"/>
  <cols>
    <col min="1" max="16384" width="9.140625" style="21"/>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sheetPr>
  <dimension ref="B2:U84"/>
  <sheetViews>
    <sheetView showGridLines="0" zoomScale="85" zoomScaleNormal="85" workbookViewId="0">
      <pane xSplit="5" ySplit="8" topLeftCell="F9" activePane="bottomRight" state="frozen"/>
      <selection activeCell="R6" sqref="R6"/>
      <selection pane="topRight" activeCell="R6" sqref="R6"/>
      <selection pane="bottomLeft" activeCell="R6" sqref="R6"/>
      <selection pane="bottomRight" activeCell="F9" sqref="F9"/>
    </sheetView>
  </sheetViews>
  <sheetFormatPr defaultRowHeight="12.75" x14ac:dyDescent="0.2"/>
  <cols>
    <col min="1" max="1" width="2.7109375" style="2" customWidth="1"/>
    <col min="2" max="2" width="61.7109375" style="2" customWidth="1"/>
    <col min="3" max="3" width="15.42578125" style="2" customWidth="1"/>
    <col min="4" max="4" width="2.7109375" style="2" customWidth="1"/>
    <col min="5" max="5" width="13.7109375" style="2" customWidth="1"/>
    <col min="6" max="6" width="2.7109375" style="2" customWidth="1"/>
    <col min="7" max="7" width="16.5703125" style="2" bestFit="1" customWidth="1"/>
    <col min="8" max="8" width="2.7109375" style="2" customWidth="1"/>
    <col min="9" max="9" width="13.7109375" style="2" customWidth="1"/>
    <col min="10" max="10" width="2.7109375" style="2" customWidth="1"/>
    <col min="11" max="12" width="12.5703125" style="2" customWidth="1"/>
    <col min="13" max="13" width="11.140625" style="2" customWidth="1"/>
    <col min="14" max="14" width="12.5703125" style="2" customWidth="1"/>
    <col min="15" max="15" width="11.7109375" style="2" customWidth="1"/>
    <col min="16" max="16" width="12.5703125" style="2" customWidth="1"/>
    <col min="17" max="17" width="2.7109375" style="2" customWidth="1"/>
    <col min="18" max="18" width="12.5703125" style="2" customWidth="1"/>
    <col min="19" max="19" width="13.5703125" style="2" customWidth="1"/>
    <col min="20" max="20" width="3.42578125" style="2" customWidth="1"/>
    <col min="21" max="24" width="13.7109375" style="2" customWidth="1"/>
    <col min="25" max="25" width="2.85546875" style="2" customWidth="1"/>
    <col min="26" max="26" width="13.7109375" style="2" customWidth="1"/>
    <col min="27" max="27" width="3.28515625" style="2" customWidth="1"/>
    <col min="28" max="32" width="13.7109375" style="2" customWidth="1"/>
    <col min="33" max="16384" width="9.140625" style="2"/>
  </cols>
  <sheetData>
    <row r="2" spans="2:21" s="18" customFormat="1" ht="18" x14ac:dyDescent="0.2">
      <c r="B2" s="18" t="s">
        <v>116</v>
      </c>
    </row>
    <row r="4" spans="2:21" x14ac:dyDescent="0.2">
      <c r="B4" s="28" t="s">
        <v>53</v>
      </c>
      <c r="C4" s="28"/>
    </row>
    <row r="5" spans="2:21" ht="39.75" customHeight="1" x14ac:dyDescent="0.2">
      <c r="B5" s="102" t="s">
        <v>236</v>
      </c>
      <c r="C5" s="102"/>
      <c r="D5" s="102"/>
      <c r="E5" s="102"/>
    </row>
    <row r="6" spans="2:21" x14ac:dyDescent="0.2">
      <c r="B6" s="47"/>
      <c r="C6" s="47"/>
    </row>
    <row r="7" spans="2:21" s="7" customFormat="1" x14ac:dyDescent="0.2">
      <c r="B7" s="7" t="s">
        <v>45</v>
      </c>
      <c r="E7" s="7" t="s">
        <v>27</v>
      </c>
      <c r="G7" s="7" t="s">
        <v>28</v>
      </c>
      <c r="I7" s="7" t="s">
        <v>48</v>
      </c>
      <c r="K7" s="7" t="s">
        <v>138</v>
      </c>
      <c r="L7" s="7" t="s">
        <v>75</v>
      </c>
      <c r="M7" s="7" t="s">
        <v>76</v>
      </c>
      <c r="N7" s="7" t="s">
        <v>77</v>
      </c>
      <c r="O7" s="7" t="s">
        <v>78</v>
      </c>
      <c r="P7" s="7" t="s">
        <v>79</v>
      </c>
      <c r="R7" s="7" t="s">
        <v>74</v>
      </c>
      <c r="S7" s="7" t="s">
        <v>80</v>
      </c>
      <c r="U7" s="7" t="s">
        <v>47</v>
      </c>
    </row>
    <row r="10" spans="2:21" s="7" customFormat="1" x14ac:dyDescent="0.2">
      <c r="B10" s="7" t="s">
        <v>93</v>
      </c>
    </row>
    <row r="12" spans="2:21" x14ac:dyDescent="0.2">
      <c r="B12" s="1" t="s">
        <v>140</v>
      </c>
      <c r="C12" s="1"/>
    </row>
    <row r="13" spans="2:21" x14ac:dyDescent="0.2">
      <c r="B13" s="2" t="s">
        <v>141</v>
      </c>
      <c r="G13" s="52">
        <f>'2) Parameters'!J39</f>
        <v>2.5999999999999999E-2</v>
      </c>
    </row>
    <row r="14" spans="2:21" x14ac:dyDescent="0.2">
      <c r="B14" s="2" t="s">
        <v>142</v>
      </c>
      <c r="G14" s="52">
        <f>'2) Parameters'!K39</f>
        <v>2.4E-2</v>
      </c>
    </row>
    <row r="15" spans="2:21" x14ac:dyDescent="0.2">
      <c r="B15" s="2" t="s">
        <v>143</v>
      </c>
      <c r="G15" s="52">
        <f>'2) Parameters'!L39</f>
        <v>2.3E-2</v>
      </c>
    </row>
    <row r="16" spans="2:21" x14ac:dyDescent="0.2">
      <c r="B16" s="2" t="s">
        <v>144</v>
      </c>
      <c r="G16" s="52">
        <f>'2) Parameters'!M39</f>
        <v>2.8000000000000001E-2</v>
      </c>
    </row>
    <row r="17" spans="2:19" x14ac:dyDescent="0.2">
      <c r="B17" s="2" t="s">
        <v>145</v>
      </c>
      <c r="G17" s="52">
        <f>'2) Parameters'!N39</f>
        <v>2.8000000000000001E-2</v>
      </c>
    </row>
    <row r="18" spans="2:19" x14ac:dyDescent="0.2">
      <c r="B18" s="2" t="s">
        <v>146</v>
      </c>
      <c r="G18" s="52">
        <f>'2) Parameters'!O39</f>
        <v>2.8000000000000001E-2</v>
      </c>
    </row>
    <row r="20" spans="2:19" x14ac:dyDescent="0.2">
      <c r="B20" s="46" t="s">
        <v>176</v>
      </c>
      <c r="C20" s="46"/>
      <c r="G20" s="52">
        <f>'2) Parameters'!J26</f>
        <v>9.0000000000000011E-3</v>
      </c>
    </row>
    <row r="21" spans="2:19" x14ac:dyDescent="0.2">
      <c r="B21" s="46" t="s">
        <v>177</v>
      </c>
      <c r="C21" s="46"/>
      <c r="G21" s="52">
        <f>'2) Parameters'!K27</f>
        <v>9.0000000000000011E-3</v>
      </c>
    </row>
    <row r="22" spans="2:19" x14ac:dyDescent="0.2">
      <c r="B22" s="46" t="s">
        <v>178</v>
      </c>
      <c r="C22" s="46"/>
      <c r="G22" s="52">
        <f>'2) Parameters'!L28</f>
        <v>9.0000000000000011E-3</v>
      </c>
    </row>
    <row r="23" spans="2:19" x14ac:dyDescent="0.2">
      <c r="B23" s="46" t="s">
        <v>179</v>
      </c>
      <c r="C23" s="46"/>
      <c r="G23" s="52">
        <f>'2) Parameters'!M29</f>
        <v>9.0000000000000011E-3</v>
      </c>
    </row>
    <row r="24" spans="2:19" x14ac:dyDescent="0.2">
      <c r="B24" s="46" t="s">
        <v>180</v>
      </c>
      <c r="C24" s="46"/>
      <c r="G24" s="52">
        <f>'2) Parameters'!N30</f>
        <v>9.0000000000000011E-3</v>
      </c>
    </row>
    <row r="26" spans="2:19" s="7" customFormat="1" x14ac:dyDescent="0.2">
      <c r="B26" s="7" t="s">
        <v>97</v>
      </c>
    </row>
    <row r="28" spans="2:19" x14ac:dyDescent="0.2">
      <c r="B28" s="1" t="s">
        <v>96</v>
      </c>
      <c r="C28" s="1"/>
    </row>
    <row r="29" spans="2:19" x14ac:dyDescent="0.2">
      <c r="B29" s="2" t="s">
        <v>84</v>
      </c>
      <c r="E29" s="2" t="s">
        <v>91</v>
      </c>
      <c r="I29" s="40">
        <f t="shared" ref="I29:I30" si="0">SUM(K29:P29,R29:S29)</f>
        <v>20700990.575905338</v>
      </c>
      <c r="K29" s="39">
        <f>'3) Import GAW'!J17</f>
        <v>2694768.6039677551</v>
      </c>
      <c r="L29" s="56"/>
      <c r="M29" s="56"/>
      <c r="N29" s="56"/>
      <c r="O29" s="56"/>
      <c r="P29" s="56"/>
      <c r="R29" s="39">
        <f>'3) Import GAW'!Q17</f>
        <v>11242254.658943705</v>
      </c>
      <c r="S29" s="39">
        <f>'3) Import GAW'!R17</f>
        <v>6763967.3129938785</v>
      </c>
    </row>
    <row r="30" spans="2:19" x14ac:dyDescent="0.2">
      <c r="B30" s="2" t="s">
        <v>85</v>
      </c>
      <c r="E30" s="2" t="s">
        <v>91</v>
      </c>
      <c r="I30" s="40">
        <f t="shared" si="0"/>
        <v>41028729.678603165</v>
      </c>
      <c r="K30" s="39">
        <f>'3) Import GAW'!J18</f>
        <v>4591639.7456214875</v>
      </c>
      <c r="L30" s="56"/>
      <c r="M30" s="56"/>
      <c r="N30" s="56"/>
      <c r="O30" s="56"/>
      <c r="P30" s="56"/>
      <c r="R30" s="39">
        <f>'3) Import GAW'!Q18</f>
        <v>28161527.845986769</v>
      </c>
      <c r="S30" s="39">
        <f>'3) Import GAW'!R18</f>
        <v>8275562.0869949088</v>
      </c>
    </row>
    <row r="32" spans="2:19" x14ac:dyDescent="0.2">
      <c r="B32" s="8" t="s">
        <v>88</v>
      </c>
      <c r="C32" s="8" t="s">
        <v>207</v>
      </c>
      <c r="E32" s="2" t="s">
        <v>91</v>
      </c>
      <c r="I32" s="40">
        <f t="shared" ref="I32:I36" si="1">SUM(K32:P32,R32:S32)</f>
        <v>1066746.9716436823</v>
      </c>
      <c r="K32" s="40">
        <f>K30*$G$13</f>
        <v>119382.63338615868</v>
      </c>
      <c r="L32" s="56"/>
      <c r="M32" s="56"/>
      <c r="N32" s="56"/>
      <c r="O32" s="56"/>
      <c r="P32" s="56"/>
      <c r="R32" s="40">
        <f>R30*$G$13</f>
        <v>732199.72399565601</v>
      </c>
      <c r="S32" s="40">
        <f>S30*$G$13</f>
        <v>215164.61426186762</v>
      </c>
    </row>
    <row r="33" spans="2:19" x14ac:dyDescent="0.2">
      <c r="B33" s="8" t="s">
        <v>88</v>
      </c>
      <c r="C33" s="8" t="s">
        <v>208</v>
      </c>
      <c r="E33" s="2" t="s">
        <v>91</v>
      </c>
      <c r="I33" s="40">
        <f t="shared" si="1"/>
        <v>1148804.4310008888</v>
      </c>
      <c r="K33" s="40">
        <f>K30*$G$18</f>
        <v>128565.91287740166</v>
      </c>
      <c r="L33" s="56"/>
      <c r="M33" s="56"/>
      <c r="N33" s="56"/>
      <c r="O33" s="56"/>
      <c r="P33" s="56"/>
      <c r="R33" s="40">
        <f t="shared" ref="R33:S33" si="2">R30*$G$18</f>
        <v>788522.77968762955</v>
      </c>
      <c r="S33" s="40">
        <f t="shared" si="2"/>
        <v>231715.73843585746</v>
      </c>
    </row>
    <row r="34" spans="2:19" x14ac:dyDescent="0.2">
      <c r="B34" s="8"/>
      <c r="C34" s="8"/>
    </row>
    <row r="35" spans="2:19" x14ac:dyDescent="0.2">
      <c r="B35" s="58" t="s">
        <v>87</v>
      </c>
      <c r="C35" s="58" t="s">
        <v>207</v>
      </c>
      <c r="E35" s="2" t="s">
        <v>91</v>
      </c>
      <c r="I35" s="40">
        <f t="shared" si="1"/>
        <v>21767737.54754902</v>
      </c>
      <c r="K35" s="40">
        <f>K32+K$29</f>
        <v>2814151.237353914</v>
      </c>
      <c r="L35" s="56"/>
      <c r="M35" s="56"/>
      <c r="N35" s="56"/>
      <c r="O35" s="56"/>
      <c r="P35" s="56"/>
      <c r="R35" s="40">
        <f t="shared" ref="R35:S35" si="3">R32+R$29</f>
        <v>11974454.382939361</v>
      </c>
      <c r="S35" s="40">
        <f t="shared" si="3"/>
        <v>6979131.927255746</v>
      </c>
    </row>
    <row r="36" spans="2:19" x14ac:dyDescent="0.2">
      <c r="B36" s="58" t="s">
        <v>87</v>
      </c>
      <c r="C36" s="58" t="s">
        <v>208</v>
      </c>
      <c r="E36" s="2" t="s">
        <v>91</v>
      </c>
      <c r="I36" s="40">
        <f t="shared" si="1"/>
        <v>21849795.006906226</v>
      </c>
      <c r="K36" s="40">
        <f>K33+K$29</f>
        <v>2823334.5168451569</v>
      </c>
      <c r="L36" s="56"/>
      <c r="M36" s="56"/>
      <c r="N36" s="56"/>
      <c r="O36" s="56"/>
      <c r="P36" s="56"/>
      <c r="R36" s="40">
        <f t="shared" ref="R36:S36" si="4">R33+R$29</f>
        <v>12030777.438631335</v>
      </c>
      <c r="S36" s="40">
        <f t="shared" si="4"/>
        <v>6995683.0514297355</v>
      </c>
    </row>
    <row r="38" spans="2:19" s="7" customFormat="1" x14ac:dyDescent="0.2">
      <c r="B38" s="7" t="s">
        <v>98</v>
      </c>
    </row>
    <row r="40" spans="2:19" x14ac:dyDescent="0.2">
      <c r="B40" s="1" t="s">
        <v>96</v>
      </c>
      <c r="C40" s="1"/>
    </row>
    <row r="41" spans="2:19" x14ac:dyDescent="0.2">
      <c r="B41" s="2" t="s">
        <v>84</v>
      </c>
      <c r="E41" s="2" t="s">
        <v>181</v>
      </c>
      <c r="I41" s="40">
        <f t="shared" ref="I41:I42" si="5">SUM(K41:P41,R41:S41)</f>
        <v>20887299.491088487</v>
      </c>
      <c r="K41" s="40">
        <f>K29*(1+$G20)</f>
        <v>2719021.5214034645</v>
      </c>
      <c r="L41" s="56"/>
      <c r="M41" s="56"/>
      <c r="N41" s="56"/>
      <c r="O41" s="56"/>
      <c r="P41" s="56"/>
      <c r="R41" s="40">
        <f>R29*(1+$G20)</f>
        <v>11343434.950874198</v>
      </c>
      <c r="S41" s="40">
        <f>S29*(1+$G20)</f>
        <v>6824843.0188108226</v>
      </c>
    </row>
    <row r="42" spans="2:19" x14ac:dyDescent="0.2">
      <c r="B42" s="2" t="s">
        <v>85</v>
      </c>
      <c r="E42" s="2" t="s">
        <v>181</v>
      </c>
      <c r="I42" s="40">
        <f t="shared" si="5"/>
        <v>20510688.754622106</v>
      </c>
      <c r="K42" s="40">
        <f>K30*(1+$G20)-K41</f>
        <v>1913942.9819286158</v>
      </c>
      <c r="L42" s="56"/>
      <c r="M42" s="56"/>
      <c r="N42" s="56"/>
      <c r="O42" s="56"/>
      <c r="P42" s="56"/>
      <c r="R42" s="40">
        <f>R30*(1+$G20)-R41</f>
        <v>17071546.64572645</v>
      </c>
      <c r="S42" s="40">
        <f>S30*(1+$G20)-S41</f>
        <v>1525199.1269670399</v>
      </c>
    </row>
    <row r="44" spans="2:19" x14ac:dyDescent="0.2">
      <c r="B44" s="8" t="s">
        <v>88</v>
      </c>
      <c r="C44" s="8"/>
      <c r="E44" s="2" t="s">
        <v>181</v>
      </c>
      <c r="I44" s="40">
        <f t="shared" ref="I44:I45" si="6">SUM(K44:P44,R44:S44)</f>
        <v>492256.53011093056</v>
      </c>
      <c r="K44" s="40">
        <f>K42*$G$14</f>
        <v>45934.631566286778</v>
      </c>
      <c r="L44" s="56"/>
      <c r="M44" s="56"/>
      <c r="N44" s="56"/>
      <c r="O44" s="56"/>
      <c r="P44" s="56"/>
      <c r="R44" s="40">
        <f>R42*$G$14</f>
        <v>409717.11949743482</v>
      </c>
      <c r="S44" s="40">
        <f>S42*$G$14</f>
        <v>36604.779047208955</v>
      </c>
    </row>
    <row r="45" spans="2:19" x14ac:dyDescent="0.2">
      <c r="B45" s="58" t="s">
        <v>87</v>
      </c>
      <c r="C45" s="58"/>
      <c r="E45" s="2" t="s">
        <v>181</v>
      </c>
      <c r="I45" s="40">
        <f t="shared" si="6"/>
        <v>21379556.021199416</v>
      </c>
      <c r="K45" s="40">
        <f>K44+K41</f>
        <v>2764956.152969751</v>
      </c>
      <c r="L45" s="56"/>
      <c r="M45" s="56"/>
      <c r="N45" s="56"/>
      <c r="O45" s="56"/>
      <c r="P45" s="56"/>
      <c r="R45" s="40">
        <f>R44+R41</f>
        <v>11753152.070371633</v>
      </c>
      <c r="S45" s="40">
        <f>S44+S41</f>
        <v>6861447.7978580315</v>
      </c>
    </row>
    <row r="47" spans="2:19" s="7" customFormat="1" x14ac:dyDescent="0.2">
      <c r="B47" s="7" t="s">
        <v>99</v>
      </c>
    </row>
    <row r="49" spans="2:19" x14ac:dyDescent="0.2">
      <c r="B49" s="1" t="s">
        <v>96</v>
      </c>
      <c r="C49" s="1"/>
    </row>
    <row r="50" spans="2:19" x14ac:dyDescent="0.2">
      <c r="B50" s="2" t="s">
        <v>84</v>
      </c>
      <c r="E50" s="2" t="s">
        <v>182</v>
      </c>
      <c r="I50" s="40">
        <f t="shared" ref="I50:I51" si="7">SUM(K50:P50,R50:S50)</f>
        <v>14915620.253307782</v>
      </c>
      <c r="K50" s="99">
        <f>K42*(1+$G21)</f>
        <v>1931168.4687659731</v>
      </c>
      <c r="L50" s="56"/>
      <c r="M50" s="56"/>
      <c r="N50" s="56"/>
      <c r="O50" s="56"/>
      <c r="P50" s="56"/>
      <c r="R50" s="40">
        <f>R41*(1+$G21)</f>
        <v>11445525.865432065</v>
      </c>
      <c r="S50" s="99">
        <f>S42*(1+$G21)</f>
        <v>1538925.9191097431</v>
      </c>
    </row>
    <row r="51" spans="2:19" x14ac:dyDescent="0.2">
      <c r="B51" s="2" t="s">
        <v>85</v>
      </c>
      <c r="E51" s="2" t="s">
        <v>182</v>
      </c>
      <c r="I51" s="40">
        <f t="shared" si="7"/>
        <v>5779664.7001059204</v>
      </c>
      <c r="K51" s="40">
        <f>K42*(1+$G21)-K50</f>
        <v>0</v>
      </c>
      <c r="L51" s="56"/>
      <c r="M51" s="56"/>
      <c r="N51" s="56"/>
      <c r="O51" s="56"/>
      <c r="P51" s="56"/>
      <c r="R51" s="40">
        <f>R42*(1+$G21)-R50</f>
        <v>5779664.7001059204</v>
      </c>
      <c r="S51" s="40">
        <f>S42*(1+$G21)-S50</f>
        <v>0</v>
      </c>
    </row>
    <row r="53" spans="2:19" x14ac:dyDescent="0.2">
      <c r="B53" s="8" t="s">
        <v>88</v>
      </c>
      <c r="C53" s="8"/>
      <c r="E53" s="2" t="s">
        <v>182</v>
      </c>
      <c r="I53" s="40">
        <f t="shared" ref="I53:I54" si="8">SUM(K53:P53,R53:S53)</f>
        <v>132932.28810243617</v>
      </c>
      <c r="K53" s="40">
        <f>K51*$G$15</f>
        <v>0</v>
      </c>
      <c r="L53" s="56"/>
      <c r="M53" s="56"/>
      <c r="N53" s="56"/>
      <c r="O53" s="56"/>
      <c r="P53" s="56"/>
      <c r="R53" s="40">
        <f>R51*$G$15</f>
        <v>132932.28810243617</v>
      </c>
      <c r="S53" s="40">
        <f>S51*$G$15</f>
        <v>0</v>
      </c>
    </row>
    <row r="54" spans="2:19" x14ac:dyDescent="0.2">
      <c r="B54" s="58" t="s">
        <v>87</v>
      </c>
      <c r="C54" s="58"/>
      <c r="E54" s="2" t="s">
        <v>182</v>
      </c>
      <c r="I54" s="40">
        <f t="shared" si="8"/>
        <v>15048552.541410219</v>
      </c>
      <c r="K54" s="40">
        <f>K53+K50</f>
        <v>1931168.4687659731</v>
      </c>
      <c r="L54" s="56"/>
      <c r="M54" s="56"/>
      <c r="N54" s="56"/>
      <c r="O54" s="56"/>
      <c r="P54" s="56"/>
      <c r="R54" s="40">
        <f>R53+R50</f>
        <v>11578458.153534502</v>
      </c>
      <c r="S54" s="40">
        <f>S53+S50</f>
        <v>1538925.9191097431</v>
      </c>
    </row>
    <row r="56" spans="2:19" s="7" customFormat="1" x14ac:dyDescent="0.2">
      <c r="B56" s="7" t="s">
        <v>100</v>
      </c>
    </row>
    <row r="58" spans="2:19" x14ac:dyDescent="0.2">
      <c r="B58" s="1" t="s">
        <v>96</v>
      </c>
      <c r="C58" s="1"/>
    </row>
    <row r="59" spans="2:19" x14ac:dyDescent="0.2">
      <c r="B59" s="2" t="s">
        <v>84</v>
      </c>
      <c r="E59" s="2" t="s">
        <v>183</v>
      </c>
      <c r="I59" s="40">
        <f>SUM(K59:P59,R59:S59)</f>
        <v>5831681.6824068734</v>
      </c>
      <c r="K59" s="40">
        <f>K51*(1+$G22)</f>
        <v>0</v>
      </c>
      <c r="L59" s="56"/>
      <c r="M59" s="56"/>
      <c r="N59" s="56"/>
      <c r="O59" s="56"/>
      <c r="P59" s="56"/>
      <c r="R59" s="33">
        <f>R51*(1+$G22)</f>
        <v>5831681.6824068734</v>
      </c>
      <c r="S59" s="40">
        <f>S51*(1+$G22)</f>
        <v>0</v>
      </c>
    </row>
    <row r="60" spans="2:19" x14ac:dyDescent="0.2">
      <c r="B60" s="2" t="s">
        <v>85</v>
      </c>
      <c r="E60" s="2" t="s">
        <v>183</v>
      </c>
      <c r="I60" s="40">
        <f t="shared" ref="I60" si="9">SUM(K60:P60,R60:S60)</f>
        <v>0</v>
      </c>
      <c r="K60" s="40">
        <f>K51*(1+$G22)-K59</f>
        <v>0</v>
      </c>
      <c r="L60" s="56"/>
      <c r="M60" s="56"/>
      <c r="N60" s="56"/>
      <c r="O60" s="56"/>
      <c r="P60" s="56"/>
      <c r="R60" s="40">
        <f>R51*(1+$G22)-R59</f>
        <v>0</v>
      </c>
      <c r="S60" s="40">
        <f>S51*(1+$G22)-S59</f>
        <v>0</v>
      </c>
    </row>
    <row r="62" spans="2:19" x14ac:dyDescent="0.2">
      <c r="B62" s="8" t="s">
        <v>88</v>
      </c>
      <c r="C62" s="8"/>
      <c r="E62" s="2" t="s">
        <v>183</v>
      </c>
      <c r="I62" s="40">
        <f t="shared" ref="I62:I63" si="10">SUM(K62:P62,R62:S62)</f>
        <v>0</v>
      </c>
      <c r="K62" s="40">
        <f>K60*$G$16</f>
        <v>0</v>
      </c>
      <c r="L62" s="56"/>
      <c r="M62" s="56"/>
      <c r="N62" s="56"/>
      <c r="O62" s="56"/>
      <c r="P62" s="56"/>
      <c r="R62" s="40">
        <f>R60*$G$16</f>
        <v>0</v>
      </c>
      <c r="S62" s="40">
        <f>S60*$G$16</f>
        <v>0</v>
      </c>
    </row>
    <row r="63" spans="2:19" x14ac:dyDescent="0.2">
      <c r="B63" s="58" t="s">
        <v>87</v>
      </c>
      <c r="C63" s="58"/>
      <c r="E63" s="2" t="s">
        <v>183</v>
      </c>
      <c r="I63" s="40">
        <f t="shared" si="10"/>
        <v>5831681.6824068734</v>
      </c>
      <c r="K63" s="40">
        <f>K62+K59</f>
        <v>0</v>
      </c>
      <c r="L63" s="56"/>
      <c r="M63" s="56"/>
      <c r="N63" s="56"/>
      <c r="O63" s="56"/>
      <c r="P63" s="56"/>
      <c r="R63" s="40">
        <f>R62+R59</f>
        <v>5831681.6824068734</v>
      </c>
      <c r="S63" s="40">
        <f>S62+S59</f>
        <v>0</v>
      </c>
    </row>
    <row r="65" spans="2:19" s="7" customFormat="1" x14ac:dyDescent="0.2">
      <c r="B65" s="7" t="s">
        <v>101</v>
      </c>
    </row>
    <row r="67" spans="2:19" x14ac:dyDescent="0.2">
      <c r="B67" s="1" t="s">
        <v>96</v>
      </c>
      <c r="C67" s="1"/>
    </row>
    <row r="68" spans="2:19" x14ac:dyDescent="0.2">
      <c r="B68" s="2" t="s">
        <v>84</v>
      </c>
      <c r="E68" s="2" t="s">
        <v>184</v>
      </c>
      <c r="I68" s="40">
        <f t="shared" ref="I68:I69" si="11">SUM(K68:P68,R68:S68)</f>
        <v>0</v>
      </c>
      <c r="K68" s="40">
        <f>K60*(1+$G23)</f>
        <v>0</v>
      </c>
      <c r="L68" s="56"/>
      <c r="M68" s="56"/>
      <c r="N68" s="56"/>
      <c r="O68" s="56"/>
      <c r="P68" s="56"/>
      <c r="R68" s="40">
        <f>R60*(1+$G23)</f>
        <v>0</v>
      </c>
      <c r="S68" s="40">
        <f>S60*(1+$G23)</f>
        <v>0</v>
      </c>
    </row>
    <row r="69" spans="2:19" x14ac:dyDescent="0.2">
      <c r="B69" s="2" t="s">
        <v>85</v>
      </c>
      <c r="E69" s="2" t="s">
        <v>184</v>
      </c>
      <c r="I69" s="40">
        <f t="shared" si="11"/>
        <v>0</v>
      </c>
      <c r="K69" s="40">
        <f>K60*(1+$G23)-K68</f>
        <v>0</v>
      </c>
      <c r="L69" s="56"/>
      <c r="M69" s="56"/>
      <c r="N69" s="56"/>
      <c r="O69" s="56"/>
      <c r="P69" s="56"/>
      <c r="R69" s="40">
        <f>R60*(1+$G23)-R68</f>
        <v>0</v>
      </c>
      <c r="S69" s="40">
        <f>S60*(1+$G23)-S68</f>
        <v>0</v>
      </c>
    </row>
    <row r="71" spans="2:19" x14ac:dyDescent="0.2">
      <c r="B71" s="8" t="s">
        <v>88</v>
      </c>
      <c r="C71" s="8"/>
      <c r="E71" s="2" t="s">
        <v>184</v>
      </c>
      <c r="I71" s="40">
        <f t="shared" ref="I71:I72" si="12">SUM(K71:P71,R71:S71)</f>
        <v>0</v>
      </c>
      <c r="K71" s="40">
        <f>K69*$G$17</f>
        <v>0</v>
      </c>
      <c r="L71" s="56"/>
      <c r="M71" s="56"/>
      <c r="N71" s="56"/>
      <c r="O71" s="56"/>
      <c r="P71" s="56"/>
      <c r="R71" s="40">
        <f>R69*$G$17</f>
        <v>0</v>
      </c>
      <c r="S71" s="40">
        <f>S69*$G$17</f>
        <v>0</v>
      </c>
    </row>
    <row r="72" spans="2:19" x14ac:dyDescent="0.2">
      <c r="B72" s="58" t="s">
        <v>87</v>
      </c>
      <c r="C72" s="58"/>
      <c r="E72" s="2" t="s">
        <v>184</v>
      </c>
      <c r="I72" s="40">
        <f t="shared" si="12"/>
        <v>0</v>
      </c>
      <c r="K72" s="40">
        <f>K71+K68</f>
        <v>0</v>
      </c>
      <c r="L72" s="56"/>
      <c r="M72" s="56"/>
      <c r="N72" s="56"/>
      <c r="O72" s="56"/>
      <c r="P72" s="56"/>
      <c r="R72" s="40">
        <f>R71+R68</f>
        <v>0</v>
      </c>
      <c r="S72" s="40">
        <f>S71+S68</f>
        <v>0</v>
      </c>
    </row>
    <row r="73" spans="2:19" x14ac:dyDescent="0.2">
      <c r="B73" s="55"/>
      <c r="C73" s="55"/>
    </row>
    <row r="74" spans="2:19" s="7" customFormat="1" x14ac:dyDescent="0.2">
      <c r="B74" s="7" t="s">
        <v>102</v>
      </c>
    </row>
    <row r="76" spans="2:19" x14ac:dyDescent="0.2">
      <c r="B76" s="1" t="s">
        <v>96</v>
      </c>
      <c r="C76" s="1"/>
    </row>
    <row r="77" spans="2:19" x14ac:dyDescent="0.2">
      <c r="B77" s="2" t="s">
        <v>84</v>
      </c>
      <c r="E77" s="2" t="s">
        <v>185</v>
      </c>
      <c r="I77" s="40">
        <f t="shared" ref="I77:I78" si="13">SUM(K77:P77,R77:S77)</f>
        <v>0</v>
      </c>
      <c r="K77" s="40">
        <f>K69*(1+$G24)</f>
        <v>0</v>
      </c>
      <c r="L77" s="56"/>
      <c r="M77" s="56"/>
      <c r="N77" s="56"/>
      <c r="O77" s="56"/>
      <c r="P77" s="56"/>
      <c r="R77" s="40">
        <f>R69*(1+$G24)</f>
        <v>0</v>
      </c>
      <c r="S77" s="40">
        <f>S69*(1+$G24)</f>
        <v>0</v>
      </c>
    </row>
    <row r="78" spans="2:19" x14ac:dyDescent="0.2">
      <c r="B78" s="2" t="s">
        <v>85</v>
      </c>
      <c r="E78" s="2" t="s">
        <v>185</v>
      </c>
      <c r="I78" s="40">
        <f t="shared" si="13"/>
        <v>0</v>
      </c>
      <c r="K78" s="40">
        <f>K69*(1+$G24)-K77</f>
        <v>0</v>
      </c>
      <c r="L78" s="56"/>
      <c r="M78" s="56"/>
      <c r="N78" s="56"/>
      <c r="O78" s="56"/>
      <c r="P78" s="56"/>
      <c r="R78" s="40">
        <f>R69*(1+$G24)-R77</f>
        <v>0</v>
      </c>
      <c r="S78" s="40">
        <f>S69*(1+$G24)-S77</f>
        <v>0</v>
      </c>
    </row>
    <row r="80" spans="2:19" x14ac:dyDescent="0.2">
      <c r="B80" s="8" t="s">
        <v>88</v>
      </c>
      <c r="C80" s="8"/>
      <c r="E80" s="2" t="s">
        <v>185</v>
      </c>
      <c r="I80" s="40">
        <f t="shared" ref="I80:I81" si="14">SUM(K80:P80,R80:S80)</f>
        <v>0</v>
      </c>
      <c r="K80" s="40">
        <f>K78*$G$18</f>
        <v>0</v>
      </c>
      <c r="L80" s="56"/>
      <c r="M80" s="56"/>
      <c r="N80" s="56"/>
      <c r="O80" s="56"/>
      <c r="P80" s="56"/>
      <c r="R80" s="40">
        <f>R78*$G$18</f>
        <v>0</v>
      </c>
      <c r="S80" s="40">
        <f>S78*$G$18</f>
        <v>0</v>
      </c>
    </row>
    <row r="81" spans="2:19" x14ac:dyDescent="0.2">
      <c r="B81" s="58" t="s">
        <v>87</v>
      </c>
      <c r="C81" s="58"/>
      <c r="E81" s="2" t="s">
        <v>185</v>
      </c>
      <c r="I81" s="40">
        <f t="shared" si="14"/>
        <v>0</v>
      </c>
      <c r="K81" s="40">
        <f>K80+K77</f>
        <v>0</v>
      </c>
      <c r="L81" s="56"/>
      <c r="M81" s="56"/>
      <c r="N81" s="56"/>
      <c r="O81" s="56"/>
      <c r="P81" s="56"/>
      <c r="R81" s="40">
        <f>R80+R77</f>
        <v>0</v>
      </c>
      <c r="S81" s="40">
        <f>S80+S77</f>
        <v>0</v>
      </c>
    </row>
    <row r="82" spans="2:19" x14ac:dyDescent="0.2">
      <c r="B82" s="55"/>
      <c r="C82" s="55"/>
    </row>
    <row r="84" spans="2:19" x14ac:dyDescent="0.2">
      <c r="G84" s="53"/>
    </row>
  </sheetData>
  <mergeCells count="1">
    <mergeCell ref="B5:E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20B76403CB6F24694D915B3C168C0E6" ma:contentTypeVersion="0" ma:contentTypeDescription="Een nieuw document maken." ma:contentTypeScope="" ma:versionID="bf02a18621bcb6325d2ad5de47f96fac">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2.xml><?xml version="1.0" encoding="utf-8"?>
<ds:datastoreItem xmlns:ds="http://schemas.openxmlformats.org/officeDocument/2006/customXml" ds:itemID="{61BDC70D-3516-47CA-A74A-26D77D0F6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CDAB9D1-B815-4B0E-93E7-4496A7FE99F6}">
  <ds:schemaRefs>
    <ds:schemaRef ds:uri="http://schemas.microsoft.com/office/2006/documentManagement/types"/>
    <ds:schemaRef ds:uri="http://purl.org/dc/terms/"/>
    <ds:schemaRef ds:uri="http://purl.org/dc/dcmitype/"/>
    <ds:schemaRef ds:uri="http://schemas.microsoft.com/office/infopath/2007/PartnerControls"/>
    <ds:schemaRef ds:uri="http://www.w3.org/XML/1998/namespace"/>
    <ds:schemaRef ds:uri="http://schemas.openxmlformats.org/package/2006/metadata/core-properties"/>
    <ds:schemaRef ds:uri="http://purl.org/dc/elements/1.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Titelblad</vt:lpstr>
      <vt:lpstr>Toelichting</vt:lpstr>
      <vt:lpstr>Bronnen en toepassingen</vt:lpstr>
      <vt:lpstr>1) Resultaat</vt:lpstr>
      <vt:lpstr>Input --&gt;</vt:lpstr>
      <vt:lpstr>2) Parameters</vt:lpstr>
      <vt:lpstr>3) Import GAW</vt:lpstr>
      <vt:lpstr>Berekeningen --&gt;</vt:lpstr>
      <vt:lpstr>4) Kapitaalkosten start-GAW</vt:lpstr>
      <vt:lpstr>5) Schatting REG2022</vt:lpstr>
      <vt:lpstr>6) Berekening verschil</vt:lpstr>
      <vt:lpstr>7) Correctie kapitaalkosten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2024-04-09T08:47:13Z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0x010100E20B76403CB6F24694D915B3C168C0E6</vt:lpwstr>
  </property>
</Properties>
</file>