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defaultThemeVersion="124226"/>
  <xr:revisionPtr revIDLastSave="0" documentId="13_ncr:1_{5F166D82-9242-4911-A1AE-DC95E1A2AC4A}" xr6:coauthVersionLast="47" xr6:coauthVersionMax="47" xr10:uidLastSave="{00000000-0000-0000-0000-000000000000}"/>
  <bookViews>
    <workbookView xWindow="-120" yWindow="-120" windowWidth="29040" windowHeight="15840" firstSheet="1" activeTab="4" xr2:uid="{00000000-000D-0000-FFFF-FFFF00000000}"/>
  </bookViews>
  <sheets>
    <sheet name="Cover sheet" sheetId="9" r:id="rId1"/>
    <sheet name="Explanation" sheetId="10" r:id="rId2"/>
    <sheet name="Sources and specifics" sheetId="11" r:id="rId3"/>
    <sheet name="Production price 2025" sheetId="27" r:id="rId4"/>
    <sheet name="Dictum and Appendix" sheetId="28" r:id="rId5"/>
    <sheet name="Input --&gt;" sheetId="29" r:id="rId6"/>
    <sheet name="Parameters" sheetId="30" r:id="rId7"/>
    <sheet name="Est. and realized costs 2023" sheetId="31" r:id="rId8"/>
    <sheet name="Production and fuel costs 2023" sheetId="32" r:id="rId9"/>
    <sheet name="Est. production and costs 2025" sheetId="33" r:id="rId10"/>
    <sheet name="Calculations --&gt;" sheetId="34" r:id="rId11"/>
    <sheet name="Calculation RAB" sheetId="35" r:id="rId12"/>
    <sheet name="Fuel costs and income 2023" sheetId="36" r:id="rId13"/>
    <sheet name="Volume and PS corrections 2023" sheetId="37" r:id="rId14"/>
    <sheet name="Total income 2025" sheetId="3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60" i="38" l="1"/>
  <c r="H59" i="38"/>
  <c r="H61" i="38"/>
  <c r="H90" i="33"/>
  <c r="E53" i="28" l="1"/>
  <c r="H48" i="38"/>
  <c r="H89" i="33"/>
  <c r="H28" i="38" l="1"/>
  <c r="H16" i="37"/>
  <c r="H36" i="33"/>
  <c r="E31" i="28" l="1"/>
  <c r="H29" i="38" l="1"/>
  <c r="H135" i="35"/>
  <c r="H140" i="35"/>
  <c r="H345" i="35" s="1"/>
  <c r="H145" i="35"/>
  <c r="H150" i="35"/>
  <c r="H363" i="35" s="1"/>
  <c r="H155" i="35"/>
  <c r="H372" i="35" s="1"/>
  <c r="H160" i="35"/>
  <c r="H130" i="35"/>
  <c r="H80" i="33"/>
  <c r="H162" i="35" s="1"/>
  <c r="H384" i="35" s="1"/>
  <c r="H75" i="33"/>
  <c r="H157" i="35" s="1"/>
  <c r="H375" i="35" s="1"/>
  <c r="H70" i="33"/>
  <c r="H152" i="35" s="1"/>
  <c r="H366" i="35" s="1"/>
  <c r="H65" i="33"/>
  <c r="H147" i="35" s="1"/>
  <c r="H357" i="35" s="1"/>
  <c r="H60" i="33"/>
  <c r="H142" i="35" s="1"/>
  <c r="H348" i="35" s="1"/>
  <c r="H55" i="33"/>
  <c r="H137" i="35" s="1"/>
  <c r="H339" i="35" s="1"/>
  <c r="H50" i="33"/>
  <c r="H132" i="35" s="1"/>
  <c r="H330" i="35" s="1"/>
  <c r="H61" i="31"/>
  <c r="H62" i="31" s="1"/>
  <c r="H68" i="31" s="1"/>
  <c r="H74" i="33" s="1"/>
  <c r="H156" i="35" s="1"/>
  <c r="H137" i="31"/>
  <c r="H143" i="31" s="1"/>
  <c r="H79" i="33" s="1"/>
  <c r="H161" i="35" s="1"/>
  <c r="H354" i="35" l="1"/>
  <c r="H379" i="35"/>
  <c r="H380" i="35" s="1"/>
  <c r="H336" i="35"/>
  <c r="H370" i="35"/>
  <c r="H371" i="35" s="1"/>
  <c r="H373" i="35" s="1"/>
  <c r="H374" i="35" s="1"/>
  <c r="H376" i="35" s="1"/>
  <c r="H381" i="35"/>
  <c r="H327" i="35"/>
  <c r="H64" i="31"/>
  <c r="H66" i="31"/>
  <c r="H64" i="33" s="1"/>
  <c r="H146" i="35" s="1"/>
  <c r="H352" i="35" s="1"/>
  <c r="H353" i="35" s="1"/>
  <c r="H141" i="31"/>
  <c r="H69" i="33" s="1"/>
  <c r="H151" i="35" s="1"/>
  <c r="H361" i="35" s="1"/>
  <c r="H362" i="35" s="1"/>
  <c r="H364" i="35" s="1"/>
  <c r="H365" i="35" s="1"/>
  <c r="H367" i="35" s="1"/>
  <c r="H139" i="31"/>
  <c r="H59" i="33" s="1"/>
  <c r="H141" i="35" s="1"/>
  <c r="H343" i="35" s="1"/>
  <c r="H344" i="35" s="1"/>
  <c r="H346" i="35" s="1"/>
  <c r="H347" i="35" s="1"/>
  <c r="H349" i="35" s="1"/>
  <c r="H54" i="33" l="1"/>
  <c r="H136" i="35" s="1"/>
  <c r="H334" i="35" s="1"/>
  <c r="H335" i="35" s="1"/>
  <c r="H337" i="35" s="1"/>
  <c r="H338" i="35" s="1"/>
  <c r="H340" i="35" s="1"/>
  <c r="H49" i="33"/>
  <c r="H131" i="35" s="1"/>
  <c r="H325" i="35" s="1"/>
  <c r="H326" i="35" s="1"/>
  <c r="H382" i="35"/>
  <c r="H383" i="35" s="1"/>
  <c r="H385" i="35" s="1"/>
  <c r="H355" i="35"/>
  <c r="H356" i="35" s="1"/>
  <c r="H358" i="35" s="1"/>
  <c r="H328" i="35" l="1"/>
  <c r="H329" i="35" s="1"/>
  <c r="H331" i="35" s="1"/>
  <c r="E45" i="28" l="1"/>
  <c r="H19" i="35" l="1"/>
  <c r="H72" i="38" l="1"/>
  <c r="H86" i="35" l="1"/>
  <c r="H27" i="38"/>
  <c r="H25" i="38"/>
  <c r="H17" i="33" l="1"/>
  <c r="H16" i="33"/>
  <c r="E22" i="28"/>
  <c r="E21" i="28"/>
  <c r="E24" i="28"/>
  <c r="E23" i="28"/>
  <c r="H14" i="38" l="1"/>
  <c r="H15" i="38"/>
  <c r="H118" i="35" l="1"/>
  <c r="H119" i="35"/>
  <c r="H305" i="35" s="1"/>
  <c r="H117" i="35"/>
  <c r="H99" i="35"/>
  <c r="H100" i="35"/>
  <c r="H101" i="35"/>
  <c r="H98" i="35"/>
  <c r="H94" i="35"/>
  <c r="H95" i="35"/>
  <c r="H258" i="35" s="1"/>
  <c r="H96" i="35"/>
  <c r="H93" i="35"/>
  <c r="H255" i="35" s="1"/>
  <c r="H271" i="35" l="1"/>
  <c r="H269" i="35"/>
  <c r="H274" i="35"/>
  <c r="H270" i="35" l="1"/>
  <c r="H276" i="35" s="1"/>
  <c r="H282" i="35"/>
  <c r="H279" i="35"/>
  <c r="H278" i="35"/>
  <c r="H272" i="35" l="1"/>
  <c r="H273" i="35" s="1"/>
  <c r="H275" i="35" s="1"/>
  <c r="H280" i="35"/>
  <c r="H281" i="35" s="1"/>
  <c r="N25" i="32"/>
  <c r="H52" i="38" l="1"/>
  <c r="H31" i="38"/>
  <c r="H17" i="38"/>
  <c r="H18" i="38" s="1"/>
  <c r="H30" i="37"/>
  <c r="H22" i="37"/>
  <c r="H17" i="37"/>
  <c r="H48" i="37" s="1"/>
  <c r="H20" i="37"/>
  <c r="H49" i="37" s="1"/>
  <c r="Y35" i="36"/>
  <c r="X35" i="36"/>
  <c r="W35" i="36"/>
  <c r="V35" i="36"/>
  <c r="U35" i="36"/>
  <c r="T35" i="36"/>
  <c r="S35" i="36"/>
  <c r="R35" i="36"/>
  <c r="Q35" i="36"/>
  <c r="P35" i="36"/>
  <c r="O35" i="36"/>
  <c r="N35" i="36"/>
  <c r="Y32" i="36"/>
  <c r="X32" i="36"/>
  <c r="W32" i="36"/>
  <c r="V32" i="36"/>
  <c r="U32" i="36"/>
  <c r="T32" i="36"/>
  <c r="S32" i="36"/>
  <c r="R32" i="36"/>
  <c r="Q32" i="36"/>
  <c r="P32" i="36"/>
  <c r="O32" i="36"/>
  <c r="N32" i="36"/>
  <c r="Y31" i="36"/>
  <c r="Y41" i="36" s="1"/>
  <c r="Y42" i="36" s="1"/>
  <c r="X31" i="36"/>
  <c r="X41" i="36" s="1"/>
  <c r="X42" i="36" s="1"/>
  <c r="W31" i="36"/>
  <c r="W41" i="36" s="1"/>
  <c r="W42" i="36" s="1"/>
  <c r="V31" i="36"/>
  <c r="U31" i="36"/>
  <c r="U41" i="36" s="1"/>
  <c r="U42" i="36" s="1"/>
  <c r="T31" i="36"/>
  <c r="T41" i="36" s="1"/>
  <c r="T42" i="36" s="1"/>
  <c r="S31" i="36"/>
  <c r="S41" i="36" s="1"/>
  <c r="S42" i="36" s="1"/>
  <c r="R31" i="36"/>
  <c r="R41" i="36" s="1"/>
  <c r="R42" i="36" s="1"/>
  <c r="Q31" i="36"/>
  <c r="Q41" i="36" s="1"/>
  <c r="Q42" i="36" s="1"/>
  <c r="P31" i="36"/>
  <c r="P41" i="36" s="1"/>
  <c r="P42" i="36" s="1"/>
  <c r="O31" i="36"/>
  <c r="O41" i="36" s="1"/>
  <c r="O42" i="36" s="1"/>
  <c r="N31" i="36"/>
  <c r="N41" i="36" s="1"/>
  <c r="N42" i="36" s="1"/>
  <c r="Y21" i="36"/>
  <c r="X21" i="36"/>
  <c r="W21" i="36"/>
  <c r="V21" i="36"/>
  <c r="U21" i="36"/>
  <c r="T21" i="36"/>
  <c r="S21" i="36"/>
  <c r="R21" i="36"/>
  <c r="Q21" i="36"/>
  <c r="P21" i="36"/>
  <c r="O21" i="36"/>
  <c r="N21" i="36"/>
  <c r="Y20" i="36"/>
  <c r="Y23" i="36" s="1"/>
  <c r="X20" i="36"/>
  <c r="X23" i="36" s="1"/>
  <c r="W20" i="36"/>
  <c r="W23" i="36" s="1"/>
  <c r="V20" i="36"/>
  <c r="V23" i="36" s="1"/>
  <c r="U20" i="36"/>
  <c r="U23" i="36" s="1"/>
  <c r="T20" i="36"/>
  <c r="T23" i="36" s="1"/>
  <c r="S20" i="36"/>
  <c r="S23" i="36" s="1"/>
  <c r="R20" i="36"/>
  <c r="Q20" i="36"/>
  <c r="Q23" i="36" s="1"/>
  <c r="P20" i="36"/>
  <c r="P23" i="36" s="1"/>
  <c r="O20" i="36"/>
  <c r="O23" i="36" s="1"/>
  <c r="N20" i="36"/>
  <c r="N23" i="36" s="1"/>
  <c r="Y17" i="36"/>
  <c r="X17" i="36"/>
  <c r="W17" i="36"/>
  <c r="V17" i="36"/>
  <c r="U17" i="36"/>
  <c r="T17" i="36"/>
  <c r="S17" i="36"/>
  <c r="R17" i="36"/>
  <c r="Q17" i="36"/>
  <c r="P17" i="36"/>
  <c r="O17" i="36"/>
  <c r="N17" i="36"/>
  <c r="Y16" i="36"/>
  <c r="Y45" i="36" s="1"/>
  <c r="X16" i="36"/>
  <c r="X45" i="36" s="1"/>
  <c r="W16" i="36"/>
  <c r="W45" i="36" s="1"/>
  <c r="V16" i="36"/>
  <c r="V45" i="36" s="1"/>
  <c r="U16" i="36"/>
  <c r="U45" i="36" s="1"/>
  <c r="T16" i="36"/>
  <c r="T45" i="36" s="1"/>
  <c r="S16" i="36"/>
  <c r="S45" i="36" s="1"/>
  <c r="R16" i="36"/>
  <c r="R45" i="36" s="1"/>
  <c r="Q16" i="36"/>
  <c r="Q45" i="36" s="1"/>
  <c r="P16" i="36"/>
  <c r="P45" i="36" s="1"/>
  <c r="O16" i="36"/>
  <c r="O45" i="36" s="1"/>
  <c r="N16" i="36"/>
  <c r="N45" i="36" s="1"/>
  <c r="H124" i="35"/>
  <c r="H123" i="35"/>
  <c r="H122" i="35"/>
  <c r="H302" i="35"/>
  <c r="H114" i="35"/>
  <c r="H113" i="35"/>
  <c r="H112" i="35"/>
  <c r="H109" i="35"/>
  <c r="H107" i="35"/>
  <c r="H88" i="35"/>
  <c r="H87" i="35"/>
  <c r="H84" i="35"/>
  <c r="H83" i="35"/>
  <c r="H82" i="35"/>
  <c r="H77" i="35"/>
  <c r="H76" i="35"/>
  <c r="H75" i="35"/>
  <c r="H70" i="35"/>
  <c r="H69" i="35"/>
  <c r="H68" i="35"/>
  <c r="H63" i="35"/>
  <c r="H62" i="35"/>
  <c r="H61" i="35"/>
  <c r="H56" i="35"/>
  <c r="H55" i="35"/>
  <c r="H54" i="35"/>
  <c r="H51" i="35"/>
  <c r="H50" i="35"/>
  <c r="H49" i="35"/>
  <c r="H42" i="35"/>
  <c r="H41" i="35"/>
  <c r="H40" i="35"/>
  <c r="H37" i="35"/>
  <c r="H36" i="35"/>
  <c r="H35" i="35"/>
  <c r="H28" i="35"/>
  <c r="H27" i="35"/>
  <c r="H26" i="35"/>
  <c r="H25" i="35"/>
  <c r="H20" i="35"/>
  <c r="H427" i="35" s="1"/>
  <c r="H108" i="35"/>
  <c r="H44" i="38"/>
  <c r="Y25" i="32"/>
  <c r="X25" i="32"/>
  <c r="W25" i="32"/>
  <c r="V25" i="32"/>
  <c r="U25" i="32"/>
  <c r="T25" i="32"/>
  <c r="S25" i="32"/>
  <c r="R25" i="32"/>
  <c r="Q25" i="32"/>
  <c r="P25" i="32"/>
  <c r="O25" i="32"/>
  <c r="J23" i="32"/>
  <c r="J22" i="32"/>
  <c r="E54" i="28"/>
  <c r="E49" i="28"/>
  <c r="E48" i="28"/>
  <c r="E26" i="28"/>
  <c r="E25" i="28"/>
  <c r="H50" i="37" l="1"/>
  <c r="H39" i="38"/>
  <c r="E38" i="28"/>
  <c r="H36" i="37"/>
  <c r="H37" i="37" s="1"/>
  <c r="H318" i="35"/>
  <c r="H315" i="35"/>
  <c r="H313" i="35"/>
  <c r="H314" i="35" s="1"/>
  <c r="H288" i="35"/>
  <c r="H208" i="35"/>
  <c r="H209" i="35" s="1"/>
  <c r="E50" i="28"/>
  <c r="E51" i="28" s="1"/>
  <c r="H253" i="35"/>
  <c r="H262" i="35" s="1"/>
  <c r="H300" i="35"/>
  <c r="V41" i="36"/>
  <c r="V42" i="36" s="1"/>
  <c r="R23" i="36"/>
  <c r="J25" i="32"/>
  <c r="H28" i="37" s="1"/>
  <c r="H52" i="37" s="1"/>
  <c r="H53" i="37" s="1"/>
  <c r="H51" i="38"/>
  <c r="H87" i="38" s="1"/>
  <c r="H169" i="35"/>
  <c r="H216" i="35"/>
  <c r="H217" i="35" s="1"/>
  <c r="H186" i="35"/>
  <c r="H239" i="35"/>
  <c r="H243" i="35" s="1"/>
  <c r="E52" i="28"/>
  <c r="H294" i="35"/>
  <c r="H296" i="35" s="1"/>
  <c r="H24" i="38"/>
  <c r="H58" i="38" s="1"/>
  <c r="H25" i="37"/>
  <c r="H45" i="38"/>
  <c r="H228" i="35"/>
  <c r="H235" i="35" s="1"/>
  <c r="H38" i="37" l="1"/>
  <c r="H170" i="35"/>
  <c r="H171" i="35" s="1"/>
  <c r="H401" i="35" s="1"/>
  <c r="H81" i="38"/>
  <c r="H41" i="37"/>
  <c r="H290" i="35"/>
  <c r="H49" i="36"/>
  <c r="H316" i="35"/>
  <c r="H317" i="35" s="1"/>
  <c r="H319" i="35" s="1"/>
  <c r="H309" i="35"/>
  <c r="H308" i="35"/>
  <c r="H295" i="35"/>
  <c r="H297" i="35" s="1"/>
  <c r="H289" i="35"/>
  <c r="H254" i="35"/>
  <c r="H241" i="35"/>
  <c r="H245" i="35"/>
  <c r="H240" i="35"/>
  <c r="H234" i="35"/>
  <c r="H236" i="35" s="1"/>
  <c r="H266" i="35"/>
  <c r="H263" i="35"/>
  <c r="H264" i="35" s="1"/>
  <c r="H265" i="35" s="1"/>
  <c r="H229" i="35"/>
  <c r="H230" i="35"/>
  <c r="H246" i="35"/>
  <c r="H210" i="35"/>
  <c r="H211" i="35" s="1"/>
  <c r="H187" i="35"/>
  <c r="H301" i="35"/>
  <c r="H46" i="38"/>
  <c r="H232" i="35"/>
  <c r="H173" i="35" l="1"/>
  <c r="H291" i="35"/>
  <c r="H16" i="27"/>
  <c r="H42" i="37"/>
  <c r="H69" i="38" s="1"/>
  <c r="H303" i="35"/>
  <c r="H304" i="35" s="1"/>
  <c r="H306" i="35" s="1"/>
  <c r="H310" i="35"/>
  <c r="H256" i="35"/>
  <c r="H257" i="35" s="1"/>
  <c r="H259" i="35" s="1"/>
  <c r="H260" i="35"/>
  <c r="H221" i="35"/>
  <c r="H222" i="35"/>
  <c r="H242" i="35"/>
  <c r="H178" i="35"/>
  <c r="H177" i="35"/>
  <c r="H174" i="35"/>
  <c r="H175" i="35"/>
  <c r="H417" i="35"/>
  <c r="H37" i="38" s="1"/>
  <c r="H247" i="35"/>
  <c r="H412" i="35" s="1"/>
  <c r="H36" i="38" s="1"/>
  <c r="H28" i="27"/>
  <c r="E34" i="28"/>
  <c r="H231" i="35"/>
  <c r="H71" i="38"/>
  <c r="E44" i="28"/>
  <c r="H422" i="35" l="1"/>
  <c r="E42" i="28"/>
  <c r="H405" i="35"/>
  <c r="E59" i="28"/>
  <c r="H406" i="35"/>
  <c r="H176" i="35"/>
  <c r="H179" i="35"/>
  <c r="H400" i="35" s="1"/>
  <c r="H429" i="35" l="1"/>
  <c r="H430" i="35"/>
  <c r="H20" i="27"/>
  <c r="E55" i="28" s="1"/>
  <c r="H402" i="35"/>
  <c r="H38" i="38"/>
  <c r="E37" i="28"/>
  <c r="H407" i="35"/>
  <c r="H35" i="38" s="1"/>
  <c r="H394" i="35"/>
  <c r="H431" i="35" l="1"/>
  <c r="E36" i="28"/>
  <c r="H34" i="38"/>
  <c r="H62" i="38" s="1"/>
  <c r="H26" i="37" l="1"/>
  <c r="H56" i="37" s="1"/>
  <c r="H59" i="37" s="1"/>
  <c r="H66" i="38" l="1"/>
  <c r="H60" i="37" l="1"/>
  <c r="E39" i="28"/>
  <c r="H27" i="27" l="1"/>
  <c r="E43" i="28"/>
  <c r="H70" i="38"/>
  <c r="H73" i="38" l="1"/>
  <c r="B17" i="10"/>
  <c r="H76" i="38" l="1"/>
  <c r="H15" i="27" s="1"/>
  <c r="B18" i="10"/>
  <c r="H17" i="27" l="1"/>
  <c r="B19" i="10"/>
  <c r="B23" i="10" s="1"/>
  <c r="H18" i="27" l="1"/>
  <c r="E11" i="28" l="1"/>
  <c r="H22" i="27"/>
  <c r="H23" i="27" l="1"/>
  <c r="E56" i="2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3" authorId="0" shapeId="0" xr:uid="{DCB6623A-24F4-4F50-AE25-8E26A8077FCF}">
      <text>
        <r>
          <rPr>
            <sz val="8"/>
            <color indexed="81"/>
            <rFont val="Tahoma"/>
            <family val="2"/>
          </rPr>
          <t>At all times a (group of) pink cell(s) needs an explanantion on its special nature. This explanation will be added through this remark box.</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H33" authorId="0" shapeId="0" xr:uid="{A505A803-A297-436F-ACF8-E0B04FA5D57B}">
      <text>
        <r>
          <rPr>
            <sz val="9"/>
            <color indexed="81"/>
            <rFont val="Tahoma"/>
            <family val="2"/>
          </rPr>
          <t xml:space="preserve">Change made to this cell due to confidentiality.
</t>
        </r>
      </text>
    </comment>
    <comment ref="H34" authorId="0" shapeId="0" xr:uid="{A25C19AD-1BCC-4659-9186-7FE464674175}">
      <text>
        <r>
          <rPr>
            <sz val="9"/>
            <color indexed="81"/>
            <rFont val="Tahoma"/>
            <family val="2"/>
          </rPr>
          <t xml:space="preserve">Change made to this cell due to confidentiality.
</t>
        </r>
      </text>
    </comment>
    <comment ref="H35" authorId="0" shapeId="0" xr:uid="{A19E29E3-48CD-4E21-BF06-4322F8BA7841}">
      <text>
        <r>
          <rPr>
            <sz val="9"/>
            <color indexed="81"/>
            <rFont val="Tahoma"/>
            <family val="2"/>
          </rPr>
          <t xml:space="preserve">Change made to this cell due to confidentiality.
</t>
        </r>
      </text>
    </comment>
    <comment ref="H36" authorId="0" shapeId="0" xr:uid="{34039EC5-3267-4596-8B55-12BA04FDC700}">
      <text>
        <r>
          <rPr>
            <sz val="9"/>
            <color indexed="81"/>
            <rFont val="Tahoma"/>
            <family val="2"/>
          </rPr>
          <t xml:space="preserve">Change made to this cell due to confidentiality.
</t>
        </r>
      </text>
    </comment>
    <comment ref="H37" authorId="0" shapeId="0" xr:uid="{72A802CD-47AA-4E53-AD24-7B8A2149F912}">
      <text>
        <r>
          <rPr>
            <sz val="9"/>
            <color indexed="81"/>
            <rFont val="Tahoma"/>
            <family val="2"/>
          </rPr>
          <t xml:space="preserve">Change made to this cell due to confidentiality.
</t>
        </r>
      </text>
    </comment>
    <comment ref="H38" authorId="0" shapeId="0" xr:uid="{7ACD255B-EAD3-46CE-AAD7-5A1946EB1073}">
      <text>
        <r>
          <rPr>
            <sz val="9"/>
            <color indexed="81"/>
            <rFont val="Tahoma"/>
            <family val="2"/>
          </rPr>
          <t xml:space="preserve">Change made to this cell due to confidentiality.
</t>
        </r>
      </text>
    </comment>
    <comment ref="H39" authorId="0" shapeId="0" xr:uid="{91276C59-3E7E-42D2-BCE0-4247CA8E5AE1}">
      <text>
        <r>
          <rPr>
            <sz val="9"/>
            <color indexed="81"/>
            <rFont val="Tahoma"/>
            <family val="2"/>
          </rPr>
          <t xml:space="preserve">Change made to this cell due to confidentiality.
</t>
        </r>
      </text>
    </comment>
    <comment ref="H63" authorId="0" shapeId="0" xr:uid="{7305EF93-8425-48D5-B48B-169F53D562A7}">
      <text>
        <r>
          <rPr>
            <sz val="9"/>
            <color indexed="81"/>
            <rFont val="Tahoma"/>
            <family val="2"/>
          </rPr>
          <t xml:space="preserve">Change made to this cell due to confidentiality.
</t>
        </r>
      </text>
    </comment>
    <comment ref="H64" authorId="0" shapeId="0" xr:uid="{F142E6C9-516F-4FA2-A488-B93F884B1D96}">
      <text>
        <r>
          <rPr>
            <sz val="9"/>
            <color indexed="81"/>
            <rFont val="Tahoma"/>
            <family val="2"/>
          </rPr>
          <t>Original formula is kept, but gives false result, due to delted data.</t>
        </r>
      </text>
    </comment>
    <comment ref="H65" authorId="0" shapeId="0" xr:uid="{A598BD09-B06A-4F4A-8855-6613653077E1}">
      <text>
        <r>
          <rPr>
            <sz val="9"/>
            <color indexed="81"/>
            <rFont val="Tahoma"/>
            <family val="2"/>
          </rPr>
          <t xml:space="preserve">Change made to this cell due to confidentiality.
</t>
        </r>
      </text>
    </comment>
    <comment ref="H66" authorId="0" shapeId="0" xr:uid="{1AED636E-E215-4AF7-A0D4-C4D153709DE4}">
      <text>
        <r>
          <rPr>
            <sz val="9"/>
            <color indexed="81"/>
            <rFont val="Tahoma"/>
            <family val="2"/>
          </rPr>
          <t xml:space="preserve">Original formula is kept, but gives false result, due to delted data.
</t>
        </r>
      </text>
    </comment>
    <comment ref="H67" authorId="0" shapeId="0" xr:uid="{8E0503D8-E865-4097-93EE-EA1458BAD534}">
      <text>
        <r>
          <rPr>
            <sz val="9"/>
            <color indexed="81"/>
            <rFont val="Tahoma"/>
            <family val="2"/>
          </rPr>
          <t xml:space="preserve">Change made to this cell due to confidentiality.
</t>
        </r>
      </text>
    </comment>
    <comment ref="H68" authorId="0" shapeId="0" xr:uid="{1D9F5F0D-07C9-4570-9BB3-FF81F73DD63B}">
      <text>
        <r>
          <rPr>
            <sz val="9"/>
            <color indexed="81"/>
            <rFont val="Tahoma"/>
            <family val="2"/>
          </rPr>
          <t>Original formula is kept, but gives false result, due to delted data.</t>
        </r>
      </text>
    </comment>
    <comment ref="H129" authorId="0" shapeId="0" xr:uid="{92ED67F7-44F0-4EFC-A832-7CC49174BEA8}">
      <text>
        <r>
          <rPr>
            <sz val="9"/>
            <color indexed="81"/>
            <rFont val="Tahoma"/>
            <family val="2"/>
          </rPr>
          <t xml:space="preserve">Change made to this cell due to confidentiality.
</t>
        </r>
      </text>
    </comment>
    <comment ref="H130" authorId="0" shapeId="0" xr:uid="{16F118EC-DB68-47FE-AC6E-26E1F53F640D}">
      <text>
        <r>
          <rPr>
            <sz val="9"/>
            <color indexed="81"/>
            <rFont val="Tahoma"/>
            <family val="2"/>
          </rPr>
          <t xml:space="preserve">Change made to this cell due to confidentiality.
</t>
        </r>
      </text>
    </comment>
    <comment ref="H131" authorId="0" shapeId="0" xr:uid="{1BAC44AF-6609-4F90-BF75-2A8DB811A318}">
      <text>
        <r>
          <rPr>
            <sz val="9"/>
            <color indexed="81"/>
            <rFont val="Tahoma"/>
            <family val="2"/>
          </rPr>
          <t xml:space="preserve">Change made to this cell due to confidentiality.
</t>
        </r>
      </text>
    </comment>
    <comment ref="H133" authorId="0" shapeId="0" xr:uid="{89F74DEB-231C-4C97-B981-4F338329879E}">
      <text>
        <r>
          <rPr>
            <sz val="9"/>
            <color indexed="81"/>
            <rFont val="Tahoma"/>
            <family val="2"/>
          </rPr>
          <t xml:space="preserve">Change made to this cell due to confidentiality.
</t>
        </r>
      </text>
    </comment>
    <comment ref="H134" authorId="0" shapeId="0" xr:uid="{F88DAAD1-5B96-4808-BA97-5E51C41FA073}">
      <text>
        <r>
          <rPr>
            <sz val="9"/>
            <color indexed="81"/>
            <rFont val="Tahoma"/>
            <family val="2"/>
          </rPr>
          <t xml:space="preserve">Change made to this cell due to confidentiality.
</t>
        </r>
      </text>
    </comment>
    <comment ref="H135" authorId="0" shapeId="0" xr:uid="{1DB29DF3-8A62-454C-96CF-DDFC3F760C8E}">
      <text>
        <r>
          <rPr>
            <sz val="9"/>
            <color indexed="81"/>
            <rFont val="Tahoma"/>
            <family val="2"/>
          </rPr>
          <t xml:space="preserve">Change made to this cell due to confidentiality.
</t>
        </r>
      </text>
    </comment>
    <comment ref="H137" authorId="0" shapeId="0" xr:uid="{572B4DC7-36ED-4CC3-AAFC-A96E107EB01D}">
      <text>
        <r>
          <rPr>
            <sz val="9"/>
            <color indexed="81"/>
            <rFont val="Tahoma"/>
            <family val="2"/>
          </rPr>
          <t>Original formula is kept, but gives false result, due to delted data.</t>
        </r>
      </text>
    </comment>
    <comment ref="H138" authorId="0" shapeId="0" xr:uid="{9EDAAECB-D71D-4D26-B82F-E8E0FBA75316}">
      <text>
        <r>
          <rPr>
            <sz val="9"/>
            <color indexed="81"/>
            <rFont val="Tahoma"/>
            <family val="2"/>
          </rPr>
          <t xml:space="preserve">Change made to this cell due to confidentiality.
</t>
        </r>
      </text>
    </comment>
    <comment ref="H139" authorId="0" shapeId="0" xr:uid="{1A117D55-495F-4EF6-B3EE-F81C8C913FAA}">
      <text>
        <r>
          <rPr>
            <sz val="9"/>
            <color indexed="81"/>
            <rFont val="Tahoma"/>
            <family val="2"/>
          </rPr>
          <t xml:space="preserve">Original formula is kept, but gives false result, due to delted data.
</t>
        </r>
      </text>
    </comment>
    <comment ref="H140" authorId="0" shapeId="0" xr:uid="{04153ACC-0D8C-4912-93DF-6F0F30F2C16C}">
      <text>
        <r>
          <rPr>
            <sz val="9"/>
            <color indexed="81"/>
            <rFont val="Tahoma"/>
            <family val="2"/>
          </rPr>
          <t xml:space="preserve">Change made to this cell due to confidentiality.
</t>
        </r>
      </text>
    </comment>
    <comment ref="H141" authorId="0" shapeId="0" xr:uid="{D431DFD4-B021-40E2-95DA-BA13BDF9BE78}">
      <text>
        <r>
          <rPr>
            <sz val="9"/>
            <color indexed="81"/>
            <rFont val="Tahoma"/>
            <family val="2"/>
          </rPr>
          <t>Original formula is kept, but gives false result, due to delted data.</t>
        </r>
      </text>
    </comment>
    <comment ref="H142" authorId="0" shapeId="0" xr:uid="{9E59C15B-9597-4191-8AFC-8DFE96409E19}">
      <text>
        <r>
          <rPr>
            <sz val="9"/>
            <color indexed="81"/>
            <rFont val="Tahoma"/>
            <family val="2"/>
          </rPr>
          <t xml:space="preserve">Change made to this cell due to confidentiality.
</t>
        </r>
      </text>
    </comment>
    <comment ref="H143" authorId="0" shapeId="0" xr:uid="{22DC4E99-A99D-4630-92E5-4081F73A2F70}">
      <text>
        <r>
          <rPr>
            <sz val="9"/>
            <color indexed="81"/>
            <rFont val="Tahoma"/>
            <family val="2"/>
          </rPr>
          <t>Original formula is kept, but gives false result, due to delted data.</t>
        </r>
      </text>
    </comment>
    <comment ref="H148" authorId="0" shapeId="0" xr:uid="{00AB0798-CC7D-4D7F-A4AE-1E4B03C7357A}">
      <text>
        <r>
          <rPr>
            <sz val="9"/>
            <color indexed="81"/>
            <rFont val="Tahoma"/>
            <family val="2"/>
          </rPr>
          <t xml:space="preserve">Change made to this cell due to confidentiality.
</t>
        </r>
      </text>
    </comment>
    <comment ref="H149" authorId="0" shapeId="0" xr:uid="{E84DF809-FE01-4A77-BCEE-B2B52CC4411D}">
      <text>
        <r>
          <rPr>
            <sz val="9"/>
            <color indexed="81"/>
            <rFont val="Tahoma"/>
            <family val="2"/>
          </rPr>
          <t xml:space="preserve">Change made to this cell due to confidentiality.
</t>
        </r>
      </text>
    </comment>
    <comment ref="H150" authorId="0" shapeId="0" xr:uid="{63D279BB-2A16-4F2D-B78B-D6527509C2FF}">
      <text>
        <r>
          <rPr>
            <sz val="9"/>
            <color indexed="81"/>
            <rFont val="Tahoma"/>
            <family val="2"/>
          </rPr>
          <t xml:space="preserve">Change made to this cell due to confidentiality.
</t>
        </r>
      </text>
    </comment>
    <comment ref="H153" authorId="0" shapeId="0" xr:uid="{6E09B553-0C01-4BB4-AF9A-B8A40DB8FC1D}">
      <text>
        <r>
          <rPr>
            <sz val="9"/>
            <color indexed="81"/>
            <rFont val="Tahoma"/>
            <family val="2"/>
          </rPr>
          <t xml:space="preserve">Change made to this cell due to confidentiality.
</t>
        </r>
      </text>
    </comment>
    <comment ref="H154" authorId="0" shapeId="0" xr:uid="{7BFB1580-9CCF-4CA7-8DDE-E3033890B198}">
      <text>
        <r>
          <rPr>
            <sz val="9"/>
            <color indexed="81"/>
            <rFont val="Tahoma"/>
            <family val="2"/>
          </rPr>
          <t xml:space="preserve">Change made to this cell due to confidentiality.
</t>
        </r>
      </text>
    </comment>
    <comment ref="H155" authorId="0" shapeId="0" xr:uid="{51F74089-770C-472B-AA3E-43117751A441}">
      <text>
        <r>
          <rPr>
            <sz val="9"/>
            <color indexed="81"/>
            <rFont val="Tahoma"/>
            <family val="2"/>
          </rPr>
          <t xml:space="preserve">Change made to this cell due to confidentiality.
</t>
        </r>
      </text>
    </comment>
    <comment ref="H161" authorId="0" shapeId="0" xr:uid="{0A4CC7BC-3FD8-4CE3-914B-672599B6C263}">
      <text>
        <r>
          <rPr>
            <sz val="9"/>
            <color indexed="81"/>
            <rFont val="Tahoma"/>
            <family val="2"/>
          </rPr>
          <t xml:space="preserve">Change made to this cell due to confidentiality.
</t>
        </r>
      </text>
    </comment>
    <comment ref="H162" authorId="0" shapeId="0" xr:uid="{5286A9E3-B427-41FC-97D2-1FBBC13BEE2A}">
      <text>
        <r>
          <rPr>
            <sz val="9"/>
            <color indexed="81"/>
            <rFont val="Tahoma"/>
            <family val="2"/>
          </rPr>
          <t xml:space="preserve">Change made to this cell due to confidentiality.
</t>
        </r>
      </text>
    </comment>
    <comment ref="H163" authorId="0" shapeId="0" xr:uid="{3B8B0A3E-A701-47E9-AA13-78E3BAFA120C}">
      <text>
        <r>
          <rPr>
            <sz val="9"/>
            <color indexed="81"/>
            <rFont val="Tahoma"/>
            <family val="2"/>
          </rPr>
          <t xml:space="preserve">Change made to this cell due to confidentiality.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N18" authorId="0" shapeId="0" xr:uid="{5E2425EE-1176-47F3-8CA0-E4AD8B660D7C}">
      <text>
        <r>
          <rPr>
            <sz val="9"/>
            <color indexed="81"/>
            <rFont val="Tahoma"/>
            <family val="2"/>
          </rPr>
          <t xml:space="preserve">Change made to this cell due to confidentiality.
</t>
        </r>
      </text>
    </comment>
    <comment ref="O18" authorId="0" shapeId="0" xr:uid="{FE59F27C-1CC7-436C-A94E-22DCEA96F3BC}">
      <text>
        <r>
          <rPr>
            <sz val="9"/>
            <color indexed="81"/>
            <rFont val="Tahoma"/>
            <family val="2"/>
          </rPr>
          <t xml:space="preserve">Change made to this cell due to confidentiality.
</t>
        </r>
      </text>
    </comment>
    <comment ref="P18" authorId="0" shapeId="0" xr:uid="{6E81BFCE-0329-4C3B-84B2-C8CB708113D9}">
      <text>
        <r>
          <rPr>
            <sz val="9"/>
            <color indexed="81"/>
            <rFont val="Tahoma"/>
            <family val="2"/>
          </rPr>
          <t xml:space="preserve">Change made to this cell due to confidentiality.
</t>
        </r>
      </text>
    </comment>
    <comment ref="Q18" authorId="0" shapeId="0" xr:uid="{1475DA58-2329-4F16-8636-F36AAA2714AD}">
      <text>
        <r>
          <rPr>
            <sz val="9"/>
            <color indexed="81"/>
            <rFont val="Tahoma"/>
            <family val="2"/>
          </rPr>
          <t xml:space="preserve">Change made to this cell due to confidentiality.
</t>
        </r>
      </text>
    </comment>
    <comment ref="R18" authorId="0" shapeId="0" xr:uid="{BEE3433E-9D32-4058-8557-6A9D991D04B9}">
      <text>
        <r>
          <rPr>
            <sz val="9"/>
            <color indexed="81"/>
            <rFont val="Tahoma"/>
            <family val="2"/>
          </rPr>
          <t xml:space="preserve">Change made to this cell due to confidentiality.
</t>
        </r>
      </text>
    </comment>
    <comment ref="S18" authorId="0" shapeId="0" xr:uid="{8491873C-168E-41D8-AFF6-2E83FE280C1C}">
      <text>
        <r>
          <rPr>
            <sz val="9"/>
            <color indexed="81"/>
            <rFont val="Tahoma"/>
            <family val="2"/>
          </rPr>
          <t xml:space="preserve">Change made to this cell due to confidentiality.
</t>
        </r>
      </text>
    </comment>
    <comment ref="T18" authorId="0" shapeId="0" xr:uid="{112D9ED3-4033-46D9-B769-0FE86303E1F2}">
      <text>
        <r>
          <rPr>
            <sz val="9"/>
            <color indexed="81"/>
            <rFont val="Tahoma"/>
            <family val="2"/>
          </rPr>
          <t xml:space="preserve">Change made to this cell due to confidentiality.
</t>
        </r>
      </text>
    </comment>
    <comment ref="U18" authorId="0" shapeId="0" xr:uid="{2C669D84-28AE-4B8E-B663-2F2FCB9D4BD3}">
      <text>
        <r>
          <rPr>
            <sz val="9"/>
            <color indexed="81"/>
            <rFont val="Tahoma"/>
            <family val="2"/>
          </rPr>
          <t xml:space="preserve">Change made to this cell due to confidentiality.
</t>
        </r>
      </text>
    </comment>
    <comment ref="V18" authorId="0" shapeId="0" xr:uid="{4EF30412-35D1-4DED-B262-4422560F24FA}">
      <text>
        <r>
          <rPr>
            <sz val="9"/>
            <color indexed="81"/>
            <rFont val="Tahoma"/>
            <family val="2"/>
          </rPr>
          <t xml:space="preserve">Change made to this cell due to confidentiality.
</t>
        </r>
      </text>
    </comment>
    <comment ref="W18" authorId="0" shapeId="0" xr:uid="{99BE122C-B6CA-4178-B6B6-E7A2D9416FF1}">
      <text>
        <r>
          <rPr>
            <sz val="9"/>
            <color indexed="81"/>
            <rFont val="Tahoma"/>
            <family val="2"/>
          </rPr>
          <t xml:space="preserve">Change made to this cell due to confidentiality.
</t>
        </r>
      </text>
    </comment>
    <comment ref="X18" authorId="0" shapeId="0" xr:uid="{F1FF9AA2-2CE0-45F1-A514-A9BFE3F3A31E}">
      <text>
        <r>
          <rPr>
            <sz val="9"/>
            <color indexed="81"/>
            <rFont val="Tahoma"/>
            <family val="2"/>
          </rPr>
          <t xml:space="preserve">Change made to this cell due to confidentiality.
</t>
        </r>
      </text>
    </comment>
    <comment ref="Y18" authorId="0" shapeId="0" xr:uid="{36EC5955-1099-47A1-9A05-F16288808EBD}">
      <text>
        <r>
          <rPr>
            <sz val="9"/>
            <color indexed="81"/>
            <rFont val="Tahoma"/>
            <family val="2"/>
          </rPr>
          <t xml:space="preserve">Change made to this cell due to confidentiality.
</t>
        </r>
      </text>
    </comment>
    <comment ref="N19" authorId="0" shapeId="0" xr:uid="{0D2F4977-C72A-4E13-BD62-1EC2FB5D5840}">
      <text>
        <r>
          <rPr>
            <sz val="9"/>
            <color indexed="81"/>
            <rFont val="Tahoma"/>
            <family val="2"/>
          </rPr>
          <t xml:space="preserve">Change made to this cell due to confidentiality.
</t>
        </r>
      </text>
    </comment>
    <comment ref="O19" authorId="0" shapeId="0" xr:uid="{694C62E8-4B34-4EDA-85EF-A18227E0C1B0}">
      <text>
        <r>
          <rPr>
            <sz val="9"/>
            <color indexed="81"/>
            <rFont val="Tahoma"/>
            <family val="2"/>
          </rPr>
          <t xml:space="preserve">Change made to this cell due to confidentiality.
</t>
        </r>
      </text>
    </comment>
    <comment ref="P19" authorId="0" shapeId="0" xr:uid="{EA48CA82-F27C-4D52-8D73-ADDDD5567381}">
      <text>
        <r>
          <rPr>
            <sz val="9"/>
            <color indexed="81"/>
            <rFont val="Tahoma"/>
            <family val="2"/>
          </rPr>
          <t xml:space="preserve">Change made to this cell due to confidentiality.
</t>
        </r>
      </text>
    </comment>
    <comment ref="Q19" authorId="0" shapeId="0" xr:uid="{616F849F-8547-4BCE-B8A7-CB829AC1D81B}">
      <text>
        <r>
          <rPr>
            <sz val="9"/>
            <color indexed="81"/>
            <rFont val="Tahoma"/>
            <family val="2"/>
          </rPr>
          <t xml:space="preserve">Change made to this cell due to confidentiality.
</t>
        </r>
      </text>
    </comment>
    <comment ref="R19" authorId="0" shapeId="0" xr:uid="{7B614AC4-95B5-4F5C-B924-A52517AD8911}">
      <text>
        <r>
          <rPr>
            <sz val="9"/>
            <color indexed="81"/>
            <rFont val="Tahoma"/>
            <family val="2"/>
          </rPr>
          <t xml:space="preserve">Change made to this cell due to confidentiality.
</t>
        </r>
      </text>
    </comment>
    <comment ref="S19" authorId="0" shapeId="0" xr:uid="{8E986318-44BA-48BB-9A63-0C84240AFC5B}">
      <text>
        <r>
          <rPr>
            <sz val="9"/>
            <color indexed="81"/>
            <rFont val="Tahoma"/>
            <family val="2"/>
          </rPr>
          <t xml:space="preserve">Change made to this cell due to confidentiality.
</t>
        </r>
      </text>
    </comment>
    <comment ref="T19" authorId="0" shapeId="0" xr:uid="{17CAC9CA-41E2-4D48-AD01-639AF7676CDE}">
      <text>
        <r>
          <rPr>
            <sz val="9"/>
            <color indexed="81"/>
            <rFont val="Tahoma"/>
            <family val="2"/>
          </rPr>
          <t xml:space="preserve">Change made to this cell due to confidentiality.
</t>
        </r>
      </text>
    </comment>
    <comment ref="U19" authorId="0" shapeId="0" xr:uid="{987FD24C-99D9-47B5-86CE-022A8EE60A3B}">
      <text>
        <r>
          <rPr>
            <sz val="9"/>
            <color indexed="81"/>
            <rFont val="Tahoma"/>
            <family val="2"/>
          </rPr>
          <t xml:space="preserve">Change made to this cell due to confidentiality.
</t>
        </r>
      </text>
    </comment>
    <comment ref="V19" authorId="0" shapeId="0" xr:uid="{D0E12E50-9264-4D47-B811-29FAF1312092}">
      <text>
        <r>
          <rPr>
            <sz val="9"/>
            <color indexed="81"/>
            <rFont val="Tahoma"/>
            <family val="2"/>
          </rPr>
          <t xml:space="preserve">Change made to this cell due to confidentiality.
</t>
        </r>
      </text>
    </comment>
    <comment ref="W19" authorId="0" shapeId="0" xr:uid="{A9D1BC26-80FE-4ACC-B759-993915A48780}">
      <text>
        <r>
          <rPr>
            <sz val="9"/>
            <color indexed="81"/>
            <rFont val="Tahoma"/>
            <family val="2"/>
          </rPr>
          <t xml:space="preserve">Change made to this cell due to confidentiality.
</t>
        </r>
      </text>
    </comment>
    <comment ref="X19" authorId="0" shapeId="0" xr:uid="{A58C2F1D-CDA2-4657-80CB-BC5AB5D382AC}">
      <text>
        <r>
          <rPr>
            <sz val="9"/>
            <color indexed="81"/>
            <rFont val="Tahoma"/>
            <family val="2"/>
          </rPr>
          <t xml:space="preserve">Change made to this cell due to confidentiality.
</t>
        </r>
      </text>
    </comment>
    <comment ref="Y19" authorId="0" shapeId="0" xr:uid="{FBEB106D-AD54-4087-9C2B-96D5A8DF77F9}">
      <text>
        <r>
          <rPr>
            <sz val="9"/>
            <color indexed="81"/>
            <rFont val="Tahoma"/>
            <family val="2"/>
          </rPr>
          <t xml:space="preserve">Change made to this cell due to confidentiality.
</t>
        </r>
      </text>
    </comment>
    <comment ref="N31" authorId="0" shapeId="0" xr:uid="{AEA9CA20-92C7-4118-BB23-208508242FF6}">
      <text>
        <r>
          <rPr>
            <sz val="9"/>
            <color indexed="81"/>
            <rFont val="Tahoma"/>
            <family val="2"/>
          </rPr>
          <t xml:space="preserve">Change made to this cell due to confidentiality.
</t>
        </r>
      </text>
    </comment>
    <comment ref="O31" authorId="0" shapeId="0" xr:uid="{AC1192EE-D3AB-40E4-AA15-4A8637D9627E}">
      <text>
        <r>
          <rPr>
            <sz val="9"/>
            <color indexed="81"/>
            <rFont val="Tahoma"/>
            <family val="2"/>
          </rPr>
          <t xml:space="preserve">Change made to this cell due to confidentiality.
</t>
        </r>
      </text>
    </comment>
    <comment ref="P31" authorId="0" shapeId="0" xr:uid="{AFF030E9-0293-49BA-BFB3-D9E3E8CEDEE7}">
      <text>
        <r>
          <rPr>
            <sz val="9"/>
            <color indexed="81"/>
            <rFont val="Tahoma"/>
            <family val="2"/>
          </rPr>
          <t xml:space="preserve">Change made to this cell due to confidentiality.
</t>
        </r>
      </text>
    </comment>
    <comment ref="Q31" authorId="0" shapeId="0" xr:uid="{79A193A9-5939-408A-B5D6-774DCE155270}">
      <text>
        <r>
          <rPr>
            <sz val="9"/>
            <color indexed="81"/>
            <rFont val="Tahoma"/>
            <family val="2"/>
          </rPr>
          <t xml:space="preserve">Change made to this cell due to confidentiality.
</t>
        </r>
      </text>
    </comment>
    <comment ref="R31" authorId="0" shapeId="0" xr:uid="{6E598075-0AAE-42D3-B2D2-8CACC6FE459B}">
      <text>
        <r>
          <rPr>
            <sz val="9"/>
            <color indexed="81"/>
            <rFont val="Tahoma"/>
            <family val="2"/>
          </rPr>
          <t xml:space="preserve">Change made to this cell due to confidentiality.
</t>
        </r>
      </text>
    </comment>
    <comment ref="S31" authorId="0" shapeId="0" xr:uid="{FBAB1289-557A-4067-940D-A0A94A2171B1}">
      <text>
        <r>
          <rPr>
            <sz val="9"/>
            <color indexed="81"/>
            <rFont val="Tahoma"/>
            <family val="2"/>
          </rPr>
          <t xml:space="preserve">Change made to this cell due to confidentiality.
</t>
        </r>
      </text>
    </comment>
    <comment ref="T31" authorId="0" shapeId="0" xr:uid="{4B029CFA-7394-400F-803F-EF46C38E67AB}">
      <text>
        <r>
          <rPr>
            <sz val="9"/>
            <color indexed="81"/>
            <rFont val="Tahoma"/>
            <family val="2"/>
          </rPr>
          <t xml:space="preserve">Change made to this cell due to confidentiality.
</t>
        </r>
      </text>
    </comment>
    <comment ref="U31" authorId="0" shapeId="0" xr:uid="{589C1336-34C4-44B2-AC6F-38D546445046}">
      <text>
        <r>
          <rPr>
            <sz val="9"/>
            <color indexed="81"/>
            <rFont val="Tahoma"/>
            <family val="2"/>
          </rPr>
          <t xml:space="preserve">Change made to this cell due to confidentiality.
</t>
        </r>
      </text>
    </comment>
    <comment ref="V31" authorId="0" shapeId="0" xr:uid="{CBA38681-5657-4180-A76A-02DCB19E2EE1}">
      <text>
        <r>
          <rPr>
            <sz val="9"/>
            <color indexed="81"/>
            <rFont val="Tahoma"/>
            <family val="2"/>
          </rPr>
          <t xml:space="preserve">Change made to this cell due to confidentiality.
</t>
        </r>
      </text>
    </comment>
    <comment ref="W31" authorId="0" shapeId="0" xr:uid="{1D7D6D48-58D0-4E57-BD9F-F193C4F114B3}">
      <text>
        <r>
          <rPr>
            <sz val="9"/>
            <color indexed="81"/>
            <rFont val="Tahoma"/>
            <family val="2"/>
          </rPr>
          <t xml:space="preserve">Change made to this cell due to confidentiality.
</t>
        </r>
      </text>
    </comment>
    <comment ref="X31" authorId="0" shapeId="0" xr:uid="{39AF972A-0B30-4342-AF8D-EAFC50FB432E}">
      <text>
        <r>
          <rPr>
            <sz val="9"/>
            <color indexed="81"/>
            <rFont val="Tahoma"/>
            <family val="2"/>
          </rPr>
          <t xml:space="preserve">Change made to this cell due to confidentiality.
</t>
        </r>
      </text>
    </comment>
    <comment ref="Y31" authorId="0" shapeId="0" xr:uid="{7FE1F2C7-EA0B-4AD0-87DA-D9AF0D4702C4}">
      <text>
        <r>
          <rPr>
            <sz val="9"/>
            <color indexed="81"/>
            <rFont val="Tahoma"/>
            <family val="2"/>
          </rPr>
          <t xml:space="preserve">Change made to this cell due to confidentiality.
</t>
        </r>
      </text>
    </comment>
    <comment ref="N32" authorId="0" shapeId="0" xr:uid="{13E8F54D-F200-4963-A1C6-8E904606FBDA}">
      <text>
        <r>
          <rPr>
            <sz val="9"/>
            <color indexed="81"/>
            <rFont val="Tahoma"/>
            <family val="2"/>
          </rPr>
          <t xml:space="preserve">Change made to this cell due to confidentiality.
</t>
        </r>
      </text>
    </comment>
    <comment ref="O32" authorId="0" shapeId="0" xr:uid="{3A91E688-989B-44C5-A0D6-ED6438830261}">
      <text>
        <r>
          <rPr>
            <sz val="9"/>
            <color indexed="81"/>
            <rFont val="Tahoma"/>
            <family val="2"/>
          </rPr>
          <t xml:space="preserve">Change made to this cell due to confidentiality.
</t>
        </r>
      </text>
    </comment>
    <comment ref="P32" authorId="0" shapeId="0" xr:uid="{E7AE4A31-5C0A-4150-B4DB-F681E9220537}">
      <text>
        <r>
          <rPr>
            <sz val="9"/>
            <color indexed="81"/>
            <rFont val="Tahoma"/>
            <family val="2"/>
          </rPr>
          <t xml:space="preserve">Change made to this cell due to confidentiality.
</t>
        </r>
      </text>
    </comment>
    <comment ref="Q32" authorId="0" shapeId="0" xr:uid="{5F6A1E96-1AAA-4AE2-8675-27D9695D7C99}">
      <text>
        <r>
          <rPr>
            <sz val="9"/>
            <color indexed="81"/>
            <rFont val="Tahoma"/>
            <family val="2"/>
          </rPr>
          <t xml:space="preserve">Change made to this cell due to confidentiality.
</t>
        </r>
      </text>
    </comment>
    <comment ref="R32" authorId="0" shapeId="0" xr:uid="{365A788D-79D8-465B-A19F-EF97D361019F}">
      <text>
        <r>
          <rPr>
            <sz val="9"/>
            <color indexed="81"/>
            <rFont val="Tahoma"/>
            <family val="2"/>
          </rPr>
          <t xml:space="preserve">Change made to this cell due to confidentiality.
</t>
        </r>
      </text>
    </comment>
    <comment ref="S32" authorId="0" shapeId="0" xr:uid="{7AF4AEB1-C49A-4F7D-A8FE-D9B2FC74EA60}">
      <text>
        <r>
          <rPr>
            <sz val="9"/>
            <color indexed="81"/>
            <rFont val="Tahoma"/>
            <family val="2"/>
          </rPr>
          <t xml:space="preserve">Change made to this cell due to confidentiality.
</t>
        </r>
      </text>
    </comment>
    <comment ref="T32" authorId="0" shapeId="0" xr:uid="{1CFD3724-287C-49AF-8BB7-83FF622FACF0}">
      <text>
        <r>
          <rPr>
            <sz val="9"/>
            <color indexed="81"/>
            <rFont val="Tahoma"/>
            <family val="2"/>
          </rPr>
          <t xml:space="preserve">Change made to this cell due to confidentiality.
</t>
        </r>
      </text>
    </comment>
    <comment ref="U32" authorId="0" shapeId="0" xr:uid="{06304DCF-92BA-4BD7-8641-9F6BC29DFF50}">
      <text>
        <r>
          <rPr>
            <sz val="9"/>
            <color indexed="81"/>
            <rFont val="Tahoma"/>
            <family val="2"/>
          </rPr>
          <t xml:space="preserve">Change made to this cell due to confidentiality.
</t>
        </r>
      </text>
    </comment>
    <comment ref="V32" authorId="0" shapeId="0" xr:uid="{057C6F5F-0808-43C0-9115-8396C9F260F1}">
      <text>
        <r>
          <rPr>
            <sz val="9"/>
            <color indexed="81"/>
            <rFont val="Tahoma"/>
            <family val="2"/>
          </rPr>
          <t xml:space="preserve">Change made to this cell due to confidentiality.
</t>
        </r>
      </text>
    </comment>
    <comment ref="W32" authorId="0" shapeId="0" xr:uid="{C38C4D56-3173-4960-9F89-5353DB9EA28D}">
      <text>
        <r>
          <rPr>
            <sz val="9"/>
            <color indexed="81"/>
            <rFont val="Tahoma"/>
            <family val="2"/>
          </rPr>
          <t xml:space="preserve">Change made to this cell due to confidentiality.
</t>
        </r>
      </text>
    </comment>
    <comment ref="X32" authorId="0" shapeId="0" xr:uid="{179D0D27-BFC4-42AD-A5D5-D77FC16CD4D2}">
      <text>
        <r>
          <rPr>
            <sz val="9"/>
            <color indexed="81"/>
            <rFont val="Tahoma"/>
            <family val="2"/>
          </rPr>
          <t xml:space="preserve">Change made to this cell due to confidentiality.
</t>
        </r>
      </text>
    </comment>
    <comment ref="Y32" authorId="0" shapeId="0" xr:uid="{3A949F72-10DC-4BE0-8C8F-BF5E48E9EFD5}">
      <text>
        <r>
          <rPr>
            <sz val="9"/>
            <color indexed="81"/>
            <rFont val="Tahoma"/>
            <family val="2"/>
          </rPr>
          <t xml:space="preserve">Change made to this cell due to confidentiality.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H29" authorId="0" shapeId="0" xr:uid="{FCADDDDF-4B4B-476F-A3FC-50211BC145DD}">
      <text>
        <r>
          <rPr>
            <sz val="9"/>
            <color indexed="81"/>
            <rFont val="Tahoma"/>
            <family val="2"/>
          </rPr>
          <t xml:space="preserve">Change made to this cell due to confidentiality.
</t>
        </r>
      </text>
    </comment>
    <comment ref="H30" authorId="0" shapeId="0" xr:uid="{973D23C4-ADA8-40E3-B806-5AD9A3DB6D02}">
      <text>
        <r>
          <rPr>
            <sz val="9"/>
            <color indexed="81"/>
            <rFont val="Tahoma"/>
            <family val="2"/>
          </rPr>
          <t xml:space="preserve">Change made to this cell due to confidentiality.
</t>
        </r>
      </text>
    </comment>
    <comment ref="H31" authorId="0" shapeId="0" xr:uid="{364BBC40-D19B-4764-B21B-B00B482CAEF8}">
      <text>
        <r>
          <rPr>
            <sz val="9"/>
            <color indexed="81"/>
            <rFont val="Tahoma"/>
            <family val="2"/>
          </rPr>
          <t xml:space="preserve">Change made to this cell due to confidentiality.
</t>
        </r>
      </text>
    </comment>
    <comment ref="H34" authorId="0" shapeId="0" xr:uid="{AD3FDBE7-7680-4E25-BF8F-5592C0D4F15B}">
      <text>
        <r>
          <rPr>
            <sz val="9"/>
            <color indexed="81"/>
            <rFont val="Tahoma"/>
            <family val="2"/>
          </rPr>
          <t xml:space="preserve">Change made to this cell due to confidentiality.
</t>
        </r>
      </text>
    </comment>
    <comment ref="H35" authorId="0" shapeId="0" xr:uid="{DA21396C-6DA6-48D3-8E52-569C2937CF08}">
      <text>
        <r>
          <rPr>
            <sz val="9"/>
            <color indexed="81"/>
            <rFont val="Tahoma"/>
            <family val="2"/>
          </rPr>
          <t xml:space="preserve">Change made to this cell due to confidentiality.
</t>
        </r>
      </text>
    </comment>
    <comment ref="H36" authorId="0" shapeId="0" xr:uid="{83DCCECE-4491-4772-AFB7-47C34D232265}">
      <text>
        <r>
          <rPr>
            <sz val="9"/>
            <color indexed="81"/>
            <rFont val="Tahoma"/>
            <family val="2"/>
          </rPr>
          <t>Original formula is kept, but gives false result, due to delted data.</t>
        </r>
      </text>
    </comment>
    <comment ref="H37" authorId="0" shapeId="0" xr:uid="{898A4FAE-5B79-4860-A737-E797A97A238D}">
      <text>
        <r>
          <rPr>
            <sz val="9"/>
            <color indexed="81"/>
            <rFont val="Tahoma"/>
            <family val="2"/>
          </rPr>
          <t xml:space="preserve">Change made to this cell due to confidentiality.
</t>
        </r>
      </text>
    </comment>
    <comment ref="H38" authorId="0" shapeId="0" xr:uid="{C9C0DA29-C7B6-464E-B634-CD72BFD78937}">
      <text>
        <r>
          <rPr>
            <sz val="9"/>
            <color indexed="81"/>
            <rFont val="Tahoma"/>
            <family val="2"/>
          </rPr>
          <t xml:space="preserve">Change made to this cell due to confidentiality.
</t>
        </r>
      </text>
    </comment>
    <comment ref="H41" authorId="0" shapeId="0" xr:uid="{0C9B871A-A50B-450A-B22D-A4013EE19612}">
      <text>
        <r>
          <rPr>
            <sz val="9"/>
            <color indexed="81"/>
            <rFont val="Tahoma"/>
            <family val="2"/>
          </rPr>
          <t xml:space="preserve">Change made to this cell due to confidentiality.
</t>
        </r>
      </text>
    </comment>
    <comment ref="H42" authorId="0" shapeId="0" xr:uid="{882FAE3B-9E15-49AD-850C-311EF26B4E67}">
      <text>
        <r>
          <rPr>
            <sz val="9"/>
            <color indexed="81"/>
            <rFont val="Tahoma"/>
            <family val="2"/>
          </rPr>
          <t xml:space="preserve">Change made to this cell due to confidentiality.
</t>
        </r>
      </text>
    </comment>
    <comment ref="H43" authorId="0" shapeId="0" xr:uid="{4AF1C7A1-C532-4B37-ACEA-72AEDE1823EA}">
      <text>
        <r>
          <rPr>
            <sz val="9"/>
            <color indexed="81"/>
            <rFont val="Tahoma"/>
            <family val="2"/>
          </rPr>
          <t xml:space="preserve">Change made to this cell due to confidentiality.
</t>
        </r>
      </text>
    </comment>
    <comment ref="H48" authorId="0" shapeId="0" xr:uid="{9262AB98-475F-4429-AB3D-1D9DB77AABAD}">
      <text>
        <r>
          <rPr>
            <sz val="9"/>
            <color indexed="81"/>
            <rFont val="Tahoma"/>
            <family val="2"/>
          </rPr>
          <t xml:space="preserve">Change made to this cell due to confidentiality.
</t>
        </r>
      </text>
    </comment>
    <comment ref="H53" authorId="0" shapeId="0" xr:uid="{CBC0B749-8C27-4416-9661-5763508F5E53}">
      <text>
        <r>
          <rPr>
            <sz val="9"/>
            <color indexed="81"/>
            <rFont val="Tahoma"/>
            <family val="2"/>
          </rPr>
          <t xml:space="preserve">Change made to this cell due to confidentiality.
</t>
        </r>
      </text>
    </comment>
    <comment ref="H58" authorId="0" shapeId="0" xr:uid="{E0249F07-8261-4DED-BD67-7F971BD33E05}">
      <text>
        <r>
          <rPr>
            <sz val="9"/>
            <color indexed="81"/>
            <rFont val="Tahoma"/>
            <family val="2"/>
          </rPr>
          <t xml:space="preserve">Change made to this cell due to confidentiality.
</t>
        </r>
      </text>
    </comment>
    <comment ref="H63" authorId="0" shapeId="0" xr:uid="{CB5521FC-3B7F-40ED-A628-A142288659B4}">
      <text>
        <r>
          <rPr>
            <sz val="9"/>
            <color indexed="81"/>
            <rFont val="Tahoma"/>
            <family val="2"/>
          </rPr>
          <t xml:space="preserve">Change made to this cell due to confidentiality.
</t>
        </r>
      </text>
    </comment>
    <comment ref="H68" authorId="0" shapeId="0" xr:uid="{F653EC05-9C7B-4141-B964-B7FD0D606329}">
      <text>
        <r>
          <rPr>
            <sz val="9"/>
            <color indexed="81"/>
            <rFont val="Tahoma"/>
            <family val="2"/>
          </rPr>
          <t xml:space="preserve">Change made to this cell due to confidentiality.
</t>
        </r>
      </text>
    </comment>
    <comment ref="H73" authorId="0" shapeId="0" xr:uid="{5F1FED5D-574E-4D32-924C-28F296BF66AB}">
      <text>
        <r>
          <rPr>
            <sz val="9"/>
            <color indexed="81"/>
            <rFont val="Tahoma"/>
            <family val="2"/>
          </rPr>
          <t xml:space="preserve">Change made to this cell due to confidentiality.
</t>
        </r>
      </text>
    </comment>
    <comment ref="H78" authorId="0" shapeId="0" xr:uid="{B67B191E-60C2-4543-9E70-D18EE1E30B5B}">
      <text>
        <r>
          <rPr>
            <sz val="9"/>
            <color indexed="81"/>
            <rFont val="Tahoma"/>
            <family val="2"/>
          </rPr>
          <t xml:space="preserve">Change made to this cell due to confidentiality.
</t>
        </r>
      </text>
    </comment>
    <comment ref="H86" authorId="0" shapeId="0" xr:uid="{AFB6740D-D4C5-4A4E-8AC1-13F364AACF68}">
      <text>
        <r>
          <rPr>
            <sz val="9"/>
            <color indexed="81"/>
            <rFont val="Tahoma"/>
            <family val="2"/>
          </rPr>
          <t xml:space="preserve">Change made to this cell due to confidentiality.
</t>
        </r>
      </text>
    </comment>
    <comment ref="H88" authorId="0" shapeId="0" xr:uid="{CC0BC9FA-4AA0-41E3-AE71-85D80C069A4E}">
      <text>
        <r>
          <rPr>
            <sz val="9"/>
            <color indexed="81"/>
            <rFont val="Tahoma"/>
            <family val="2"/>
          </rPr>
          <t xml:space="preserve">Change made to this cell due to confidentiality.
</t>
        </r>
      </text>
    </comment>
    <comment ref="H90" authorId="0" shapeId="0" xr:uid="{87442F1B-253B-4B70-A94C-87A13FC3EA23}">
      <text>
        <r>
          <rPr>
            <sz val="9"/>
            <color indexed="81"/>
            <rFont val="Tahoma"/>
            <family val="2"/>
          </rPr>
          <t>Original formula is kept, but gives false result, due to delted data.</t>
        </r>
      </text>
    </comment>
    <comment ref="H92" authorId="0" shapeId="0" xr:uid="{90F55491-DFAD-42CB-9BF9-027CCB32EFEB}">
      <text>
        <r>
          <rPr>
            <sz val="9"/>
            <color indexed="81"/>
            <rFont val="Tahoma"/>
            <family val="2"/>
          </rPr>
          <t xml:space="preserve">Change made to this cell due to confidentiality.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J228" authorId="0" shapeId="0" xr:uid="{631B3C8D-068A-4C79-BAC5-4C6F5BA15893}">
      <text>
        <r>
          <rPr>
            <sz val="9"/>
            <color indexed="81"/>
            <rFont val="Tahoma"/>
            <family val="2"/>
          </rPr>
          <t xml:space="preserve">Original formulas are kept, but give false result, due to deleted data
</t>
        </r>
      </text>
    </comment>
    <comment ref="J234" authorId="0" shapeId="0" xr:uid="{CB792BD6-FD3E-41D6-BACC-7346BABB4EC7}">
      <text>
        <r>
          <rPr>
            <sz val="9"/>
            <color indexed="81"/>
            <rFont val="Tahoma"/>
            <family val="2"/>
          </rPr>
          <t xml:space="preserve">Original formulas are kept, but give false result, due to deleted data
</t>
        </r>
      </text>
    </comment>
    <comment ref="J239" authorId="0" shapeId="0" xr:uid="{4F5D994F-66DF-4B56-8867-363221F2E8F2}">
      <text>
        <r>
          <rPr>
            <sz val="9"/>
            <color indexed="81"/>
            <rFont val="Tahoma"/>
            <family val="2"/>
          </rPr>
          <t xml:space="preserve">Original formulas are kept, but give false result, due to deleted data
</t>
        </r>
      </text>
    </comment>
    <comment ref="J245" authorId="0" shapeId="0" xr:uid="{486068D7-45A9-4366-BE93-5E95AFD8F777}">
      <text>
        <r>
          <rPr>
            <sz val="9"/>
            <color indexed="81"/>
            <rFont val="Tahoma"/>
            <family val="2"/>
          </rPr>
          <t xml:space="preserve">Original formulas are kept, but give false result, due to deleted data
</t>
        </r>
      </text>
    </comment>
    <comment ref="J253" authorId="0" shapeId="0" xr:uid="{3AF1B825-AAF2-4EF3-97A9-45BD6A38680B}">
      <text>
        <r>
          <rPr>
            <sz val="9"/>
            <color indexed="81"/>
            <rFont val="Tahoma"/>
            <family val="2"/>
          </rPr>
          <t xml:space="preserve">Original formulas are kept, but give false result, due to deleted data
</t>
        </r>
      </text>
    </comment>
    <comment ref="J262" authorId="0" shapeId="0" xr:uid="{783A54A1-BD86-47A6-9D81-C176E14D9218}">
      <text>
        <r>
          <rPr>
            <sz val="9"/>
            <color indexed="81"/>
            <rFont val="Tahoma"/>
            <family val="2"/>
          </rPr>
          <t xml:space="preserve">Original formulas are kept, but give false result, due to deleted data
</t>
        </r>
      </text>
    </comment>
    <comment ref="J269" authorId="0" shapeId="0" xr:uid="{51254449-C7FD-4557-869D-778A9BAA6B3C}">
      <text>
        <r>
          <rPr>
            <sz val="9"/>
            <color indexed="81"/>
            <rFont val="Tahoma"/>
            <family val="2"/>
          </rPr>
          <t xml:space="preserve">Original formulas are kept, but give false result, due to deleted data
</t>
        </r>
      </text>
    </comment>
    <comment ref="J278" authorId="0" shapeId="0" xr:uid="{2F665336-5F25-4F23-91E8-BC2553D8D8E2}">
      <text>
        <r>
          <rPr>
            <sz val="9"/>
            <color indexed="81"/>
            <rFont val="Tahoma"/>
            <family val="2"/>
          </rPr>
          <t xml:space="preserve">Original formulas are kept, but give false result, due to deleted data
</t>
        </r>
      </text>
    </comment>
    <comment ref="J288" authorId="0" shapeId="0" xr:uid="{9BBB518D-600C-48FE-9DF7-6BF4AE48525F}">
      <text>
        <r>
          <rPr>
            <sz val="9"/>
            <color indexed="81"/>
            <rFont val="Tahoma"/>
            <family val="2"/>
          </rPr>
          <t xml:space="preserve">Original formulas are kept, but give false result, due to deleted data
</t>
        </r>
      </text>
    </comment>
    <comment ref="J294" authorId="0" shapeId="0" xr:uid="{04DB1E7F-FB83-4215-9817-5F8AF80B0CCD}">
      <text>
        <r>
          <rPr>
            <sz val="9"/>
            <color indexed="81"/>
            <rFont val="Tahoma"/>
            <family val="2"/>
          </rPr>
          <t xml:space="preserve">Original formulas are kept, but give false result, due to deleted data
</t>
        </r>
      </text>
    </comment>
    <comment ref="J300" authorId="0" shapeId="0" xr:uid="{3F48DFE1-FE59-49E8-BDFF-1BA643960640}">
      <text>
        <r>
          <rPr>
            <sz val="9"/>
            <color indexed="81"/>
            <rFont val="Tahoma"/>
            <family val="2"/>
          </rPr>
          <t xml:space="preserve">Original formulas are kept, but give false result, due to deleted data
</t>
        </r>
      </text>
    </comment>
    <comment ref="J308" authorId="0" shapeId="0" xr:uid="{3257D2B2-6AFA-43C2-AFD6-564FCA5C9AFB}">
      <text>
        <r>
          <rPr>
            <sz val="9"/>
            <color indexed="81"/>
            <rFont val="Tahoma"/>
            <family val="2"/>
          </rPr>
          <t xml:space="preserve">Original formulas are kept, but give false result, due to deleted data
</t>
        </r>
      </text>
    </comment>
    <comment ref="J313" authorId="0" shapeId="0" xr:uid="{9F41ABBC-AEF5-4B76-9026-AAC05C03CCCB}">
      <text>
        <r>
          <rPr>
            <sz val="9"/>
            <color indexed="81"/>
            <rFont val="Tahoma"/>
            <family val="2"/>
          </rPr>
          <t xml:space="preserve">Original formulas are kept, but give false result, due to deleted data
</t>
        </r>
      </text>
    </comment>
    <comment ref="J325" authorId="0" shapeId="0" xr:uid="{02DA195B-817C-430C-8EA2-E4032115D6E0}">
      <text>
        <r>
          <rPr>
            <sz val="9"/>
            <color indexed="81"/>
            <rFont val="Tahoma"/>
            <family val="2"/>
          </rPr>
          <t xml:space="preserve">Original formulas are kept, but give false result, due to deleted data
</t>
        </r>
      </text>
    </comment>
    <comment ref="J334" authorId="0" shapeId="0" xr:uid="{8B58B6E7-F89F-4328-A29B-166F28C82CF6}">
      <text>
        <r>
          <rPr>
            <sz val="9"/>
            <color indexed="81"/>
            <rFont val="Tahoma"/>
            <family val="2"/>
          </rPr>
          <t xml:space="preserve">Original formulas are kept, but give false result, due to deleted data
</t>
        </r>
      </text>
    </comment>
    <comment ref="J343" authorId="0" shapeId="0" xr:uid="{608896E6-021A-4551-B58B-9FC9AC4EA6CD}">
      <text>
        <r>
          <rPr>
            <sz val="9"/>
            <color indexed="81"/>
            <rFont val="Tahoma"/>
            <family val="2"/>
          </rPr>
          <t xml:space="preserve">Original formulas are kept, but give false result, due to deleted data
</t>
        </r>
      </text>
    </comment>
    <comment ref="J352" authorId="0" shapeId="0" xr:uid="{5AE4C0FA-1884-4652-988F-284E673BDF5A}">
      <text>
        <r>
          <rPr>
            <sz val="9"/>
            <color indexed="81"/>
            <rFont val="Tahoma"/>
            <family val="2"/>
          </rPr>
          <t xml:space="preserve">Original formulas are kept, but give false result, due to deleted data
</t>
        </r>
      </text>
    </comment>
    <comment ref="J361" authorId="0" shapeId="0" xr:uid="{205B6E0C-22E3-42C7-A36A-98BB075594B2}">
      <text>
        <r>
          <rPr>
            <sz val="9"/>
            <color indexed="81"/>
            <rFont val="Tahoma"/>
            <family val="2"/>
          </rPr>
          <t xml:space="preserve">Original formulas are kept, but give false result, due to deleted data
</t>
        </r>
      </text>
    </comment>
    <comment ref="J370" authorId="0" shapeId="0" xr:uid="{3BDCEC65-C274-4A57-8C8B-A36AB0594EC8}">
      <text>
        <r>
          <rPr>
            <sz val="9"/>
            <color indexed="81"/>
            <rFont val="Tahoma"/>
            <family val="2"/>
          </rPr>
          <t xml:space="preserve">Original formulas are kept, but give false result, due to deleted data
</t>
        </r>
      </text>
    </comment>
    <comment ref="J379" authorId="0" shapeId="0" xr:uid="{7AECDADC-ED33-407A-A425-45AC266D1008}">
      <text>
        <r>
          <rPr>
            <sz val="9"/>
            <color indexed="81"/>
            <rFont val="Tahoma"/>
            <family val="2"/>
          </rPr>
          <t xml:space="preserve">Original formulas are kept, but give false result, due to deleted data
</t>
        </r>
      </text>
    </comment>
    <comment ref="H391" authorId="0" shapeId="0" xr:uid="{54881AF7-2A32-4B7A-AF92-31ABD8425BDA}">
      <text>
        <r>
          <rPr>
            <sz val="9"/>
            <color indexed="81"/>
            <rFont val="Tahoma"/>
            <family val="2"/>
          </rPr>
          <t xml:space="preserve">Change made to this cell due to confidentiality.
</t>
        </r>
      </text>
    </comment>
    <comment ref="H392" authorId="0" shapeId="0" xr:uid="{F5D4D901-CCAD-48D5-B6C7-43BCD73EBB48}">
      <text>
        <r>
          <rPr>
            <sz val="9"/>
            <color indexed="81"/>
            <rFont val="Tahoma"/>
            <family val="2"/>
          </rPr>
          <t xml:space="preserve">Change made to this cell due to confidentiality.
</t>
        </r>
      </text>
    </comment>
    <comment ref="H393" authorId="0" shapeId="0" xr:uid="{9893DE4B-9725-43AE-93B8-8BC6B7E25A38}">
      <text>
        <r>
          <rPr>
            <sz val="9"/>
            <color indexed="81"/>
            <rFont val="Tahoma"/>
            <family val="2"/>
          </rPr>
          <t>Change made to this cell due to confidentiality.</t>
        </r>
      </text>
    </comment>
    <comment ref="H410" authorId="0" shapeId="0" xr:uid="{01B82D5C-F4E1-45EC-AFD9-3A64D43B6492}">
      <text>
        <r>
          <rPr>
            <sz val="9"/>
            <color indexed="81"/>
            <rFont val="Tahoma"/>
            <family val="2"/>
          </rPr>
          <t>Change made to this cell due to confidentiality.</t>
        </r>
      </text>
    </comment>
    <comment ref="H411" authorId="0" shapeId="0" xr:uid="{33FAFAD0-6F18-4AAC-9876-C6B4B8CC1462}">
      <text>
        <r>
          <rPr>
            <sz val="9"/>
            <color indexed="81"/>
            <rFont val="Tahoma"/>
            <family val="2"/>
          </rPr>
          <t xml:space="preserve">Change made to this cell due to confidentiality.
</t>
        </r>
      </text>
    </comment>
    <comment ref="H415" authorId="0" shapeId="0" xr:uid="{497492DE-140B-492E-B76D-FF48AE7F85AF}">
      <text>
        <r>
          <rPr>
            <sz val="9"/>
            <color indexed="81"/>
            <rFont val="Tahoma"/>
            <family val="2"/>
          </rPr>
          <t xml:space="preserve">Change made to this cell due to confidentiality.
</t>
        </r>
      </text>
    </comment>
    <comment ref="H416" authorId="0" shapeId="0" xr:uid="{4A147DD5-56C3-4A6A-8786-41E3851A6DC6}">
      <text>
        <r>
          <rPr>
            <sz val="9"/>
            <color indexed="81"/>
            <rFont val="Tahoma"/>
            <family val="2"/>
          </rPr>
          <t>Change made to this cell due to confidentiality.</t>
        </r>
      </text>
    </comment>
    <comment ref="H420" authorId="0" shapeId="0" xr:uid="{6B33CA08-9E65-4C81-8A70-F96388414D8E}">
      <text>
        <r>
          <rPr>
            <sz val="9"/>
            <color indexed="81"/>
            <rFont val="Tahoma"/>
            <family val="2"/>
          </rPr>
          <t>Change made to this cell due to confidentiality.</t>
        </r>
      </text>
    </comment>
    <comment ref="H421" authorId="0" shapeId="0" xr:uid="{03392C10-5A0E-4F79-9309-72E8B8D6A60F}">
      <text>
        <r>
          <rPr>
            <sz val="9"/>
            <color indexed="81"/>
            <rFont val="Tahoma"/>
            <family val="2"/>
          </rPr>
          <t xml:space="preserve">Change made to this cell due to confidentiality.
</t>
        </r>
      </text>
    </comment>
    <comment ref="H425" authorId="0" shapeId="0" xr:uid="{1CDABB66-12B2-48EC-8BB5-DF0865D2C523}">
      <text>
        <r>
          <rPr>
            <sz val="9"/>
            <color indexed="81"/>
            <rFont val="Tahoma"/>
            <family val="2"/>
          </rPr>
          <t>Change made to this cell due to confidentiality.</t>
        </r>
      </text>
    </comment>
    <comment ref="H426" authorId="0" shapeId="0" xr:uid="{443A6608-920A-458F-811F-8E075B4B1D7C}">
      <text>
        <r>
          <rPr>
            <sz val="9"/>
            <color indexed="81"/>
            <rFont val="Tahoma"/>
            <family val="2"/>
          </rPr>
          <t>Change made to this cell due to confidentiality.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H25" authorId="0" shapeId="0" xr:uid="{1278BD7F-9984-459E-A66D-AD193A1DC0C3}">
      <text>
        <r>
          <rPr>
            <sz val="9"/>
            <color indexed="81"/>
            <rFont val="Tahoma"/>
            <family val="2"/>
          </rPr>
          <t>Hard Copy value, the calculation in this cell was originally based on dividing sum of N17:Y17 by sum of N20:Y20.</t>
        </r>
      </text>
    </comment>
    <comment ref="M41" authorId="0" shapeId="0" xr:uid="{8C948DF2-3F41-4A01-BF9A-D438F3B981CB}">
      <text>
        <r>
          <rPr>
            <sz val="9"/>
            <color indexed="81"/>
            <rFont val="Tahoma"/>
            <family val="2"/>
          </rPr>
          <t>These cells give error value since data was deleted (due to confidentiality). The formulas in these cells represent the original content of these cells.</t>
        </r>
      </text>
    </comment>
    <comment ref="M42" authorId="0" shapeId="0" xr:uid="{8C990057-C4A0-4EC3-87C6-00F09F5709BD}">
      <text>
        <r>
          <rPr>
            <sz val="9"/>
            <color indexed="81"/>
            <rFont val="Tahoma"/>
            <family val="2"/>
          </rPr>
          <t>These cells give error value since data was deleted (due to confidentiality). The formulas in these cells represent the original content of these cells.</t>
        </r>
      </text>
    </comment>
    <comment ref="M45" authorId="0" shapeId="0" xr:uid="{677A328F-7C5B-498E-976E-E3E05481DB7A}">
      <text>
        <r>
          <rPr>
            <sz val="9"/>
            <color indexed="81"/>
            <rFont val="Tahoma"/>
            <family val="2"/>
          </rPr>
          <t>These cells give error value since data was deleted (due to confidentiality). The formulas in these cells represent the original content of these cells.</t>
        </r>
      </text>
    </comment>
    <comment ref="M47" authorId="0" shapeId="0" xr:uid="{23B0B053-C679-4E0D-9C1A-8560F1827BFB}">
      <text>
        <r>
          <rPr>
            <sz val="8"/>
            <color indexed="81"/>
            <rFont val="Tahoma"/>
            <family val="2"/>
          </rPr>
          <t xml:space="preserve">These cells are hard copied. Original calculation was based on the difference between row 45 and row 42.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H63" authorId="0" shapeId="0" xr:uid="{22D62188-352B-424A-89EC-1D10ED187F72}">
      <text>
        <r>
          <rPr>
            <sz val="9"/>
            <color indexed="81"/>
            <rFont val="Tahoma"/>
            <family val="2"/>
          </rPr>
          <t>Change made to this cell due to confidentiality.</t>
        </r>
      </text>
    </comment>
    <comment ref="H80" authorId="0" shapeId="0" xr:uid="{7BDCE71D-3468-43C8-B696-A6A836C2EBC9}">
      <text>
        <r>
          <rPr>
            <sz val="9"/>
            <color indexed="81"/>
            <rFont val="Tahoma"/>
            <family val="2"/>
          </rPr>
          <t>Change made to this cell due to confidentiality.</t>
        </r>
      </text>
    </comment>
  </commentList>
</comments>
</file>

<file path=xl/sharedStrings.xml><?xml version="1.0" encoding="utf-8"?>
<sst xmlns="http://schemas.openxmlformats.org/spreadsheetml/2006/main" count="1642" uniqueCount="591">
  <si>
    <t>Disclaimer</t>
  </si>
  <si>
    <t>Data</t>
  </si>
  <si>
    <t>Input --&gt;</t>
  </si>
  <si>
    <t>About this file</t>
  </si>
  <si>
    <t>Case number</t>
  </si>
  <si>
    <t>File title</t>
  </si>
  <si>
    <t>Subtitle</t>
  </si>
  <si>
    <t>Other remarks</t>
  </si>
  <si>
    <t>About the status of this file</t>
  </si>
  <si>
    <t>Final version? (y/n)</t>
  </si>
  <si>
    <t>Is this file legally part of the decision(s) listed above? (y/n)</t>
  </si>
  <si>
    <t>Cell colors (for numbers)</t>
  </si>
  <si>
    <t>Description</t>
  </si>
  <si>
    <t>Data and input (source required)</t>
  </si>
  <si>
    <t>Calculated value</t>
  </si>
  <si>
    <t>Empty cell (not zero) used in a formula range</t>
  </si>
  <si>
    <t>Sheet tab colors</t>
  </si>
  <si>
    <t>Sheet with result/output</t>
  </si>
  <si>
    <t>Sheet with input</t>
  </si>
  <si>
    <t>Sheet with calculations</t>
  </si>
  <si>
    <t>Model sheets</t>
  </si>
  <si>
    <t>Result</t>
  </si>
  <si>
    <t>Calculation</t>
  </si>
  <si>
    <t>Explanatory sheets</t>
  </si>
  <si>
    <t>Explanation</t>
  </si>
  <si>
    <t>Source overview and specific applications</t>
  </si>
  <si>
    <t>Source overview</t>
  </si>
  <si>
    <t>Each input sheet contains a column 'Source', in which the sources are referred to by their shortened name. These sources are further explained in the table below.</t>
  </si>
  <si>
    <t>No.</t>
  </si>
  <si>
    <t>Shortened name</t>
  </si>
  <si>
    <t>As referred to in Source column</t>
  </si>
  <si>
    <t>Date received, email, URL, file location</t>
  </si>
  <si>
    <t>Explanantory notes</t>
  </si>
  <si>
    <t>Unit</t>
  </si>
  <si>
    <t>Constant</t>
  </si>
  <si>
    <t>Row total</t>
  </si>
  <si>
    <t>Remarks</t>
  </si>
  <si>
    <t>Source</t>
  </si>
  <si>
    <t>Cover sheet</t>
  </si>
  <si>
    <t>Belongs to decision(s):</t>
  </si>
  <si>
    <t>If applicable</t>
  </si>
  <si>
    <t>Objections and appeals can be filed against the decision to which this file belongs.</t>
  </si>
  <si>
    <t xml:space="preserve">If there are any substantive differences between the calculation in this file and the calculation that follows from the relevant decision, the decision's calculation is authentic. </t>
  </si>
  <si>
    <t>Explanatory notes to this file</t>
  </si>
  <si>
    <t xml:space="preserve">Explanation about how this file works </t>
  </si>
  <si>
    <t>Legend for the cell and sheet colors</t>
  </si>
  <si>
    <t>Value that is taken from another sheet or cell without calculation</t>
  </si>
  <si>
    <t>Result/calculated value that is used in another sheet</t>
  </si>
  <si>
    <t xml:space="preserve">Empty sheet used for indexing </t>
  </si>
  <si>
    <t>Standardized sheets with general information abouyt this file</t>
  </si>
  <si>
    <t>Additional information about this source</t>
  </si>
  <si>
    <t xml:space="preserve">If ACM does use cell or range references, macros, or other more complex functions in Excel, these will be explained on this sheet. </t>
  </si>
  <si>
    <t>Relationship to other calculation files</t>
  </si>
  <si>
    <t>in the overview below, ACM lists the sources that are used for data and calculations in this file.</t>
  </si>
  <si>
    <t>Explanation of the use of specific Excel-applications and other details</t>
  </si>
  <si>
    <t xml:space="preserve">In its calculation files, ACM seeks to use simple and easy-to-follow calculations as much as possible, and seeks to avoid the use of complex formulas or specific applications. </t>
  </si>
  <si>
    <t>When final, will this file be published?</t>
  </si>
  <si>
    <t>When published, date of this file:</t>
  </si>
  <si>
    <t>When published, doe this file contain business-confidential information? (y/n)</t>
  </si>
  <si>
    <t>This calculation is developed in the standardized format used by the Energy Department of ACM (based on version 5, june 2021)</t>
  </si>
  <si>
    <t>[ END OF SHEET ]</t>
  </si>
  <si>
    <t>This sheet seperates different types of sheets and is intentially left blank</t>
  </si>
  <si>
    <t>No texts, data or calculations may be included on this sheet</t>
  </si>
  <si>
    <t>ACM case number and/or reference</t>
  </si>
  <si>
    <t>Description result</t>
  </si>
  <si>
    <t>Remark</t>
  </si>
  <si>
    <t>Calculation production price</t>
  </si>
  <si>
    <t>kWh</t>
  </si>
  <si>
    <t>This is the production price set in the Dictum</t>
  </si>
  <si>
    <t>This fuel component is not rounded (as it is not set in the Dictum, but follows from the formula)</t>
  </si>
  <si>
    <t>This production price is rounded to 5 decimals as this is used in the tariff calculation for WEB.</t>
  </si>
  <si>
    <t>Other relevant information</t>
  </si>
  <si>
    <t xml:space="preserve">Dictum and Appendix 1 Tariff Decision: tariffs and key figures Electricity </t>
  </si>
  <si>
    <t>Dictum</t>
  </si>
  <si>
    <t>Please note that all numbers are displayed in Dutch decimal system</t>
  </si>
  <si>
    <t>General parameters</t>
  </si>
  <si>
    <t>%</t>
  </si>
  <si>
    <t>Estimated inflation 2024 for Bonaire</t>
  </si>
  <si>
    <t>Profit sharing percentage</t>
  </si>
  <si>
    <t>USD</t>
  </si>
  <si>
    <t>Total OPEX estimation regular</t>
  </si>
  <si>
    <t>Total capital costs estimation</t>
  </si>
  <si>
    <t>Parameters on production</t>
  </si>
  <si>
    <t>liter / kWh</t>
  </si>
  <si>
    <t>USD / liter</t>
  </si>
  <si>
    <t>Relevant parameters on variable costs</t>
  </si>
  <si>
    <t xml:space="preserve">Parameters </t>
  </si>
  <si>
    <t>Description data</t>
  </si>
  <si>
    <t>This sheet shows the CPI, legal fixed interest rate and WACC used. Also, input for profit sharing is included.</t>
  </si>
  <si>
    <t>Explanatory notes</t>
  </si>
  <si>
    <t xml:space="preserve">The development of the CPI of Q3 year T and Q3 year T-1 will be used as the estimated inflation for the year T+1. The estimated inflation is rounded to one decimal. </t>
  </si>
  <si>
    <t xml:space="preserve">See Source overview for URL to relevant tables by CBS: CPI gegevens CBS (2017 = 100). </t>
  </si>
  <si>
    <t>CPI for Bonaire</t>
  </si>
  <si>
    <t>CPI data CBS (2017=100)</t>
  </si>
  <si>
    <t>Estimated inflation 2024</t>
  </si>
  <si>
    <t>Interest rate for time-value of tariff corrections</t>
  </si>
  <si>
    <t>Wettelijke rente CNL ('legal fixed interest rate')</t>
  </si>
  <si>
    <t>Wettelijke rente CNL</t>
  </si>
  <si>
    <t>WACC for electricity production only</t>
  </si>
  <si>
    <t>WACC Decision 2023-2025 (original decision)</t>
  </si>
  <si>
    <t>Profit sharing parameter</t>
  </si>
  <si>
    <t>Based on choice in method decision</t>
  </si>
  <si>
    <t>For the realized operational costs, the CPI is used to translate costs over years, as these are expected to develop with CPI. So price level is always mentioned in the Unit column.</t>
  </si>
  <si>
    <t>Regular OPEX (excl. fuel)</t>
  </si>
  <si>
    <t>Personnel expenses</t>
  </si>
  <si>
    <t>Other operating expenses</t>
  </si>
  <si>
    <t>Non-variable fuel costs</t>
  </si>
  <si>
    <t>Total regular OPEX</t>
  </si>
  <si>
    <t>Specific cost categories</t>
  </si>
  <si>
    <t>Penalties and late fees</t>
  </si>
  <si>
    <t>Part 1: RAB power plant (initial investment)</t>
  </si>
  <si>
    <t>Initial costs power plant (value 20 Aug 2010)</t>
  </si>
  <si>
    <t>Transaction costs financing</t>
  </si>
  <si>
    <t>Residual value power plant (value 20 Aug 2025)</t>
  </si>
  <si>
    <t>PPA period in years</t>
  </si>
  <si>
    <t>Years</t>
  </si>
  <si>
    <t>Part 2: yearly investments (regular add-ons)</t>
  </si>
  <si>
    <t>RAB investments 2016</t>
  </si>
  <si>
    <t xml:space="preserve">Office </t>
  </si>
  <si>
    <t>Investment</t>
  </si>
  <si>
    <t>Depreciation period</t>
  </si>
  <si>
    <t>years</t>
  </si>
  <si>
    <t xml:space="preserve">Investment date </t>
  </si>
  <si>
    <t>date</t>
  </si>
  <si>
    <t>Software</t>
  </si>
  <si>
    <t>RAB investments 2017</t>
  </si>
  <si>
    <t>RAB investments 2018</t>
  </si>
  <si>
    <t>Software / computer equipment</t>
  </si>
  <si>
    <t>RAB investments 2019</t>
  </si>
  <si>
    <t>Computer equipment</t>
  </si>
  <si>
    <t>RAB investments 2020</t>
  </si>
  <si>
    <t>No regular capital additions in 2021</t>
  </si>
  <si>
    <t>No regular capital additions in 2022</t>
  </si>
  <si>
    <t>Part 3: expansion investments (capacity add-on realized in 2019)</t>
  </si>
  <si>
    <t>Investment batteries</t>
  </si>
  <si>
    <t>Investment extra HFO generators</t>
  </si>
  <si>
    <t>All production volumes are net volumes.</t>
  </si>
  <si>
    <t>In earlier decisions and calculations the new fuel type for CGB was named 'LFO', which is incorrect. The actual fuel type is 'LSD' (Low Sulpher Diesel).</t>
  </si>
  <si>
    <t xml:space="preserve">Year: 
Month: </t>
  </si>
  <si>
    <t>LSD fuel data</t>
  </si>
  <si>
    <t>Weighted average purchasing price</t>
  </si>
  <si>
    <t>Fuel volume consumed for production</t>
  </si>
  <si>
    <t>liter</t>
  </si>
  <si>
    <t>Production volumes</t>
  </si>
  <si>
    <t>Total net production with generators (fuel)</t>
  </si>
  <si>
    <t>Total net production over all gensets and fuel types</t>
  </si>
  <si>
    <t>Total net production by renewable sources</t>
  </si>
  <si>
    <t xml:space="preserve">Total production </t>
  </si>
  <si>
    <t>Information from monthly invoice to WEB</t>
  </si>
  <si>
    <t>Production price as calculated by CGB</t>
  </si>
  <si>
    <t>USD / kWh</t>
  </si>
  <si>
    <t>Volume sold to WEB</t>
  </si>
  <si>
    <t>Production price excluding fuel component</t>
  </si>
  <si>
    <t>Production by fuel</t>
  </si>
  <si>
    <t>This is net production; fuel production calculated as difference between total demand and estimated renewable production.</t>
  </si>
  <si>
    <t>Production by wind</t>
  </si>
  <si>
    <t>Production by solar</t>
  </si>
  <si>
    <t>Spare parts and special tools for the BESS</t>
  </si>
  <si>
    <t>Total investment</t>
  </si>
  <si>
    <t xml:space="preserve">USD </t>
  </si>
  <si>
    <t>The depreciation period is calculated such that the spare parts are fully depreciated when the BESS project is fully depreciated (1 April 2038).</t>
  </si>
  <si>
    <t>Commercial operation date</t>
  </si>
  <si>
    <t>Investment in 6 MW peakers</t>
  </si>
  <si>
    <t>30 kV project</t>
  </si>
  <si>
    <t>Data on variable costs</t>
  </si>
  <si>
    <t>Percentage of operational costs regarded as variable</t>
  </si>
  <si>
    <t>Description calculation</t>
  </si>
  <si>
    <t>Data on RAB</t>
  </si>
  <si>
    <t>Office</t>
  </si>
  <si>
    <t>Computer equipment is left out, as it is fully depreciated</t>
  </si>
  <si>
    <t>Investment BESS</t>
  </si>
  <si>
    <t>Share of BBT in capital costs</t>
  </si>
  <si>
    <t>Investment PV-plant</t>
  </si>
  <si>
    <t>RAB calculation</t>
  </si>
  <si>
    <t>Initial costs power plant excluding transaction costs (value 20 Aug 2010)</t>
  </si>
  <si>
    <t>Decrease in value during PPA-period</t>
  </si>
  <si>
    <t>Yearly depreciation</t>
  </si>
  <si>
    <t>RAB value of Powerplant (initial investment) ultimo 2015</t>
  </si>
  <si>
    <t>Part 2: yearly investments (regular add-ons and replacements)</t>
  </si>
  <si>
    <t>Yearly depreciation investments in this category</t>
  </si>
  <si>
    <t xml:space="preserve">Asset has been fully depreciated </t>
  </si>
  <si>
    <t>Totals Part 2 RAB value</t>
  </si>
  <si>
    <t>Investment batteries (2019)</t>
  </si>
  <si>
    <t>Investment extra HFO generators (2019)</t>
  </si>
  <si>
    <t>Investment BESS (2023)</t>
  </si>
  <si>
    <t>Calculation based on pro rato attribution in 2024</t>
  </si>
  <si>
    <t>Investment PV-plant (2023)</t>
  </si>
  <si>
    <t>Spare parts and special tools for the BESS (2024)</t>
  </si>
  <si>
    <t>Initial investment at COD</t>
  </si>
  <si>
    <t>months</t>
  </si>
  <si>
    <t>Investment in 6 MW peakers (2024)</t>
  </si>
  <si>
    <t>Investment in blackstart unit (2023)</t>
  </si>
  <si>
    <t>Depreciation in 2023 on this asset</t>
  </si>
  <si>
    <t>RAB value of investment ultimo 2023</t>
  </si>
  <si>
    <t>Total realized capital costs for profit sharing</t>
  </si>
  <si>
    <t xml:space="preserve">    4) realized fuel yields of LSD (compared to assumed fuel yield), 5) actual monthly fuel prices (compared to fuel component on T-2 basis).</t>
  </si>
  <si>
    <t>Data on fuel and production</t>
  </si>
  <si>
    <t>LSD</t>
  </si>
  <si>
    <t>Realized fuel yield based on LSD</t>
  </si>
  <si>
    <t>Data on income from production</t>
  </si>
  <si>
    <t xml:space="preserve">Production price as calculated by CGB </t>
  </si>
  <si>
    <t>Production price as set in production price decision</t>
  </si>
  <si>
    <t>Production price excluding fuel component CGB (as set for full year)</t>
  </si>
  <si>
    <t>Fuel income</t>
  </si>
  <si>
    <t>Calculation realized fuel component</t>
  </si>
  <si>
    <t>Total income from fuel component</t>
  </si>
  <si>
    <t>Fuel costs</t>
  </si>
  <si>
    <t>Costs LSD fuel</t>
  </si>
  <si>
    <t>Total fuel cost correction per month</t>
  </si>
  <si>
    <t xml:space="preserve">On this sheet ACM calculates the correction for the volume effect and the profit sharing effect. From the 2020 tariff decision on, ACM refined the calculation method by taking into account the share of total costs that can be considered as 'variable'. </t>
  </si>
  <si>
    <t>The volume correction is made to correct the realized income for over- or undercovering the fixed costs. When realized volume is higher than estimated volume, the cost cover of fixed costs is more than 100%, which means the production price was too high (in hindsight).</t>
  </si>
  <si>
    <t xml:space="preserve">The profit sharing of 50% is calculated over the difference between realized costs and expected costs, where the expected costs are corrected for higher or lower realized volume. </t>
  </si>
  <si>
    <t>Total costs considered as variable</t>
  </si>
  <si>
    <t>Note: all capital costs are regarded as fixed (based on lumpy character and lack of direct relation with kWh)</t>
  </si>
  <si>
    <t>Estimated variable costs per unit output (excl. fuel)</t>
  </si>
  <si>
    <t>Estimated costs divided by estimated production</t>
  </si>
  <si>
    <t>Total estimated costs for profit sharing</t>
  </si>
  <si>
    <t>Total realized costs</t>
  </si>
  <si>
    <t>Total realized costs for profit sharing</t>
  </si>
  <si>
    <t>Calculation volume correction</t>
  </si>
  <si>
    <t>Calculation of profit sharing correction</t>
  </si>
  <si>
    <t>Profit sharing</t>
  </si>
  <si>
    <t>Profit sharing amount</t>
  </si>
  <si>
    <r>
      <t xml:space="preserve">As of the tariff decision for 2022, ACM applies two different interest rates when translating amounts in USD to different price levels (years). For </t>
    </r>
    <r>
      <rPr>
        <u/>
        <sz val="10"/>
        <rFont val="Arial"/>
        <family val="2"/>
      </rPr>
      <t>cost estimations (only OPEX)</t>
    </r>
    <r>
      <rPr>
        <sz val="10"/>
        <rFont val="Arial"/>
        <family val="2"/>
      </rPr>
      <t xml:space="preserve"> ACM uses the cpi (as we did before 2022); for </t>
    </r>
    <r>
      <rPr>
        <u/>
        <sz val="10"/>
        <rFont val="Arial"/>
        <family val="2"/>
      </rPr>
      <t>tariff corrections</t>
    </r>
    <r>
      <rPr>
        <sz val="10"/>
        <rFont val="Arial"/>
        <family val="2"/>
      </rPr>
      <t xml:space="preserve"> ACM applies the 'wettelijke rente' (legal fixed interest rate).</t>
    </r>
  </si>
  <si>
    <t>Data on cpi and interest factors</t>
  </si>
  <si>
    <t>1+%</t>
  </si>
  <si>
    <t>Percentage of OPEX considered variable</t>
  </si>
  <si>
    <t>Capital costs RAB power plant (initial investment - part 1)</t>
  </si>
  <si>
    <t>Capital costs yearly investments (regular add-ons and replacements - part 2)</t>
  </si>
  <si>
    <t>Capital costs expansion investments HFO and batteries (add-on realized in 2019 - part 3)</t>
  </si>
  <si>
    <t>Expected production levels</t>
  </si>
  <si>
    <t>Information on yield and fuel price LSD production</t>
  </si>
  <si>
    <t>Yield production by LSD (kWh)</t>
  </si>
  <si>
    <t>Total OPEX estimation regular OPEX</t>
  </si>
  <si>
    <t>Regular corrections</t>
  </si>
  <si>
    <t>ACM applies 'wettelijke rente'</t>
  </si>
  <si>
    <t>Calculation of fuel costs</t>
  </si>
  <si>
    <t>ACM/23/181658</t>
  </si>
  <si>
    <t>Calculation production price ContourGlobal Bonaire 2025</t>
  </si>
  <si>
    <t>Production price electricity CGB 2025</t>
  </si>
  <si>
    <t>Yes</t>
  </si>
  <si>
    <t>Every sheet contains specific information on the calculation made and explanatory notes on details and exemptions.</t>
  </si>
  <si>
    <t xml:space="preserve">This document contains the calculation of the production price for electricity of ContourGlobal B.V for 2025. The production price is based on an estimation of the cost of ContourGlobal in 2025 and several corrections (including profit sharing results) over 2023. </t>
  </si>
  <si>
    <t>ACM estimates the cost of 2025 with the cost of 2023 as can be found in the annual account of ContourGlobal and other relevant information, for instance on major occurrences.</t>
  </si>
  <si>
    <t xml:space="preserve">CBS data on CPI </t>
  </si>
  <si>
    <t>WACC Decision on 2023-2025 (original decision)</t>
  </si>
  <si>
    <t>https://opendata.cbs.nl/statline/#/CBS/nl/dataset/84046NED/table?ts=1571909504894</t>
  </si>
  <si>
    <t>https://wetten.overheid.nl/BWBR0030649/2011-11-18</t>
  </si>
  <si>
    <t>https://www.acm.nl/nl/publicaties/wacc-elektriciteit-en-drinkwater-caribisch-nederland-2023-2025</t>
  </si>
  <si>
    <t>Result: calculation of production price 2025</t>
  </si>
  <si>
    <t>On this sheet the production price of ContourGlobal is calculated for 2025, consisting of the non-fuel part, which covers all costs excluding fuel, and the fuel component that applies for January 2025.</t>
  </si>
  <si>
    <t>The ACM also included the amount of variable costs, as this is information that will be used in the profit sharing calculation over 2025 (expected in tariffs for 2027).</t>
  </si>
  <si>
    <t>Calculation production price 2025</t>
  </si>
  <si>
    <t>Total income level for 2025, after corrections</t>
  </si>
  <si>
    <t>Production price 2025 excl. fuel component (not rounded)</t>
  </si>
  <si>
    <t>Production price 2025 excl. fuel component (rounded to 5 decimals)</t>
  </si>
  <si>
    <t>Fuel component (for January 2025)</t>
  </si>
  <si>
    <t>Total estimated costs for 2025</t>
  </si>
  <si>
    <t>Costs considered as variable in the costs estimation for 2025</t>
  </si>
  <si>
    <t>USD, price level 2025</t>
  </si>
  <si>
    <t>USD, pl 2025 / kWh</t>
  </si>
  <si>
    <t>Note: this figure is only relevant for profit sharing over 2025</t>
  </si>
  <si>
    <t xml:space="preserve">On this sheet all the relevant information to include in the appendix of the decision on the tariffs of 2025 is shown. </t>
  </si>
  <si>
    <t>Production price electricity excl. fuel 2025</t>
  </si>
  <si>
    <t>Key figures production price decision - Electricity CG Bonaire 2025</t>
  </si>
  <si>
    <t>Estimated inflation 2025</t>
  </si>
  <si>
    <t>WACC 2025</t>
  </si>
  <si>
    <t>Recalculated WACC 2023</t>
  </si>
  <si>
    <t>The ACM uses the WACC 2025 to calculate the estimated capital costs for 2025.</t>
  </si>
  <si>
    <t>Recalculation WACC 2023</t>
  </si>
  <si>
    <t>Data on cost estimation for 2023 and realized costs of 2023</t>
  </si>
  <si>
    <t>The first part of this sheet concerns the cost data that were used for setting the tariff for 2023. These were mainly based on the 2021 realizations.</t>
  </si>
  <si>
    <t>Then the realized costs of 2023 are presented. The source of the cost data is the annual account of 2023 plus additional data from CGB. The source of the production data is an information request by ACM to ContourGlobal.</t>
  </si>
  <si>
    <t>Cost estimation 2023</t>
  </si>
  <si>
    <t>Total estimated cost level 2023</t>
  </si>
  <si>
    <t>OPEX considered as variable (as part of the total costs of 2023)</t>
  </si>
  <si>
    <t>Estimated production volume for 2023</t>
  </si>
  <si>
    <t>USD, pl 2023</t>
  </si>
  <si>
    <t>Calculation production price CGB for 2023, sheet 'Est. production and costs 2023', cell H18</t>
  </si>
  <si>
    <t>Calculation production price for CGB 2023, sheet 'production price 2023', cell H28</t>
  </si>
  <si>
    <t>Realized costs 2023: Operational costs</t>
  </si>
  <si>
    <t>Report on the annual accounts 2023</t>
  </si>
  <si>
    <t>Calculation production price for CGB 2023</t>
  </si>
  <si>
    <t>Beschikking productieprijs elektriciteit 2023 Bonaire ContourGlobal | ACM.nl</t>
  </si>
  <si>
    <t>Information request 2024, answer to question 6c</t>
  </si>
  <si>
    <t>Realized costs 2023: Asset base</t>
  </si>
  <si>
    <t>No regular capital additions in 2023</t>
  </si>
  <si>
    <t>Information request 2024, answer to question 7</t>
  </si>
  <si>
    <t>Investment in blackstart unit (Generatorset 1900/2100 kVA)</t>
  </si>
  <si>
    <t>Part 5: expansion investments (capacity add-on realized in 2023)</t>
  </si>
  <si>
    <t>Investment date</t>
  </si>
  <si>
    <t>Realized production levels and fuel costs 2023</t>
  </si>
  <si>
    <t>On this sheet all relevant data on fuel use, fuel prices and invoiced income are presented. The data are used to calculate the fuel correction over 2023, which compensates for differences in fuel prices, volumes used and realized yield (see sheet 'fuel correction 2023').</t>
  </si>
  <si>
    <t>2023
January</t>
  </si>
  <si>
    <t>2023
February</t>
  </si>
  <si>
    <t>2023
March</t>
  </si>
  <si>
    <t>2023
April</t>
  </si>
  <si>
    <t>2023
May</t>
  </si>
  <si>
    <t>2023
June</t>
  </si>
  <si>
    <t>2023
July</t>
  </si>
  <si>
    <t>2023
August</t>
  </si>
  <si>
    <t>2023
September</t>
  </si>
  <si>
    <t>2023
October</t>
  </si>
  <si>
    <t>2023
November</t>
  </si>
  <si>
    <t>2023
December</t>
  </si>
  <si>
    <t>Data on fuel and production 2023</t>
  </si>
  <si>
    <t>Production from windfarm plus Sorobon and from PV park</t>
  </si>
  <si>
    <t>Data on income from production price 2023</t>
  </si>
  <si>
    <t>[8]</t>
  </si>
  <si>
    <t>[9]</t>
  </si>
  <si>
    <t>question 2</t>
  </si>
  <si>
    <t>question 10a</t>
  </si>
  <si>
    <t>question 10b</t>
  </si>
  <si>
    <t>Information request 2023, question 1 to 5</t>
  </si>
  <si>
    <t>Information request 2024, question 1 to 5</t>
  </si>
  <si>
    <t>Information request 2024, question 6 to 9</t>
  </si>
  <si>
    <t>Information request 2023, question 10 to 17</t>
  </si>
  <si>
    <t>Parameters of production price decision for 2023</t>
  </si>
  <si>
    <t>Production price CGB for 2023, sheet 'production price 2023'</t>
  </si>
  <si>
    <t>Estimated production and cost developments for 2025</t>
  </si>
  <si>
    <t>On this sheet ACM presents the relevant data that is taken into account when estimating the production and costs for 2025: volumes and LSD price for production, and additional costs related to major occurrences.</t>
  </si>
  <si>
    <t>Estimated production amounts 2025 and fuel information</t>
  </si>
  <si>
    <t>Estimated production for 2025</t>
  </si>
  <si>
    <t>LSD price (November 2024)</t>
  </si>
  <si>
    <t>Other information and corrections in 2025</t>
  </si>
  <si>
    <t>Information request 2024, answer to question 8</t>
  </si>
  <si>
    <t>RAB calculation 2023 / 2025</t>
  </si>
  <si>
    <t>This RAB calculation follows the choices made in earlier decisions and calculations for CGB. The RAB and depreciation levels lead to a capital cost calculation over 2023 and an estimation for 2025, at the bottom of this sheet.</t>
  </si>
  <si>
    <t>This approach holds for both the profit sharing over 2023 and the cost estimation that we make for the year 2025.</t>
  </si>
  <si>
    <t>Part 4: Hybrid Concept expansions BESS and PV-plant (realized in 2023)</t>
  </si>
  <si>
    <t>Investment in blackstart unit (realized in 2023)</t>
  </si>
  <si>
    <t>Part 5: expansion investments (estimation for 2025)</t>
  </si>
  <si>
    <t>Cost estimations for major occurrences in 2025</t>
  </si>
  <si>
    <t>RAB value of Powerplant (initial investment) primo 2023</t>
  </si>
  <si>
    <t>RAB value of Powerplant (initial investment) ultimo 2023</t>
  </si>
  <si>
    <t>Average RAB value of Powerplant (initial investment) during 2023</t>
  </si>
  <si>
    <t>RAB value of Powerplant (initial investment) primo 2025</t>
  </si>
  <si>
    <t>RAB value of Powerplant (initial investment) ultimo 2025</t>
  </si>
  <si>
    <t>Average RAB value of Powerplant (initial investment) during 2025</t>
  </si>
  <si>
    <t>RAB value of regular investments 2016 ultimo 2023</t>
  </si>
  <si>
    <t>RAB value of regular investments 2019 ultimo 2023</t>
  </si>
  <si>
    <t>(Since 2023 is last year of depreciation): RAB value ultimo 2022:</t>
  </si>
  <si>
    <t>RAB value of regular investments ultimo 2023</t>
  </si>
  <si>
    <t>Depreciation in 2023 on regular investments</t>
  </si>
  <si>
    <t>RAB value of regular investments 2020 ultimo 2023</t>
  </si>
  <si>
    <t>Asset has been fully depreciated</t>
  </si>
  <si>
    <t>RAB value of investment primo 2023</t>
  </si>
  <si>
    <t>Average RAB value of investment during 2023</t>
  </si>
  <si>
    <t>RAB value of investment primo 2025</t>
  </si>
  <si>
    <t>RAB value of investment ultimo 2025</t>
  </si>
  <si>
    <t>Average RAB value of investment during 2025</t>
  </si>
  <si>
    <t>Average pro rato RAB value in 2025 attributable to CGB</t>
  </si>
  <si>
    <t>Depreciation in 2025 attributable to CGB</t>
  </si>
  <si>
    <t>Depreciation in 2023 attributable to CGB</t>
  </si>
  <si>
    <t>Average asset value during active months in 2023</t>
  </si>
  <si>
    <t>Number of active months</t>
  </si>
  <si>
    <t>Average pro rato RAB value in 2023 attributable to CGB</t>
  </si>
  <si>
    <t>Depreciation in 2025 on this asset</t>
  </si>
  <si>
    <t>Average asset value during active months in 2025</t>
  </si>
  <si>
    <t>Number of months active in 2025</t>
  </si>
  <si>
    <t>Total RAB value 2023</t>
  </si>
  <si>
    <t>Total depreciation 2023</t>
  </si>
  <si>
    <t>Total capital costs 2023 for profit sharing</t>
  </si>
  <si>
    <t>Cost base (capital costs) for estimating expected costs in 2025</t>
  </si>
  <si>
    <t>RAB value 2025 (year average)</t>
  </si>
  <si>
    <t>Depreciation in 2025</t>
  </si>
  <si>
    <t>Capital costs in 2025 (based on WACC for 2025)</t>
  </si>
  <si>
    <t>RAB value 2025 (ultimo)</t>
  </si>
  <si>
    <t>Part 4: Hybrid Concept expansions BESS and PV-plant</t>
  </si>
  <si>
    <t>Total RAB estimation for 2025 (year average/ultimo)</t>
  </si>
  <si>
    <t>Total estimated depreciation in 2025</t>
  </si>
  <si>
    <t>Total estimated capital costs in 2025 (based on WACC for 2025)</t>
  </si>
  <si>
    <t>Average pro rato RAB value during active months in 2025</t>
  </si>
  <si>
    <t>Average pro rato RAB value during active months in 2023</t>
  </si>
  <si>
    <t>USD, pl 2025</t>
  </si>
  <si>
    <t>Calculation capital costs for profit sharing over 2023</t>
  </si>
  <si>
    <t>Costs of fuel and income from fuel component 2023</t>
  </si>
  <si>
    <t>On this sheet the fuel correction over 2023 is calculated. This fuel correction reflects the difference between the monthly income from the fuel component in 2023 and the actual monthly fuel costs in 2023.</t>
  </si>
  <si>
    <t xml:space="preserve">This correction reimburses the positive and negative effects of differences in 1) monthly production needed (based on island demand and production by WEB), 2) availability of renewable sources (i.e. wind), 3) realized production mix between HFO and LSD (not applicable for 2023), </t>
  </si>
  <si>
    <t>Calculation fuel correction 2023</t>
  </si>
  <si>
    <t>Positive amount means: income was lower than costs for that month, so add positive amount to income in 2025</t>
  </si>
  <si>
    <t>Correction amount in price level 2023</t>
  </si>
  <si>
    <t>Cumulative fuel correction 2023</t>
  </si>
  <si>
    <t>Correction for volume effect and profit sharing effect over 2023</t>
  </si>
  <si>
    <t>Data on cost estimation 2023 and costs realization 2023</t>
  </si>
  <si>
    <t>Estimated production volume for 2023 (net)</t>
  </si>
  <si>
    <t>Realized costs and production 2023</t>
  </si>
  <si>
    <t>Realized production volume 2023 (net)</t>
  </si>
  <si>
    <t>Estimated fixed costs 2023</t>
  </si>
  <si>
    <t>Cost estimation variable costs corrected for realized volume 2023</t>
  </si>
  <si>
    <t>Cost estimation total costs corrected for realized volume 2023</t>
  </si>
  <si>
    <t>Realized costs 2023</t>
  </si>
  <si>
    <t>Cost covering of fixed costs 2023</t>
  </si>
  <si>
    <t>Total realized income for covering fixed costs in 2023, based on realized volumes</t>
  </si>
  <si>
    <t>Over- or under covering of estimated fixed costs 2023</t>
  </si>
  <si>
    <t>Realized economic profit over 2023 (after volume correction)</t>
  </si>
  <si>
    <t>USD, pl 2023 / kWh</t>
  </si>
  <si>
    <t>Calculation total income 2025</t>
  </si>
  <si>
    <t>On this sheet the total income level for 2025 is calculated, including the effect of all regular corrections.The fuel component (valid for January 2025) is calculated as well. Both figures are used to calculate the production price for 2025 (January 2025) on the result sheet.</t>
  </si>
  <si>
    <t>Wettelijke rente CNL (legal fixed interest rate) for period 2020-2025</t>
  </si>
  <si>
    <t>Compound 'wettelijke rente' interest factor (1+%) for tariff corrections 2023 to 2025</t>
  </si>
  <si>
    <t>Data on cost estimation 2025</t>
  </si>
  <si>
    <t>OPEX estimation for 2025</t>
  </si>
  <si>
    <t>Regular OPEX 2023</t>
  </si>
  <si>
    <t>Expected capital costs for 2025</t>
  </si>
  <si>
    <t>Capital costs Hybrid Concept expansions BESS and PV-plant (realized in 2023 - part 4)</t>
  </si>
  <si>
    <t>Capital costs expansion investments 2024 (estimation for 2025 - part 5)</t>
  </si>
  <si>
    <t>Data on fuel component 2025</t>
  </si>
  <si>
    <t>Calculation expected costs for 2025 and income level 2025</t>
  </si>
  <si>
    <t>Calculation expected costs for 2025 (excluding fuel)</t>
  </si>
  <si>
    <t>Income level for 2025</t>
  </si>
  <si>
    <t xml:space="preserve">Income level for 2025 before corrections </t>
  </si>
  <si>
    <t>Correction on income 2025 for volume effect 2023</t>
  </si>
  <si>
    <t>Correction on income 2025 for profit sharing over 2023</t>
  </si>
  <si>
    <t>Correction on income 2025 for fuel price difference in 2023</t>
  </si>
  <si>
    <t>Total effect of regular corrections (in price level 2025)</t>
  </si>
  <si>
    <t>Total income level for 2025</t>
  </si>
  <si>
    <t>OPEX considered as variable (as part of the total costs of 2025)</t>
  </si>
  <si>
    <t>Calculation fuel component 2025</t>
  </si>
  <si>
    <t>Fuel component for January 2025</t>
  </si>
  <si>
    <t>Production price CGB 2025 (based on fuel component for January 2025)</t>
  </si>
  <si>
    <t>Production price CGB 2025 (used in usage tariff decision for WEB 2025)</t>
  </si>
  <si>
    <t>Total expected costs 2025</t>
  </si>
  <si>
    <t>Write-off damaged MAN12 engine due to fire incident</t>
  </si>
  <si>
    <t>Total amount of renewables production by ContourGlobal in 2025</t>
  </si>
  <si>
    <t>Total amount of production by ContourGlobal in 2025</t>
  </si>
  <si>
    <t>LSD price (November 2025)</t>
  </si>
  <si>
    <t>Information request 2025, answer to question 13</t>
  </si>
  <si>
    <t>Information request 2024, question 10 to 16</t>
  </si>
  <si>
    <t>Estimated inflation 2025 for Bonaire</t>
  </si>
  <si>
    <t>Legal fixed interest rate (2020 - 2025)</t>
  </si>
  <si>
    <t>Summary of cost data 2023 / 2025</t>
  </si>
  <si>
    <t>Estimation of RAB average/ultimo 2025 (existing assets)</t>
  </si>
  <si>
    <t>Estimated depreciation in 2025 (existing assets)</t>
  </si>
  <si>
    <t>Total expected costs for 2025 (for setting income level)</t>
  </si>
  <si>
    <t>Regular OPEX realized in 2023</t>
  </si>
  <si>
    <t>USD, price level 2023</t>
  </si>
  <si>
    <t>CAPEX estimated in 2025 for part 5 of RAB</t>
  </si>
  <si>
    <t>Total expected costs 2025 (= income level 2025 before corrections)</t>
  </si>
  <si>
    <t>Estimated production volume with fuel in 2025</t>
  </si>
  <si>
    <t>Estimated production by renewables in 2025</t>
  </si>
  <si>
    <t>Total amount of estimated production by ContourGlobal in 2025</t>
  </si>
  <si>
    <t>Total CAPEX estimation existing assets</t>
  </si>
  <si>
    <t>(Regular) Corrections reimbursed in production price 2025</t>
  </si>
  <si>
    <t>Volume effect over 2023 (excl. fuel)</t>
  </si>
  <si>
    <t>Profit sharing effect over 2023</t>
  </si>
  <si>
    <t>Expected production by wind in 2025</t>
  </si>
  <si>
    <t>Expected production by solar in 2025</t>
  </si>
  <si>
    <t>Expected production by fuel in 2025</t>
  </si>
  <si>
    <t>Total net production in 2025</t>
  </si>
  <si>
    <t>Estimated LSD fuel yield for 2025</t>
  </si>
  <si>
    <t>Estimated share of fuel production in total net production for 2025</t>
  </si>
  <si>
    <t>LSD Price used for fuel component January 2025</t>
  </si>
  <si>
    <t>Fuel component in production price (January 2025)</t>
  </si>
  <si>
    <t xml:space="preserve">Production price electricity January 2025 incl. fuel </t>
  </si>
  <si>
    <t>USD, price level 2025 / kWh</t>
  </si>
  <si>
    <t>Costs considered as variable in the cost estimation for 2025</t>
  </si>
  <si>
    <t>Last update input CBS: 23 October 2024</t>
  </si>
  <si>
    <t>CGB has reported that this investment will have a COD in December 2024, but given that the depreciation period is linked to the BESS project, ACM chooses not to adjust the COD.</t>
  </si>
  <si>
    <t>Information request 2024, answer to question 14</t>
  </si>
  <si>
    <t>Information request 2025, answer to question 14</t>
  </si>
  <si>
    <t>Engine rentals 2025</t>
  </si>
  <si>
    <t>Engine rentals 2025 (OPEX)</t>
  </si>
  <si>
    <t>CGB is renting 5 additional engines with an effective capacity of 5,55 MW to ensure a reliable power supply for the island in 2025, while a long-term solution is desgined, permitted and constructed.</t>
  </si>
  <si>
    <t>Additional OPEX estimated for 2025:</t>
  </si>
  <si>
    <t xml:space="preserve">Additional OPEX estimation: engine rentals </t>
  </si>
  <si>
    <t>Notes: 1) this figure is only relevant for profit sharing over 2025, it doesn't play a role in setting the tariff for 2025; 2) ACM leaves OPEX related to the engine rentals out of this estimation (as this OPEX is expected to be fixed, at least for now).</t>
  </si>
  <si>
    <t>Lease fee BBT for Solar Assets and Battery Energy System 2025</t>
  </si>
  <si>
    <t>USD, pl 2024</t>
  </si>
  <si>
    <t>Lease fee BBT for Solar Assets and Battery Energy System 2024 (OPEX)</t>
  </si>
  <si>
    <t>This lease fee covers the costs of ownership and overhead costs of BBT as a result of its 50% share in the PV and BESS project.</t>
  </si>
  <si>
    <t>Other information:</t>
  </si>
  <si>
    <t>Additional OPEX estimation: lease fee BBT</t>
  </si>
  <si>
    <t xml:space="preserve">Realized costs 2023: Capital cotss  </t>
  </si>
  <si>
    <t>Based on adjusted WACC 2023</t>
  </si>
  <si>
    <t>Realized capital costs 2023</t>
  </si>
  <si>
    <t>Adjusted WACC 2023</t>
  </si>
  <si>
    <t xml:space="preserve">The ACM uses the adjusted WACC 2023 to calculate realized capital costs in 2023 which are included in the profit sharing calculation. </t>
  </si>
  <si>
    <t>ACM applies cpi; costs related to late fees and to the destroyed MAN12 engine are left out of the cost base for estimating costs in 2025</t>
  </si>
  <si>
    <t>LSD price 15 November 2024</t>
  </si>
  <si>
    <t>Vehicle and land leases</t>
  </si>
  <si>
    <t xml:space="preserve">These costs are presented outside of operational costs in the audited financial statements of CGB, so ACM adds these separately. </t>
  </si>
  <si>
    <t>Details on 2025 Capex and Opex Investments</t>
  </si>
  <si>
    <t xml:space="preserve">New MAN12 operating and maintenance expenses </t>
  </si>
  <si>
    <t>For the realized capital costs, ACM will not apply CPI to the RAB level of investments to translate depreciation costs or costs of capital over years. By using a nominal WACC, ContourGlobal is fully compensated for costs of inflation on the invested assets. As the RAB is not indexed, depreciation levels are constant over time, and do not need to be indexed with CPI.</t>
  </si>
  <si>
    <t>As of the production price decision for 2025, ACM applies a regulator correction to the estimated capital costs in year t-2 as a result of the recalculation of the risk-free rate in the WACC for 2023-2025 (see WACC decision 2023-2025). In addition, the capital costs in 2023 have been underestimated based on the expectation that BBT would acquire a 50% share in the BESS and PV project at the time of COD. The effect of both corrections will be added to the total income for 2025.</t>
  </si>
  <si>
    <t>On June 7 of 2023, ContourGlobal lost the MAN12 engine due to a fire incident. ContourGlobal included a one time write-off in the operational expenses for 2023, but as ACM intends to keep the engine in the RAB, ACM subtracts the write-off from the operational expenses to not inflate the cost base for the realized costs in 2023 and the estimated costs in 2025. The same holds for the operating expenses related to the replacement engine, since these costs are fully covered by insurance.</t>
  </si>
  <si>
    <t>Correction capital costs 2023 after adjustment to WACC 2023 and share BBT</t>
  </si>
  <si>
    <t>As in the tariff decisions for earlier years, ACM still uses the assumption of 'continuous replacement' for the assets in part 2 of the asset base (estimation based on ultimo T-2 value); the capital costs of the other parts of the RAB are estimated using the 'medio forward-looking value' (which proofs to be very precise, as this reflects the actual costs in year T).</t>
  </si>
  <si>
    <t>Investments with expected COD in 2024</t>
  </si>
  <si>
    <t>Investments with expected COD in 2025</t>
  </si>
  <si>
    <t xml:space="preserve">Additional financing costs 2023 for BESS and PV </t>
  </si>
  <si>
    <t>Since these costs were added as a correction to the total income of 2025, the cost base for the profit sharing over 2023 needs to be adjusted accordingly.</t>
  </si>
  <si>
    <t>Expected COD changed from 2024 to 2025</t>
  </si>
  <si>
    <t>Estimated investment amount increased significantly compared to estimation for 2024</t>
  </si>
  <si>
    <t>Expected investment date 'Generator Maintenance Q1 - part 3: extra HFO generators</t>
  </si>
  <si>
    <t>Remaining depreciation for this investment</t>
  </si>
  <si>
    <t>Expected investment date 'Generator Maintenance Q2 - part 3: extra HFO generators</t>
  </si>
  <si>
    <t>Expected investment date 'Generator Maintenance Q3 - part 3: extra HFO generators</t>
  </si>
  <si>
    <t>End of depreciation investment - part 1: RAB power plant (initial investment)</t>
  </si>
  <si>
    <t>End of depreciation investment - part 3: investment extra HFO generators</t>
  </si>
  <si>
    <t xml:space="preserve">Initial investment date </t>
  </si>
  <si>
    <t>Full depreciation period</t>
  </si>
  <si>
    <t>Infrastructure, BOP improvements and equipment - part 1: RAB power plant (initial investment)</t>
  </si>
  <si>
    <t>Generator maintenance Q1 - part 1: RAB power plant (initial investment)</t>
  </si>
  <si>
    <t>Generator maintenance Q1 - part 3: extra HFO generators</t>
  </si>
  <si>
    <t>Expected investment date 'Generator Maintenance Q1 - part 1: RAB power plant</t>
  </si>
  <si>
    <t>Expected investment date 'Generator Maintenance Q2 - part 1: RAB power plant</t>
  </si>
  <si>
    <t>Generator maintenance Q2 - part 1: RAB power plant (initial investment)</t>
  </si>
  <si>
    <t>Generator maintenance Q2 - part 3: extra HFO generators</t>
  </si>
  <si>
    <t>Generator maintenance Q3 - part 1: RAB power plant (initial investment)</t>
  </si>
  <si>
    <t>Generator maintenance Q3 - part 3: extra HFO generators</t>
  </si>
  <si>
    <t>Additional OPEX 2025</t>
  </si>
  <si>
    <t>Additional CAPEX 2025</t>
  </si>
  <si>
    <t>Part 6: Main Generation Facilities Improvement Plan (estimation for 2025)</t>
  </si>
  <si>
    <t>For part 5 and 6 of the RAB, we calculate the RAB and depreciation based on the expected Commercial operation date. In later years this calculation may be adjusted based on actual/realized amounts and COD.</t>
  </si>
  <si>
    <t>Average pro rato RAB value in 2025</t>
  </si>
  <si>
    <t>Capital costs Main Generation Facilities Improvement Plan 2025 (estimation for 2025 - part 6)</t>
  </si>
  <si>
    <t xml:space="preserve">Approximation based on 15% of accounting profit in 2024; actual amounts will be recalculated as of the 2026 tariff year. </t>
  </si>
  <si>
    <t>New Pillar 2 tax due over 2025</t>
  </si>
  <si>
    <t>Additional OPEX estimation: new Pillar 2 tax</t>
  </si>
  <si>
    <t>Correction on income 2025 for capital cost correction over 2023</t>
  </si>
  <si>
    <t>Notes: 1) this figure is only relevant for profit sharing over 2025, 2) the lease fee invoiced by BBT and the new Pillar 2 tax are excluded from the estimation, since CGB should be able to fully pass on these costs in the production price.</t>
  </si>
  <si>
    <t>Correction capital costs 2023 after adjustment to WACC and share BBT</t>
  </si>
  <si>
    <t>CAPEX estimated in 2025 for part 6 of RAB</t>
  </si>
  <si>
    <t>Additional OPEX estimation</t>
  </si>
  <si>
    <t>These costs are deducted from the regular OPEX to avoid inflating the cost base for 2025 and the profit sharing.</t>
  </si>
  <si>
    <t>Specific costs in regular OPEX 2023: penalties and late fees</t>
  </si>
  <si>
    <t>Calculation capital costs 2023 after adjusted WACC, sheet 'production price 2023', cell J15</t>
  </si>
  <si>
    <t>Details on 2025 Capex and Opex Investments, part 2</t>
  </si>
  <si>
    <t>Information request 2025, answer to question 16a; Details on 2025 CAPEX and OPEX</t>
  </si>
  <si>
    <t>Details on 2025 CAPEX and OPEX investments, part 2</t>
  </si>
  <si>
    <t>ACM/UIT/625925</t>
  </si>
  <si>
    <t xml:space="preserve">The file 'Calculation production price 2023 after WACC adjustment' is an input to this file. </t>
  </si>
  <si>
    <t>ACM/INT/516489</t>
  </si>
  <si>
    <t>ACM/INT/516491</t>
  </si>
  <si>
    <t>ACM/IN/866896</t>
  </si>
  <si>
    <t>Received on 29 April 2024</t>
  </si>
  <si>
    <t>ACM/IN/873092 and ACM/IN/876759</t>
  </si>
  <si>
    <t>Received on 22 May 2024 and 3 June 2024</t>
  </si>
  <si>
    <t>ACM/IN/903319</t>
  </si>
  <si>
    <t>Received on 22 August 2024</t>
  </si>
  <si>
    <t>Received on 19 November 2024</t>
  </si>
  <si>
    <t>Received on 27 November 2024</t>
  </si>
  <si>
    <t>ACM/IN/930987</t>
  </si>
  <si>
    <t>Received on 20 November 2024</t>
  </si>
  <si>
    <t>Total estimated production volume</t>
  </si>
  <si>
    <t>Other relevant information for result sheet (profit sharing over 2025)</t>
  </si>
  <si>
    <t>Fuel cost correction over 2023</t>
  </si>
  <si>
    <t>Cost estimation for tariff 2023 after WACC adjustment</t>
  </si>
  <si>
    <t>Cost estimation for tariff 2023 before WACC adjustment</t>
  </si>
  <si>
    <t>Calculation production price for CGB 2023, sheet 'production price 2023', cell H27</t>
  </si>
  <si>
    <t>Information request 2024, answer to question 15b and 15d</t>
  </si>
  <si>
    <t>Information request 2024, answer to question 15c and 15d</t>
  </si>
  <si>
    <t>Sources: see production price calculation for 2024</t>
  </si>
  <si>
    <t>Source: Details on 2025 CAPEX and OPEX Investments, part 2</t>
  </si>
  <si>
    <t>Calculation production price CGB 2023 after WACC adjustment, sheet 'production price 2023', cell H27</t>
  </si>
  <si>
    <t>Information request 2024, answer to question 3b</t>
  </si>
  <si>
    <t>Information request 2024, answer to question 1h</t>
  </si>
  <si>
    <t>Information request 2024, answer to question 1b</t>
  </si>
  <si>
    <t>Information request 2024, answer to question 1d and 1f</t>
  </si>
  <si>
    <t>Calculation production price CGB 2023 after WACC adjustment</t>
  </si>
  <si>
    <t>Received on 8 November 2024</t>
  </si>
  <si>
    <t>ACM/IN/927322</t>
  </si>
  <si>
    <t>ACM/IN/929924</t>
  </si>
  <si>
    <t>ACM/IN/934224</t>
  </si>
  <si>
    <t>ACM/INT/471293</t>
  </si>
  <si>
    <t>Received on 26 May 2023</t>
  </si>
  <si>
    <t>[10]</t>
  </si>
  <si>
    <t>ACM/IN/816901 and ACM/IN/818704</t>
  </si>
  <si>
    <t>Received on 26 October 2023 and 3 November 2023</t>
  </si>
  <si>
    <t xml:space="preserve">Additional investment - Infrastructure, BOP improvements and equipment </t>
  </si>
  <si>
    <t>Total investment (incl. additional investment)</t>
  </si>
  <si>
    <t>These investments will labeled as part 6 - Main Generation Facilities Improvement Plan</t>
  </si>
  <si>
    <t>Information request 2025, answer to question 14 and folder 16C</t>
  </si>
  <si>
    <t>Equal to estimation for 2020-2024</t>
  </si>
  <si>
    <t xml:space="preserve">In addition to parts 1 - 4 of the RAB, which are similar to the decision for 2023, ACM includes in this RAB calculation the preliminary calculation of the investments belonging to part 5 and 6 of the RAB, as these are accepted as major occurrences in 2024 and 2025, respectively. </t>
  </si>
  <si>
    <t>30 kV project (2025)</t>
  </si>
  <si>
    <t>Cost cover was higher than estimated fixed costs: subtract this amount from tariff income 2025</t>
  </si>
  <si>
    <t>Negative realized economic profit: profit sharing gives 50% of difference back to CGB. Add this amount to tariff income 2025.</t>
  </si>
  <si>
    <t>Estimated costs after WACC adjustment and production 2023</t>
  </si>
  <si>
    <t>Estimated costs 2023 before WACC adjustment</t>
  </si>
  <si>
    <t>Estimated costs 2023 after WACC adjustment</t>
  </si>
  <si>
    <t>Expected investment date 'Generator Maintenance Q3 - part 1: RAB power plant</t>
  </si>
  <si>
    <t>Part of total production by fuel</t>
  </si>
  <si>
    <t>(around) 19 December 2024</t>
  </si>
  <si>
    <t>Information that is regarded as business confidential has been removed in this public version of the calculation file. The deleted data is flagged/explained in pink cell formatting.</t>
  </si>
  <si>
    <t>This is a public version of the calculation file, published at acm.nl in December 2024.</t>
  </si>
  <si>
    <t>confidential</t>
  </si>
  <si>
    <t>Special attention:</t>
  </si>
  <si>
    <t>Value or calculation that needs special attention or explanation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</si>
</sst>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 #,##0.00000_ ;_ * \-#,##0.00000_ ;_ * &quot;-&quot;??_ ;_ @_ "/>
    <numFmt numFmtId="166" formatCode="_ * #,##0.00000_ ;_ * \-#,##0.00000_ ;_ * &quot;-&quot;?????_ ;_ @_ "/>
    <numFmt numFmtId="167" formatCode="_ * #,##0.0000_ ;_ * \-#,##0.0000_ ;_ * &quot;-&quot;????_ ;_ @_ "/>
    <numFmt numFmtId="168" formatCode="_ * #,##0.0000_ ;_ * \-#,##0.0000_ ;_ * &quot;-&quot;??_ ;_ @_ "/>
    <numFmt numFmtId="169" formatCode="_ * #,##0.00_ ;_ * \-#,##0.00_ ;_ * &quot;-&quot;_ ;_ @_ "/>
    <numFmt numFmtId="170" formatCode="0.0%"/>
    <numFmt numFmtId="171" formatCode="[$-413]d/mmm/yy;@"/>
    <numFmt numFmtId="172" formatCode="_ * #,##0.0000_ ;_ * \-#,##0.0000_ ;_ * &quot;-&quot;_ ;_ @_ "/>
    <numFmt numFmtId="173" formatCode="_ * #,##0.000_ ;_ * \-#,##0.000_ ;_ * &quot;-&quot;??_ ;_ @_ "/>
    <numFmt numFmtId="174" formatCode="_ * #,##0.00000_ ;_ * \-#,##0.00000_ ;_ * &quot;-&quot;_ ;_ @_ "/>
    <numFmt numFmtId="175" formatCode="0.0000"/>
    <numFmt numFmtId="176" formatCode="_ * #,##0.000_ ;_ * \-#,##0.000_ ;_ * &quot;-&quot;_ ;_ @_ "/>
    <numFmt numFmtId="177" formatCode="[$-413]d/mmm/yyyy;@"/>
    <numFmt numFmtId="178" formatCode="_ * #,##0.0_ ;_ * \-#,##0.0_ ;_ * &quot;-&quot;_ ;_ @_ "/>
  </numFmts>
  <fonts count="37" x14ac:knownFonts="1">
    <font>
      <sz val="10"/>
      <color theme="1"/>
      <name val="Arial"/>
      <family val="2"/>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sz val="10"/>
      <name val="Arial"/>
      <family val="2"/>
    </font>
    <font>
      <b/>
      <sz val="14"/>
      <color theme="0"/>
      <name val="Arial"/>
      <family val="2"/>
    </font>
    <font>
      <i/>
      <sz val="10"/>
      <name val="Arial"/>
      <family val="2"/>
    </font>
    <font>
      <b/>
      <sz val="10"/>
      <color rgb="FFFF0000"/>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rgb="FF00B0F0"/>
      <name val="Arial"/>
      <family val="2"/>
    </font>
    <font>
      <sz val="10"/>
      <color rgb="FF00B0F0"/>
      <name val="Arial"/>
      <family val="2"/>
    </font>
    <font>
      <u/>
      <sz val="10"/>
      <name val="Arial"/>
      <family val="2"/>
    </font>
    <font>
      <i/>
      <sz val="10"/>
      <color theme="1"/>
      <name val="Arial"/>
      <family val="2"/>
    </font>
    <font>
      <sz val="10"/>
      <color rgb="FFFFC000"/>
      <name val="Arial"/>
      <family val="2"/>
    </font>
    <font>
      <sz val="8"/>
      <name val="Arial"/>
      <family val="2"/>
    </font>
    <font>
      <i/>
      <u/>
      <sz val="10"/>
      <name val="Arial"/>
      <family val="2"/>
    </font>
    <font>
      <sz val="9"/>
      <color indexed="81"/>
      <name val="Tahoma"/>
      <family val="2"/>
    </font>
    <font>
      <sz val="8"/>
      <color indexed="81"/>
      <name val="Tahoma"/>
      <family val="2"/>
    </font>
  </fonts>
  <fills count="4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theme="0" tint="-0.14999847407452621"/>
        <bgColor indexed="64"/>
      </patternFill>
    </fill>
    <fill>
      <patternFill patternType="solid">
        <fgColor rgb="FFFF00FF"/>
        <bgColor indexed="64"/>
      </patternFill>
    </fill>
    <fill>
      <patternFill patternType="solid">
        <fgColor rgb="FFFFCCFF"/>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rgb="FF99FF99"/>
        <bgColor indexed="64"/>
      </patternFill>
    </fill>
    <fill>
      <patternFill patternType="solid">
        <fgColor rgb="FFE1FFE1"/>
        <bgColor indexed="64"/>
      </patternFill>
    </fill>
    <fill>
      <patternFill patternType="solid">
        <fgColor rgb="FFCCCCFF"/>
        <bgColor indexed="64"/>
      </patternFill>
    </fill>
  </fills>
  <borders count="2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7">
    <xf numFmtId="0" fontId="0" fillId="0" borderId="0">
      <alignment vertical="top"/>
    </xf>
    <xf numFmtId="0" fontId="2" fillId="2" borderId="0" applyNumberFormat="0" applyBorder="0" applyAlignment="0" applyProtection="0"/>
    <xf numFmtId="0" fontId="3" fillId="3" borderId="0" applyNumberFormat="0" applyBorder="0" applyAlignment="0" applyProtection="0"/>
    <xf numFmtId="0" fontId="4" fillId="4" borderId="0" applyNumberFormat="0" applyBorder="0" applyAlignment="0" applyProtection="0"/>
    <xf numFmtId="0" fontId="5" fillId="0" borderId="0">
      <alignment vertical="top"/>
    </xf>
    <xf numFmtId="49" fontId="8" fillId="5" borderId="1">
      <alignment vertical="top"/>
    </xf>
    <xf numFmtId="49" fontId="6" fillId="17" borderId="1">
      <alignment vertical="top"/>
    </xf>
    <xf numFmtId="49" fontId="6" fillId="0" borderId="0">
      <alignment vertical="top"/>
    </xf>
    <xf numFmtId="41" fontId="5" fillId="10" borderId="0">
      <alignment vertical="top"/>
    </xf>
    <xf numFmtId="41" fontId="5" fillId="9" borderId="0">
      <alignment vertical="top"/>
    </xf>
    <xf numFmtId="41" fontId="5" fillId="8" borderId="0">
      <alignment vertical="top"/>
    </xf>
    <xf numFmtId="41" fontId="5" fillId="44" borderId="0">
      <alignment vertical="top"/>
    </xf>
    <xf numFmtId="41" fontId="5" fillId="7" borderId="0">
      <alignment vertical="top"/>
    </xf>
    <xf numFmtId="41" fontId="5" fillId="11" borderId="0">
      <alignment vertical="top"/>
    </xf>
    <xf numFmtId="49" fontId="10" fillId="0" borderId="0">
      <alignment vertical="top"/>
    </xf>
    <xf numFmtId="49" fontId="9" fillId="0" borderId="0">
      <alignment vertical="top"/>
    </xf>
    <xf numFmtId="0" fontId="14" fillId="13" borderId="3" applyNumberFormat="0" applyAlignment="0" applyProtection="0"/>
    <xf numFmtId="0" fontId="15" fillId="14" borderId="4" applyNumberFormat="0" applyAlignment="0" applyProtection="0"/>
    <xf numFmtId="0" fontId="16" fillId="14" borderId="3" applyNumberFormat="0" applyAlignment="0" applyProtection="0"/>
    <xf numFmtId="0" fontId="17" fillId="0" borderId="5" applyNumberFormat="0" applyFill="0" applyAlignment="0" applyProtection="0"/>
    <xf numFmtId="0" fontId="11" fillId="15" borderId="6" applyNumberFormat="0" applyAlignment="0" applyProtection="0"/>
    <xf numFmtId="0" fontId="13" fillId="16" borderId="7" applyNumberFormat="0" applyFont="0" applyAlignment="0" applyProtection="0"/>
    <xf numFmtId="0" fontId="18" fillId="0" borderId="0" applyNumberFormat="0" applyFill="0" applyBorder="0" applyAlignment="0" applyProtection="0"/>
    <xf numFmtId="43" fontId="13" fillId="0" borderId="0" applyFont="0" applyFill="0" applyBorder="0" applyAlignment="0" applyProtection="0"/>
    <xf numFmtId="41" fontId="13" fillId="0" borderId="0" applyFont="0" applyFill="0" applyBorder="0" applyAlignment="0" applyProtection="0"/>
    <xf numFmtId="44" fontId="13" fillId="0" borderId="0" applyFont="0" applyFill="0" applyBorder="0" applyAlignment="0" applyProtection="0"/>
    <xf numFmtId="42" fontId="13" fillId="0" borderId="0" applyFont="0" applyFill="0" applyBorder="0" applyAlignment="0" applyProtection="0"/>
    <xf numFmtId="9" fontId="13" fillId="0" borderId="0" applyFont="0" applyFill="0" applyBorder="0" applyAlignment="0" applyProtection="0"/>
    <xf numFmtId="0" fontId="20" fillId="0" borderId="0" applyNumberFormat="0" applyFill="0" applyBorder="0" applyAlignment="0" applyProtection="0"/>
    <xf numFmtId="0" fontId="21" fillId="0" borderId="8" applyNumberFormat="0" applyFill="0" applyAlignment="0" applyProtection="0"/>
    <xf numFmtId="0" fontId="22" fillId="0" borderId="9" applyNumberFormat="0" applyFill="0" applyAlignment="0" applyProtection="0"/>
    <xf numFmtId="0" fontId="23" fillId="0" borderId="10" applyNumberFormat="0" applyFill="0" applyAlignment="0" applyProtection="0"/>
    <xf numFmtId="0" fontId="23" fillId="0" borderId="0" applyNumberFormat="0" applyFill="0" applyBorder="0" applyAlignment="0" applyProtection="0"/>
    <xf numFmtId="0" fontId="12" fillId="0" borderId="0" applyNumberFormat="0" applyFill="0" applyBorder="0" applyAlignment="0" applyProtection="0"/>
    <xf numFmtId="0" fontId="24" fillId="0" borderId="0" applyNumberFormat="0" applyFill="0" applyBorder="0" applyAlignment="0" applyProtection="0"/>
    <xf numFmtId="0" fontId="25" fillId="0" borderId="11" applyNumberFormat="0" applyFill="0" applyAlignment="0" applyProtection="0"/>
    <xf numFmtId="0" fontId="2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6" fillId="25" borderId="0" applyNumberFormat="0" applyBorder="0" applyAlignment="0" applyProtection="0"/>
    <xf numFmtId="0" fontId="2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6" fillId="29" borderId="0" applyNumberFormat="0" applyBorder="0" applyAlignment="0" applyProtection="0"/>
    <xf numFmtId="0" fontId="2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6" fillId="33" borderId="0" applyNumberFormat="0" applyBorder="0" applyAlignment="0" applyProtection="0"/>
    <xf numFmtId="0" fontId="26"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26" fillId="37" borderId="0" applyNumberFormat="0" applyBorder="0" applyAlignment="0" applyProtection="0"/>
    <xf numFmtId="0" fontId="26"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26" fillId="41" borderId="0" applyNumberFormat="0" applyBorder="0" applyAlignment="0" applyProtection="0"/>
    <xf numFmtId="0" fontId="27" fillId="0" borderId="0" applyNumberFormat="0" applyFill="0" applyBorder="0" applyAlignment="0" applyProtection="0"/>
    <xf numFmtId="49" fontId="19" fillId="0" borderId="0" applyFill="0" applyBorder="0" applyAlignment="0" applyProtection="0"/>
    <xf numFmtId="43" fontId="5" fillId="42" borderId="0" applyNumberFormat="0">
      <alignment vertical="top"/>
    </xf>
    <xf numFmtId="43" fontId="5" fillId="9" borderId="0" applyFont="0" applyFill="0" applyBorder="0" applyAlignment="0" applyProtection="0">
      <alignment vertical="top"/>
    </xf>
    <xf numFmtId="10" fontId="5" fillId="0" borderId="0" applyFont="0" applyFill="0" applyBorder="0" applyAlignment="0" applyProtection="0">
      <alignment vertical="top"/>
    </xf>
    <xf numFmtId="41" fontId="5" fillId="43" borderId="0">
      <alignment vertical="top"/>
    </xf>
    <xf numFmtId="41" fontId="5" fillId="45" borderId="0">
      <alignment vertical="top"/>
    </xf>
  </cellStyleXfs>
  <cellXfs count="147">
    <xf numFmtId="0" fontId="0" fillId="0" borderId="0" xfId="0">
      <alignment vertical="top"/>
    </xf>
    <xf numFmtId="0" fontId="6" fillId="0" borderId="0" xfId="4" applyFont="1">
      <alignment vertical="top"/>
    </xf>
    <xf numFmtId="0" fontId="5" fillId="0" borderId="0" xfId="4">
      <alignment vertical="top"/>
    </xf>
    <xf numFmtId="0" fontId="7" fillId="0" borderId="0" xfId="4" applyFont="1">
      <alignment vertical="top"/>
    </xf>
    <xf numFmtId="0" fontId="9" fillId="0" borderId="0" xfId="4" applyFont="1">
      <alignment vertical="top"/>
    </xf>
    <xf numFmtId="0" fontId="10" fillId="0" borderId="0" xfId="4" applyFont="1">
      <alignment vertical="top"/>
    </xf>
    <xf numFmtId="0" fontId="5" fillId="0" borderId="2" xfId="4" applyBorder="1">
      <alignment vertical="top"/>
    </xf>
    <xf numFmtId="49" fontId="8" fillId="5" borderId="1" xfId="5">
      <alignment vertical="top"/>
    </xf>
    <xf numFmtId="49" fontId="6" fillId="17" borderId="1" xfId="6">
      <alignment vertical="top"/>
    </xf>
    <xf numFmtId="0" fontId="5" fillId="0" borderId="0" xfId="4" applyFill="1">
      <alignment vertical="top"/>
    </xf>
    <xf numFmtId="0" fontId="5" fillId="0" borderId="2" xfId="4" applyBorder="1" applyAlignment="1">
      <alignment horizontal="left" vertical="top" wrapText="1"/>
    </xf>
    <xf numFmtId="0" fontId="10" fillId="0" borderId="0" xfId="4" applyFont="1" applyFill="1">
      <alignment vertical="top"/>
    </xf>
    <xf numFmtId="0" fontId="5" fillId="6" borderId="0" xfId="4" applyFill="1">
      <alignment vertical="top"/>
    </xf>
    <xf numFmtId="49" fontId="7" fillId="17" borderId="2" xfId="6" applyFont="1" applyBorder="1">
      <alignment vertical="top"/>
    </xf>
    <xf numFmtId="0" fontId="8" fillId="5" borderId="1" xfId="5" applyNumberFormat="1">
      <alignment vertical="top"/>
    </xf>
    <xf numFmtId="0" fontId="12" fillId="0" borderId="0" xfId="4" applyFont="1">
      <alignment vertical="top"/>
    </xf>
    <xf numFmtId="0" fontId="5" fillId="12" borderId="0" xfId="4" applyFill="1">
      <alignment vertical="top"/>
    </xf>
    <xf numFmtId="0" fontId="5" fillId="0" borderId="0" xfId="4" applyFont="1">
      <alignment vertical="top"/>
    </xf>
    <xf numFmtId="49" fontId="5" fillId="17" borderId="2" xfId="6" applyFont="1" applyBorder="1">
      <alignment vertical="top"/>
    </xf>
    <xf numFmtId="0" fontId="5" fillId="0" borderId="2" xfId="4" applyFont="1" applyBorder="1">
      <alignment vertical="top"/>
    </xf>
    <xf numFmtId="0" fontId="7" fillId="0" borderId="0" xfId="4" applyFont="1" applyFill="1" applyBorder="1" applyAlignment="1">
      <alignment horizontal="left" vertical="top" wrapText="1"/>
    </xf>
    <xf numFmtId="49" fontId="10" fillId="0" borderId="0" xfId="14">
      <alignment vertical="top"/>
    </xf>
    <xf numFmtId="49" fontId="6" fillId="0" borderId="0" xfId="7">
      <alignment vertical="top"/>
    </xf>
    <xf numFmtId="49" fontId="9" fillId="0" borderId="0" xfId="15">
      <alignment vertical="top"/>
    </xf>
    <xf numFmtId="41" fontId="5" fillId="10" borderId="0" xfId="8">
      <alignment vertical="top"/>
    </xf>
    <xf numFmtId="9" fontId="5" fillId="0" borderId="0" xfId="4" applyNumberFormat="1">
      <alignment vertical="top"/>
    </xf>
    <xf numFmtId="41" fontId="5" fillId="44" borderId="0" xfId="11">
      <alignment vertical="top"/>
    </xf>
    <xf numFmtId="10" fontId="5" fillId="0" borderId="0" xfId="64">
      <alignment vertical="top"/>
    </xf>
    <xf numFmtId="0" fontId="5" fillId="0" borderId="2" xfId="4" applyFont="1" applyBorder="1" applyAlignment="1">
      <alignment horizontal="left" vertical="top" wrapText="1"/>
    </xf>
    <xf numFmtId="41" fontId="5" fillId="11" borderId="0" xfId="13">
      <alignment vertical="top"/>
    </xf>
    <xf numFmtId="41" fontId="5" fillId="9" borderId="0" xfId="9">
      <alignment vertical="top"/>
    </xf>
    <xf numFmtId="49" fontId="28" fillId="0" borderId="0" xfId="14" applyFont="1">
      <alignment vertical="top"/>
    </xf>
    <xf numFmtId="0" fontId="29" fillId="0" borderId="0" xfId="4" applyFont="1">
      <alignment vertical="top"/>
    </xf>
    <xf numFmtId="49" fontId="5" fillId="17" borderId="0" xfId="6" applyFont="1" applyBorder="1">
      <alignment vertical="top"/>
    </xf>
    <xf numFmtId="49" fontId="11" fillId="5" borderId="1" xfId="5" applyFont="1">
      <alignment vertical="top"/>
    </xf>
    <xf numFmtId="0" fontId="5" fillId="0" borderId="2" xfId="4" applyFont="1" applyBorder="1" applyAlignment="1">
      <alignment horizontal="left" vertical="top" wrapText="1"/>
    </xf>
    <xf numFmtId="49" fontId="5" fillId="0" borderId="0" xfId="7" applyFont="1">
      <alignment vertical="top"/>
    </xf>
    <xf numFmtId="0" fontId="9" fillId="12" borderId="0" xfId="4" applyFont="1" applyFill="1">
      <alignment vertical="top"/>
    </xf>
    <xf numFmtId="49" fontId="6" fillId="17" borderId="1" xfId="6" applyAlignment="1">
      <alignment vertical="top" wrapText="1"/>
    </xf>
    <xf numFmtId="41" fontId="5" fillId="0" borderId="0" xfId="4" applyNumberFormat="1">
      <alignment vertical="top"/>
    </xf>
    <xf numFmtId="0" fontId="0" fillId="0" borderId="0" xfId="0" applyAlignment="1"/>
    <xf numFmtId="164" fontId="5" fillId="11" borderId="0" xfId="13" applyNumberFormat="1">
      <alignment vertical="top"/>
    </xf>
    <xf numFmtId="165" fontId="5" fillId="9" borderId="0" xfId="63" applyNumberFormat="1" applyFont="1" applyFill="1" applyAlignment="1">
      <alignment vertical="top"/>
    </xf>
    <xf numFmtId="165" fontId="5" fillId="10" borderId="0" xfId="63" applyNumberFormat="1" applyFont="1" applyFill="1" applyAlignment="1">
      <alignment vertical="top"/>
    </xf>
    <xf numFmtId="166" fontId="5" fillId="0" borderId="0" xfId="4" applyNumberFormat="1">
      <alignment vertical="top"/>
    </xf>
    <xf numFmtId="165" fontId="5" fillId="0" borderId="0" xfId="4" applyNumberFormat="1">
      <alignment vertical="top"/>
    </xf>
    <xf numFmtId="167" fontId="5" fillId="0" borderId="0" xfId="4" applyNumberFormat="1">
      <alignment vertical="top"/>
    </xf>
    <xf numFmtId="0" fontId="25" fillId="0" borderId="0" xfId="0" applyFont="1" applyAlignment="1"/>
    <xf numFmtId="165" fontId="1" fillId="12" borderId="0" xfId="63" applyNumberFormat="1" applyFont="1" applyFill="1" applyAlignment="1"/>
    <xf numFmtId="0" fontId="1" fillId="0" borderId="0" xfId="0" applyFont="1" applyAlignment="1"/>
    <xf numFmtId="0" fontId="1" fillId="0" borderId="12" xfId="0" applyFont="1" applyBorder="1" applyAlignment="1"/>
    <xf numFmtId="0" fontId="1" fillId="0" borderId="13" xfId="0" applyFont="1" applyBorder="1" applyAlignment="1"/>
    <xf numFmtId="0" fontId="1" fillId="0" borderId="14" xfId="0" applyFont="1" applyBorder="1" applyAlignment="1"/>
    <xf numFmtId="49" fontId="6" fillId="17" borderId="15" xfId="6" applyBorder="1">
      <alignment vertical="top"/>
    </xf>
    <xf numFmtId="49" fontId="6" fillId="17" borderId="16" xfId="6" applyBorder="1">
      <alignment vertical="top"/>
    </xf>
    <xf numFmtId="0" fontId="1" fillId="0" borderId="17" xfId="0" applyFont="1" applyBorder="1" applyAlignment="1"/>
    <xf numFmtId="0" fontId="1" fillId="0" borderId="18" xfId="0" applyFont="1" applyBorder="1" applyAlignment="1"/>
    <xf numFmtId="0" fontId="31" fillId="0" borderId="0" xfId="0" applyFont="1" applyAlignment="1"/>
    <xf numFmtId="10" fontId="1" fillId="12" borderId="0" xfId="64" applyFont="1" applyFill="1" applyBorder="1" applyAlignment="1"/>
    <xf numFmtId="164" fontId="1" fillId="12" borderId="0" xfId="63" applyNumberFormat="1" applyFont="1" applyFill="1" applyBorder="1" applyAlignment="1"/>
    <xf numFmtId="0" fontId="5" fillId="0" borderId="18" xfId="4" applyBorder="1">
      <alignment vertical="top"/>
    </xf>
    <xf numFmtId="168" fontId="1" fillId="12" borderId="0" xfId="63" applyNumberFormat="1" applyFont="1" applyFill="1" applyBorder="1" applyAlignment="1"/>
    <xf numFmtId="165" fontId="1" fillId="12" borderId="0" xfId="63" applyNumberFormat="1" applyFont="1" applyFill="1" applyBorder="1" applyAlignment="1"/>
    <xf numFmtId="0" fontId="1" fillId="0" borderId="19" xfId="0" applyFont="1" applyBorder="1" applyAlignment="1"/>
    <xf numFmtId="0" fontId="1" fillId="0" borderId="20" xfId="0" applyFont="1" applyBorder="1" applyAlignment="1"/>
    <xf numFmtId="0" fontId="1" fillId="0" borderId="21" xfId="0" applyFont="1" applyBorder="1" applyAlignment="1"/>
    <xf numFmtId="41" fontId="9" fillId="0" borderId="0" xfId="12" applyFont="1" applyFill="1">
      <alignment vertical="top"/>
    </xf>
    <xf numFmtId="10" fontId="5" fillId="9" borderId="0" xfId="64" applyFill="1">
      <alignment vertical="top"/>
    </xf>
    <xf numFmtId="170" fontId="5" fillId="44" borderId="0" xfId="64" applyNumberFormat="1" applyFill="1">
      <alignment vertical="top"/>
    </xf>
    <xf numFmtId="10" fontId="5" fillId="44" borderId="0" xfId="64" applyFill="1">
      <alignment vertical="top"/>
    </xf>
    <xf numFmtId="0" fontId="32" fillId="0" borderId="0" xfId="4" applyFont="1">
      <alignment vertical="top"/>
    </xf>
    <xf numFmtId="49" fontId="12" fillId="0" borderId="0" xfId="14" applyFont="1">
      <alignment vertical="top"/>
    </xf>
    <xf numFmtId="164" fontId="5" fillId="0" borderId="0" xfId="63" applyNumberFormat="1" applyFill="1">
      <alignment vertical="top"/>
    </xf>
    <xf numFmtId="164" fontId="5" fillId="0" borderId="0" xfId="4" applyNumberFormat="1">
      <alignment vertical="top"/>
    </xf>
    <xf numFmtId="0" fontId="30" fillId="0" borderId="0" xfId="4" applyFont="1">
      <alignment vertical="top"/>
    </xf>
    <xf numFmtId="14" fontId="5" fillId="44" borderId="0" xfId="11" applyNumberFormat="1">
      <alignment vertical="top"/>
    </xf>
    <xf numFmtId="164" fontId="5" fillId="44" borderId="0" xfId="11" applyNumberFormat="1">
      <alignment vertical="top"/>
    </xf>
    <xf numFmtId="0" fontId="5" fillId="0" borderId="0" xfId="4" applyAlignment="1">
      <alignment horizontal="left" vertical="top"/>
    </xf>
    <xf numFmtId="0" fontId="10" fillId="0" borderId="0" xfId="0" quotePrefix="1" applyFont="1" applyAlignment="1"/>
    <xf numFmtId="0" fontId="1" fillId="0" borderId="0" xfId="0" applyFont="1" applyAlignment="1">
      <alignment horizontal="left"/>
    </xf>
    <xf numFmtId="171" fontId="5" fillId="44" borderId="0" xfId="11" applyNumberFormat="1">
      <alignment vertical="top"/>
    </xf>
    <xf numFmtId="1" fontId="6" fillId="17" borderId="1" xfId="6" applyNumberFormat="1" applyAlignment="1">
      <alignment vertical="top" wrapText="1"/>
    </xf>
    <xf numFmtId="164" fontId="5" fillId="9" borderId="0" xfId="9" applyNumberFormat="1">
      <alignment vertical="top"/>
    </xf>
    <xf numFmtId="173" fontId="5" fillId="0" borderId="0" xfId="63" applyNumberFormat="1" applyFill="1">
      <alignment vertical="top"/>
    </xf>
    <xf numFmtId="168" fontId="5" fillId="0" borderId="0" xfId="63" applyNumberFormat="1" applyFill="1">
      <alignment vertical="top"/>
    </xf>
    <xf numFmtId="41" fontId="5" fillId="0" borderId="0" xfId="12" applyFill="1">
      <alignment vertical="top"/>
    </xf>
    <xf numFmtId="170" fontId="5" fillId="44" borderId="0" xfId="11" applyNumberFormat="1">
      <alignment vertical="top"/>
    </xf>
    <xf numFmtId="10" fontId="5" fillId="11" borderId="0" xfId="13" applyNumberFormat="1">
      <alignment vertical="top"/>
    </xf>
    <xf numFmtId="14" fontId="5" fillId="11" borderId="0" xfId="13" applyNumberFormat="1">
      <alignment vertical="top"/>
    </xf>
    <xf numFmtId="169" fontId="5" fillId="11" borderId="0" xfId="13" applyNumberFormat="1">
      <alignment vertical="top"/>
    </xf>
    <xf numFmtId="14" fontId="5" fillId="0" borderId="0" xfId="13" applyNumberFormat="1" applyFill="1">
      <alignment vertical="top"/>
    </xf>
    <xf numFmtId="164" fontId="5" fillId="0" borderId="0" xfId="9" applyNumberFormat="1" applyFill="1">
      <alignment vertical="top"/>
    </xf>
    <xf numFmtId="164" fontId="5" fillId="9" borderId="0" xfId="63" applyNumberFormat="1" applyFont="1" applyFill="1" applyAlignment="1">
      <alignment vertical="top"/>
    </xf>
    <xf numFmtId="41" fontId="5" fillId="0" borderId="0" xfId="9" applyFill="1">
      <alignment vertical="top"/>
    </xf>
    <xf numFmtId="164" fontId="5" fillId="9" borderId="0" xfId="63" applyNumberFormat="1">
      <alignment vertical="top"/>
    </xf>
    <xf numFmtId="164" fontId="6" fillId="17" borderId="1" xfId="6" applyNumberFormat="1">
      <alignment vertical="top"/>
    </xf>
    <xf numFmtId="164" fontId="5" fillId="10" borderId="0" xfId="8" applyNumberFormat="1">
      <alignment vertical="top"/>
    </xf>
    <xf numFmtId="168" fontId="5" fillId="11" borderId="0" xfId="63" applyNumberFormat="1" applyFont="1" applyFill="1" applyAlignment="1">
      <alignment vertical="top"/>
    </xf>
    <xf numFmtId="164" fontId="5" fillId="11" borderId="0" xfId="63" applyNumberFormat="1" applyFont="1" applyFill="1" applyAlignment="1">
      <alignment vertical="top"/>
    </xf>
    <xf numFmtId="168" fontId="5" fillId="11" borderId="0" xfId="63" applyNumberFormat="1" applyFill="1">
      <alignment vertical="top"/>
    </xf>
    <xf numFmtId="164" fontId="5" fillId="11" borderId="0" xfId="63" applyNumberFormat="1" applyFill="1">
      <alignment vertical="top"/>
    </xf>
    <xf numFmtId="168" fontId="5" fillId="11" borderId="0" xfId="13" applyNumberFormat="1">
      <alignment vertical="top"/>
    </xf>
    <xf numFmtId="172" fontId="5" fillId="9" borderId="0" xfId="9" applyNumberFormat="1">
      <alignment vertical="top"/>
    </xf>
    <xf numFmtId="175" fontId="5" fillId="0" borderId="0" xfId="4" applyNumberFormat="1">
      <alignment vertical="top"/>
    </xf>
    <xf numFmtId="10" fontId="5" fillId="11" borderId="0" xfId="64" applyFill="1">
      <alignment vertical="top"/>
    </xf>
    <xf numFmtId="176" fontId="5" fillId="9" borderId="0" xfId="9" applyNumberFormat="1">
      <alignment vertical="top"/>
    </xf>
    <xf numFmtId="170" fontId="5" fillId="11" borderId="0" xfId="64" applyNumberFormat="1" applyFill="1">
      <alignment vertical="top"/>
    </xf>
    <xf numFmtId="43" fontId="5" fillId="0" borderId="0" xfId="63" applyFill="1">
      <alignment vertical="top"/>
    </xf>
    <xf numFmtId="0" fontId="12" fillId="0" borderId="0" xfId="0" applyFont="1" applyAlignment="1"/>
    <xf numFmtId="49" fontId="19" fillId="0" borderId="2" xfId="61" applyBorder="1" applyAlignment="1">
      <alignment vertical="top"/>
    </xf>
    <xf numFmtId="49" fontId="5" fillId="0" borderId="0" xfId="14" applyFont="1">
      <alignment vertical="top"/>
    </xf>
    <xf numFmtId="9" fontId="5" fillId="44" borderId="0" xfId="64" applyNumberFormat="1" applyFill="1">
      <alignment vertical="top"/>
    </xf>
    <xf numFmtId="0" fontId="5" fillId="0" borderId="0" xfId="4" applyAlignment="1">
      <alignment vertical="top"/>
    </xf>
    <xf numFmtId="165" fontId="5" fillId="44" borderId="0" xfId="11" applyNumberFormat="1">
      <alignment vertical="top"/>
    </xf>
    <xf numFmtId="169" fontId="5" fillId="0" borderId="0" xfId="4" applyNumberFormat="1" applyFill="1">
      <alignment vertical="top"/>
    </xf>
    <xf numFmtId="0" fontId="0" fillId="0" borderId="0" xfId="0" applyNumberFormat="1" applyFill="1" applyAlignment="1"/>
    <xf numFmtId="164" fontId="5" fillId="0" borderId="0" xfId="4" applyNumberFormat="1" applyFill="1">
      <alignment vertical="top"/>
    </xf>
    <xf numFmtId="41" fontId="5" fillId="0" borderId="0" xfId="13" applyFill="1">
      <alignment vertical="top"/>
    </xf>
    <xf numFmtId="0" fontId="1" fillId="0" borderId="0" xfId="0" applyFont="1" applyFill="1" applyAlignment="1"/>
    <xf numFmtId="41" fontId="1" fillId="12" borderId="0" xfId="63" applyNumberFormat="1" applyFont="1" applyFill="1" applyBorder="1" applyAlignment="1"/>
    <xf numFmtId="0" fontId="1" fillId="0" borderId="17" xfId="0" applyFont="1" applyFill="1" applyBorder="1" applyAlignment="1"/>
    <xf numFmtId="174" fontId="5" fillId="44" borderId="0" xfId="11" applyNumberFormat="1">
      <alignment vertical="top"/>
    </xf>
    <xf numFmtId="172" fontId="5" fillId="0" borderId="0" xfId="9" applyNumberFormat="1" applyFill="1">
      <alignment vertical="top"/>
    </xf>
    <xf numFmtId="41" fontId="5" fillId="0" borderId="0" xfId="8" applyFill="1">
      <alignment vertical="top"/>
    </xf>
    <xf numFmtId="41" fontId="5" fillId="0" borderId="0" xfId="11" applyFill="1">
      <alignment vertical="top"/>
    </xf>
    <xf numFmtId="171" fontId="5" fillId="0" borderId="0" xfId="11" applyNumberFormat="1" applyFill="1">
      <alignment vertical="top"/>
    </xf>
    <xf numFmtId="164" fontId="5" fillId="0" borderId="0" xfId="13" applyNumberFormat="1" applyFill="1">
      <alignment vertical="top"/>
    </xf>
    <xf numFmtId="165" fontId="5" fillId="0" borderId="0" xfId="63" applyNumberFormat="1" applyFont="1" applyFill="1" applyAlignment="1">
      <alignment vertical="top"/>
    </xf>
    <xf numFmtId="165" fontId="5" fillId="0" borderId="0" xfId="4" applyNumberFormat="1" applyFill="1">
      <alignment vertical="top"/>
    </xf>
    <xf numFmtId="167" fontId="5" fillId="0" borderId="0" xfId="4" applyNumberFormat="1" applyFill="1">
      <alignment vertical="top"/>
    </xf>
    <xf numFmtId="0" fontId="32" fillId="0" borderId="0" xfId="4" applyFont="1" applyFill="1">
      <alignment vertical="top"/>
    </xf>
    <xf numFmtId="164" fontId="5" fillId="0" borderId="0" xfId="8" applyNumberFormat="1" applyFill="1">
      <alignment vertical="top"/>
    </xf>
    <xf numFmtId="177" fontId="5" fillId="9" borderId="0" xfId="9" applyNumberFormat="1">
      <alignment vertical="top"/>
    </xf>
    <xf numFmtId="169" fontId="5" fillId="0" borderId="0" xfId="4" applyNumberFormat="1">
      <alignment vertical="top"/>
    </xf>
    <xf numFmtId="178" fontId="5" fillId="9" borderId="0" xfId="9" applyNumberFormat="1">
      <alignment vertical="top"/>
    </xf>
    <xf numFmtId="177" fontId="5" fillId="11" borderId="0" xfId="13" applyNumberFormat="1">
      <alignment vertical="top"/>
    </xf>
    <xf numFmtId="178" fontId="5" fillId="11" borderId="0" xfId="13" applyNumberFormat="1">
      <alignment vertical="top"/>
    </xf>
    <xf numFmtId="0" fontId="34" fillId="0" borderId="0" xfId="4" applyFont="1">
      <alignment vertical="top"/>
    </xf>
    <xf numFmtId="0" fontId="9" fillId="0" borderId="0" xfId="4" applyFont="1" applyFill="1">
      <alignment vertical="top"/>
    </xf>
    <xf numFmtId="41" fontId="5" fillId="11" borderId="0" xfId="13" quotePrefix="1">
      <alignment vertical="top"/>
    </xf>
    <xf numFmtId="41" fontId="5" fillId="8" borderId="0" xfId="10">
      <alignment vertical="top"/>
    </xf>
    <xf numFmtId="41" fontId="5" fillId="8" borderId="0" xfId="10" quotePrefix="1">
      <alignment vertical="top"/>
    </xf>
    <xf numFmtId="0" fontId="5" fillId="0" borderId="0" xfId="4" applyFont="1" applyFill="1" applyBorder="1" applyAlignment="1">
      <alignment horizontal="left" vertical="top" wrapText="1"/>
    </xf>
    <xf numFmtId="0" fontId="7" fillId="0" borderId="0" xfId="4" applyFont="1" applyFill="1" applyBorder="1" applyAlignment="1">
      <alignment horizontal="left" vertical="top" wrapText="1"/>
    </xf>
    <xf numFmtId="41" fontId="5" fillId="0" borderId="0" xfId="10" applyFill="1">
      <alignment vertical="top"/>
    </xf>
    <xf numFmtId="172" fontId="5" fillId="8" borderId="0" xfId="10" applyNumberFormat="1">
      <alignment vertical="top"/>
    </xf>
    <xf numFmtId="164" fontId="1" fillId="12" borderId="0" xfId="63" applyNumberFormat="1" applyFont="1" applyFill="1" applyBorder="1" applyAlignment="1">
      <alignment horizontal="right"/>
    </xf>
  </cellXfs>
  <cellStyles count="67">
    <cellStyle name="_kop1 Bladtitel" xfId="5" xr:uid="{00000000-0005-0000-0000-000000000000}"/>
    <cellStyle name="_kop2 Bloktitel" xfId="6" xr:uid="{00000000-0005-0000-0000-000001000000}"/>
    <cellStyle name="_kop3 Subkop" xfId="7" xr:uid="{00000000-0005-0000-0000-000002000000}"/>
    <cellStyle name="20% - Accent1" xfId="37" builtinId="30" hidden="1"/>
    <cellStyle name="20% - Accent2" xfId="41" builtinId="34" hidden="1"/>
    <cellStyle name="20% - Accent3" xfId="45" builtinId="38" hidden="1"/>
    <cellStyle name="20% - Accent4" xfId="49" builtinId="42" hidden="1"/>
    <cellStyle name="20% - Accent5" xfId="53" builtinId="46" hidden="1"/>
    <cellStyle name="20% - Accent6" xfId="57" builtinId="50" hidden="1"/>
    <cellStyle name="40% - Accent1" xfId="38" builtinId="31" hidden="1"/>
    <cellStyle name="40% - Accent2" xfId="42" builtinId="35" hidden="1"/>
    <cellStyle name="40% - Accent3" xfId="46" builtinId="39" hidden="1"/>
    <cellStyle name="40% - Accent4" xfId="50" builtinId="43" hidden="1"/>
    <cellStyle name="40% - Accent5" xfId="54" builtinId="47" hidden="1"/>
    <cellStyle name="40% - Accent6" xfId="58" builtinId="51" hidden="1"/>
    <cellStyle name="60% - Accent1" xfId="39" builtinId="32" hidden="1"/>
    <cellStyle name="60% - Accent2" xfId="43" builtinId="36" hidden="1"/>
    <cellStyle name="60% - Accent3" xfId="47" builtinId="40" hidden="1"/>
    <cellStyle name="60% - Accent4" xfId="51" builtinId="44" hidden="1"/>
    <cellStyle name="60% - Accent5" xfId="55" builtinId="48" hidden="1"/>
    <cellStyle name="60% - Accent6" xfId="59" builtinId="52" hidden="1"/>
    <cellStyle name="Accent1" xfId="36" builtinId="29" hidden="1"/>
    <cellStyle name="Accent2" xfId="40" builtinId="33" hidden="1"/>
    <cellStyle name="Accent3" xfId="44" builtinId="37" hidden="1"/>
    <cellStyle name="Accent4" xfId="48" builtinId="41" hidden="1"/>
    <cellStyle name="Accent5" xfId="52" builtinId="45" hidden="1"/>
    <cellStyle name="Accent6" xfId="56" builtinId="49" hidden="1"/>
    <cellStyle name="Berekening" xfId="18" builtinId="22" hidden="1"/>
    <cellStyle name="Cel (tussen)resultaat" xfId="8" xr:uid="{00000000-0005-0000-0000-00001C000000}"/>
    <cellStyle name="Cel Berekening" xfId="9" xr:uid="{00000000-0005-0000-0000-00001D000000}"/>
    <cellStyle name="Cel Bijzonderheid" xfId="10" xr:uid="{00000000-0005-0000-0000-00001E000000}"/>
    <cellStyle name="Cel Dataverzoek" xfId="65" xr:uid="{00000000-0005-0000-0000-00001F000000}"/>
    <cellStyle name="Cel Input" xfId="11" xr:uid="{00000000-0005-0000-0000-000020000000}"/>
    <cellStyle name="Cel input database" xfId="66" xr:uid="{8EB60F35-48A4-4179-85A4-A4C683958ECC}"/>
    <cellStyle name="Cel n.v.t. (leeg)" xfId="62" xr:uid="{00000000-0005-0000-0000-000021000000}"/>
    <cellStyle name="Cel PM extern" xfId="12" xr:uid="{00000000-0005-0000-0000-000022000000}"/>
    <cellStyle name="Cel Verwijzing" xfId="13" xr:uid="{00000000-0005-0000-0000-000023000000}"/>
    <cellStyle name="Controlecel" xfId="20" builtinId="23" hidden="1"/>
    <cellStyle name="Gekoppelde cel" xfId="19" builtinId="24" hidden="1"/>
    <cellStyle name="Gevolgde hyperlink" xfId="60" builtinId="9" hidden="1"/>
    <cellStyle name="Goed" xfId="1" builtinId="26" hidden="1"/>
    <cellStyle name="Hyperlink" xfId="22" builtinId="8" hidden="1"/>
    <cellStyle name="Hyperlink" xfId="61" builtinId="8" customBuiltin="1"/>
    <cellStyle name="Invoer" xfId="16" builtinId="20" hidden="1"/>
    <cellStyle name="Komma" xfId="23" builtinId="3" hidden="1"/>
    <cellStyle name="Komma" xfId="63" builtinId="3"/>
    <cellStyle name="Komma [0]" xfId="24" builtinId="6" hidden="1"/>
    <cellStyle name="Kop 1" xfId="29" builtinId="16" hidden="1"/>
    <cellStyle name="Kop 2" xfId="30" builtinId="17" hidden="1"/>
    <cellStyle name="Kop 3" xfId="31" builtinId="18" hidden="1"/>
    <cellStyle name="Kop 4" xfId="32" builtinId="19" hidden="1"/>
    <cellStyle name="Neutraal" xfId="3" builtinId="28" hidden="1"/>
    <cellStyle name="Notitie" xfId="21" builtinId="10" hidden="1"/>
    <cellStyle name="Ongeldig" xfId="2" builtinId="27" hidden="1"/>
    <cellStyle name="Opm. INTERN" xfId="14" xr:uid="{00000000-0005-0000-0000-000035000000}"/>
    <cellStyle name="Procent" xfId="27" builtinId="5" hidden="1"/>
    <cellStyle name="Procent" xfId="64" builtinId="5"/>
    <cellStyle name="Standaard" xfId="0" builtinId="0" customBuiltin="1"/>
    <cellStyle name="Standaard ACM-DE" xfId="4" xr:uid="{00000000-0005-0000-0000-000039000000}"/>
    <cellStyle name="Titel" xfId="28" builtinId="15" hidden="1"/>
    <cellStyle name="Toelichting" xfId="15" xr:uid="{00000000-0005-0000-0000-00003B000000}"/>
    <cellStyle name="Totaal" xfId="35" builtinId="25" hidden="1"/>
    <cellStyle name="Uitvoer" xfId="17" builtinId="21" hidden="1"/>
    <cellStyle name="Valuta" xfId="25" builtinId="4" hidden="1"/>
    <cellStyle name="Valuta [0]" xfId="26" builtinId="7" hidden="1"/>
    <cellStyle name="Verklarende tekst" xfId="34" builtinId="53" hidden="1"/>
    <cellStyle name="Waarschuwingstekst" xfId="33" builtinId="11" hidden="1"/>
  </cellStyles>
  <dxfs count="0"/>
  <tableStyles count="0" defaultTableStyle="TableStyleMedium2" defaultPivotStyle="PivotStyleLight16"/>
  <colors>
    <mruColors>
      <color rgb="FFFF66FF"/>
      <color rgb="FFE1FFE1"/>
      <color rgb="FF99FF99"/>
      <color rgb="FFFFFFCC"/>
      <color rgb="FFCCC8D9"/>
      <color rgb="FFCCFFCC"/>
      <color rgb="FFCCFFFF"/>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acm.nl/nl/publicaties/wacc-elektriciteit-en-drinkwater-caribisch-nederland-2023-2025" TargetMode="External"/><Relationship Id="rId2" Type="http://schemas.openxmlformats.org/officeDocument/2006/relationships/hyperlink" Target="https://wetten.overheid.nl/BWBR0030649/2011-11-18" TargetMode="External"/><Relationship Id="rId1" Type="http://schemas.openxmlformats.org/officeDocument/2006/relationships/hyperlink" Target="https://opendata.cbs.nl/statline/" TargetMode="External"/><Relationship Id="rId5" Type="http://schemas.openxmlformats.org/officeDocument/2006/relationships/printerSettings" Target="../printerSettings/printerSettings3.bin"/><Relationship Id="rId4" Type="http://schemas.openxmlformats.org/officeDocument/2006/relationships/hyperlink" Target="https://www.acm.nl/nl/publicaties/beschikking-productieprijs-elektriciteit-2023-bonaire-contourgloba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8D9"/>
  </sheetPr>
  <dimension ref="B2:E44"/>
  <sheetViews>
    <sheetView showGridLines="0" zoomScale="85" zoomScaleNormal="85" workbookViewId="0">
      <pane ySplit="3" topLeftCell="A4" activePane="bottomLeft" state="frozen"/>
      <selection activeCell="O39" sqref="O39"/>
      <selection pane="bottomLeft"/>
    </sheetView>
  </sheetViews>
  <sheetFormatPr defaultColWidth="9.140625" defaultRowHeight="12.75" x14ac:dyDescent="0.2"/>
  <cols>
    <col min="1" max="1" width="4.7109375" style="2" customWidth="1"/>
    <col min="2" max="2" width="44.5703125" style="2" customWidth="1"/>
    <col min="3" max="3" width="91.85546875" style="2" customWidth="1"/>
    <col min="4" max="16384" width="9.140625" style="2"/>
  </cols>
  <sheetData>
    <row r="2" spans="2:5" s="7" customFormat="1" ht="18" x14ac:dyDescent="0.2">
      <c r="B2" s="7" t="s">
        <v>38</v>
      </c>
    </row>
    <row r="6" spans="2:5" x14ac:dyDescent="0.2">
      <c r="B6" s="3"/>
    </row>
    <row r="13" spans="2:5" s="8" customFormat="1" x14ac:dyDescent="0.2">
      <c r="B13" s="8" t="s">
        <v>3</v>
      </c>
    </row>
    <row r="14" spans="2:5" s="9" customFormat="1" x14ac:dyDescent="0.2"/>
    <row r="15" spans="2:5" x14ac:dyDescent="0.2">
      <c r="B15" s="28" t="s">
        <v>4</v>
      </c>
      <c r="C15" s="10" t="s">
        <v>237</v>
      </c>
      <c r="E15" s="21"/>
    </row>
    <row r="16" spans="2:5" x14ac:dyDescent="0.2">
      <c r="B16" s="28" t="s">
        <v>5</v>
      </c>
      <c r="C16" s="10" t="s">
        <v>238</v>
      </c>
    </row>
    <row r="17" spans="2:3" x14ac:dyDescent="0.2">
      <c r="B17" s="28" t="s">
        <v>6</v>
      </c>
      <c r="C17" s="10" t="s">
        <v>239</v>
      </c>
    </row>
    <row r="18" spans="2:3" x14ac:dyDescent="0.2">
      <c r="B18" s="28" t="s">
        <v>39</v>
      </c>
      <c r="C18" s="35" t="s">
        <v>532</v>
      </c>
    </row>
    <row r="19" spans="2:3" x14ac:dyDescent="0.2">
      <c r="B19" s="28" t="s">
        <v>52</v>
      </c>
      <c r="C19" s="28" t="s">
        <v>533</v>
      </c>
    </row>
    <row r="20" spans="2:3" x14ac:dyDescent="0.2">
      <c r="B20" s="28" t="s">
        <v>7</v>
      </c>
      <c r="C20" s="10"/>
    </row>
    <row r="22" spans="2:3" x14ac:dyDescent="0.2">
      <c r="B22" s="23" t="s">
        <v>59</v>
      </c>
    </row>
    <row r="24" spans="2:3" s="8" customFormat="1" x14ac:dyDescent="0.2">
      <c r="B24" s="8" t="s">
        <v>8</v>
      </c>
    </row>
    <row r="26" spans="2:3" x14ac:dyDescent="0.2">
      <c r="B26" s="28" t="s">
        <v>9</v>
      </c>
      <c r="C26" s="10" t="s">
        <v>240</v>
      </c>
    </row>
    <row r="27" spans="2:3" x14ac:dyDescent="0.2">
      <c r="B27" s="28" t="s">
        <v>56</v>
      </c>
      <c r="C27" s="10" t="s">
        <v>240</v>
      </c>
    </row>
    <row r="28" spans="2:3" x14ac:dyDescent="0.2">
      <c r="B28" s="35" t="s">
        <v>57</v>
      </c>
      <c r="C28" s="10" t="s">
        <v>585</v>
      </c>
    </row>
    <row r="29" spans="2:3" ht="25.5" x14ac:dyDescent="0.2">
      <c r="B29" s="28" t="s">
        <v>10</v>
      </c>
      <c r="C29" s="10" t="s">
        <v>240</v>
      </c>
    </row>
    <row r="30" spans="2:3" ht="25.5" x14ac:dyDescent="0.2">
      <c r="B30" s="28" t="s">
        <v>58</v>
      </c>
      <c r="C30" s="10" t="s">
        <v>586</v>
      </c>
    </row>
    <row r="31" spans="2:3" x14ac:dyDescent="0.2">
      <c r="B31" s="28" t="s">
        <v>7</v>
      </c>
      <c r="C31" s="10" t="s">
        <v>587</v>
      </c>
    </row>
    <row r="33" spans="2:4" x14ac:dyDescent="0.2">
      <c r="B33" s="142" t="s">
        <v>41</v>
      </c>
      <c r="C33" s="143"/>
      <c r="D33" s="5"/>
    </row>
    <row r="34" spans="2:4" x14ac:dyDescent="0.2">
      <c r="B34" s="20"/>
      <c r="C34" s="20"/>
      <c r="D34" s="5"/>
    </row>
    <row r="36" spans="2:4" s="8" customFormat="1" x14ac:dyDescent="0.2">
      <c r="B36" s="8" t="s">
        <v>0</v>
      </c>
    </row>
    <row r="38" spans="2:4" x14ac:dyDescent="0.2">
      <c r="B38" s="2" t="s">
        <v>42</v>
      </c>
    </row>
    <row r="43" spans="2:4" x14ac:dyDescent="0.2">
      <c r="C43" s="31"/>
    </row>
    <row r="44" spans="2:4" x14ac:dyDescent="0.2">
      <c r="B44" s="4" t="s">
        <v>60</v>
      </c>
    </row>
  </sheetData>
  <mergeCells count="1">
    <mergeCell ref="B33:C33"/>
  </mergeCell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8D9"/>
  </sheetPr>
  <dimension ref="B2:H42"/>
  <sheetViews>
    <sheetView showGridLines="0" zoomScale="85" zoomScaleNormal="85" workbookViewId="0">
      <pane ySplit="3" topLeftCell="A4" activePane="bottomLeft" state="frozen"/>
      <selection activeCell="O39" sqref="O39"/>
      <selection pane="bottomLeft"/>
    </sheetView>
  </sheetViews>
  <sheetFormatPr defaultColWidth="9.140625" defaultRowHeight="12.75" x14ac:dyDescent="0.2"/>
  <cols>
    <col min="1" max="1" width="4.7109375" style="2" customWidth="1"/>
    <col min="2" max="2" width="27.85546875" style="2" customWidth="1"/>
    <col min="3" max="3" width="7.140625" style="2" customWidth="1"/>
    <col min="4" max="4" width="56.85546875" style="2" customWidth="1"/>
    <col min="5" max="5" width="29.85546875" style="2" customWidth="1"/>
    <col min="6" max="6" width="24.7109375" style="2" customWidth="1"/>
    <col min="7" max="7" width="37.28515625" style="2" customWidth="1"/>
    <col min="8" max="16384" width="9.140625" style="2"/>
  </cols>
  <sheetData>
    <row r="2" spans="2:8" s="7" customFormat="1" ht="18" x14ac:dyDescent="0.2">
      <c r="B2" s="7" t="s">
        <v>43</v>
      </c>
    </row>
    <row r="3" spans="2:8" x14ac:dyDescent="0.2">
      <c r="B3" s="32"/>
    </row>
    <row r="4" spans="2:8" x14ac:dyDescent="0.2">
      <c r="B4" s="32"/>
    </row>
    <row r="5" spans="2:8" s="8" customFormat="1" x14ac:dyDescent="0.2">
      <c r="B5" s="8" t="s">
        <v>44</v>
      </c>
    </row>
    <row r="7" spans="2:8" x14ac:dyDescent="0.2">
      <c r="B7" s="17" t="s">
        <v>242</v>
      </c>
    </row>
    <row r="8" spans="2:8" x14ac:dyDescent="0.2">
      <c r="B8" s="2" t="s">
        <v>243</v>
      </c>
      <c r="H8" s="25"/>
    </row>
    <row r="9" spans="2:8" x14ac:dyDescent="0.2">
      <c r="B9" s="2" t="s">
        <v>241</v>
      </c>
    </row>
    <row r="12" spans="2:8" s="8" customFormat="1" x14ac:dyDescent="0.2">
      <c r="B12" s="8" t="s">
        <v>45</v>
      </c>
    </row>
    <row r="13" spans="2:8" x14ac:dyDescent="0.2">
      <c r="C13" s="9"/>
    </row>
    <row r="14" spans="2:8" x14ac:dyDescent="0.2">
      <c r="B14" s="22" t="s">
        <v>11</v>
      </c>
      <c r="C14" s="9"/>
      <c r="D14" s="22" t="s">
        <v>12</v>
      </c>
      <c r="F14" s="11"/>
    </row>
    <row r="15" spans="2:8" x14ac:dyDescent="0.2">
      <c r="C15" s="9"/>
    </row>
    <row r="16" spans="2:8" x14ac:dyDescent="0.2">
      <c r="B16" s="26">
        <v>123</v>
      </c>
      <c r="C16" s="9"/>
      <c r="D16" s="17" t="s">
        <v>13</v>
      </c>
    </row>
    <row r="17" spans="2:6" x14ac:dyDescent="0.2">
      <c r="B17" s="29">
        <f>B16</f>
        <v>123</v>
      </c>
      <c r="C17" s="9"/>
      <c r="D17" s="2" t="s">
        <v>46</v>
      </c>
    </row>
    <row r="18" spans="2:6" x14ac:dyDescent="0.2">
      <c r="B18" s="30">
        <f>B17+B16</f>
        <v>246</v>
      </c>
      <c r="C18" s="9"/>
      <c r="D18" s="2" t="s">
        <v>14</v>
      </c>
    </row>
    <row r="19" spans="2:6" x14ac:dyDescent="0.2">
      <c r="B19" s="24">
        <f>B17+B18</f>
        <v>369</v>
      </c>
      <c r="C19" s="9"/>
      <c r="D19" s="17" t="s">
        <v>47</v>
      </c>
      <c r="E19" s="11"/>
      <c r="F19" s="5"/>
    </row>
    <row r="20" spans="2:6" x14ac:dyDescent="0.2">
      <c r="B20" s="12"/>
      <c r="C20" s="9"/>
      <c r="D20" s="17" t="s">
        <v>15</v>
      </c>
      <c r="E20" s="11"/>
    </row>
    <row r="21" spans="2:6" x14ac:dyDescent="0.2">
      <c r="B21" s="9"/>
      <c r="C21" s="9"/>
      <c r="D21" s="17"/>
      <c r="E21" s="11"/>
    </row>
    <row r="22" spans="2:6" x14ac:dyDescent="0.2">
      <c r="B22" s="23" t="s">
        <v>589</v>
      </c>
    </row>
    <row r="23" spans="2:6" x14ac:dyDescent="0.2">
      <c r="B23" s="140">
        <f>B19+16</f>
        <v>385</v>
      </c>
      <c r="D23" s="2" t="s">
        <v>590</v>
      </c>
    </row>
    <row r="24" spans="2:6" x14ac:dyDescent="0.2">
      <c r="B24" s="144"/>
    </row>
    <row r="25" spans="2:6" x14ac:dyDescent="0.2">
      <c r="B25" s="22" t="s">
        <v>16</v>
      </c>
    </row>
    <row r="26" spans="2:6" x14ac:dyDescent="0.2">
      <c r="B26" s="1"/>
    </row>
    <row r="27" spans="2:6" x14ac:dyDescent="0.2">
      <c r="B27" s="23" t="s">
        <v>20</v>
      </c>
    </row>
    <row r="28" spans="2:6" x14ac:dyDescent="0.2">
      <c r="B28" s="24" t="s">
        <v>21</v>
      </c>
      <c r="C28" s="9"/>
      <c r="D28" s="17" t="s">
        <v>17</v>
      </c>
    </row>
    <row r="29" spans="2:6" x14ac:dyDescent="0.2">
      <c r="B29" s="26" t="s">
        <v>1</v>
      </c>
      <c r="C29" s="9"/>
      <c r="D29" s="17" t="s">
        <v>18</v>
      </c>
    </row>
    <row r="30" spans="2:6" x14ac:dyDescent="0.2">
      <c r="B30" s="30" t="s">
        <v>22</v>
      </c>
      <c r="C30" s="9"/>
      <c r="D30" s="17" t="s">
        <v>19</v>
      </c>
    </row>
    <row r="31" spans="2:6" x14ac:dyDescent="0.2">
      <c r="C31" s="9"/>
      <c r="D31" s="3"/>
    </row>
    <row r="32" spans="2:6" x14ac:dyDescent="0.2">
      <c r="B32" s="23" t="s">
        <v>23</v>
      </c>
      <c r="C32" s="9"/>
      <c r="D32" s="3"/>
    </row>
    <row r="33" spans="2:4" x14ac:dyDescent="0.2">
      <c r="B33" s="16" t="s">
        <v>2</v>
      </c>
      <c r="C33" s="9"/>
      <c r="D33" s="17" t="s">
        <v>48</v>
      </c>
    </row>
    <row r="34" spans="2:4" x14ac:dyDescent="0.2">
      <c r="B34" s="33" t="s">
        <v>24</v>
      </c>
      <c r="D34" s="17" t="s">
        <v>49</v>
      </c>
    </row>
    <row r="42" spans="2:4" x14ac:dyDescent="0.2">
      <c r="B42" s="4" t="s">
        <v>60</v>
      </c>
    </row>
  </sheetData>
  <pageMargins left="0.75" right="0.75" top="1" bottom="1" header="0.5" footer="0.5"/>
  <pageSetup paperSize="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8D9"/>
  </sheetPr>
  <dimension ref="B2:G38"/>
  <sheetViews>
    <sheetView showGridLines="0" zoomScale="85" zoomScaleNormal="85" workbookViewId="0">
      <pane ySplit="3" topLeftCell="A4" activePane="bottomLeft" state="frozen"/>
      <selection activeCell="O39" sqref="O39"/>
      <selection pane="bottomLeft"/>
    </sheetView>
  </sheetViews>
  <sheetFormatPr defaultColWidth="9.140625" defaultRowHeight="12.75" x14ac:dyDescent="0.2"/>
  <cols>
    <col min="1" max="1" width="4.7109375" style="2" customWidth="1"/>
    <col min="2" max="2" width="7.5703125" style="2" customWidth="1"/>
    <col min="3" max="3" width="54.7109375" style="2" bestFit="1" customWidth="1"/>
    <col min="4" max="4" width="36.28515625" style="2" customWidth="1"/>
    <col min="5" max="5" width="81" style="2" customWidth="1"/>
    <col min="6" max="6" width="11.85546875" style="2" customWidth="1"/>
    <col min="7" max="7" width="28.7109375" style="2" customWidth="1"/>
    <col min="8" max="8" width="18.42578125" style="2" customWidth="1"/>
    <col min="9" max="10" width="58.42578125" style="2" customWidth="1"/>
    <col min="11" max="16384" width="9.140625" style="2"/>
  </cols>
  <sheetData>
    <row r="2" spans="2:7" s="7" customFormat="1" ht="18" x14ac:dyDescent="0.2">
      <c r="B2" s="7" t="s">
        <v>25</v>
      </c>
    </row>
    <row r="5" spans="2:7" s="8" customFormat="1" x14ac:dyDescent="0.2">
      <c r="B5" s="8" t="s">
        <v>26</v>
      </c>
    </row>
    <row r="7" spans="2:7" x14ac:dyDescent="0.2">
      <c r="B7" s="4" t="s">
        <v>53</v>
      </c>
    </row>
    <row r="8" spans="2:7" x14ac:dyDescent="0.2">
      <c r="B8" s="4" t="s">
        <v>27</v>
      </c>
    </row>
    <row r="10" spans="2:7" x14ac:dyDescent="0.2">
      <c r="B10" s="34" t="s">
        <v>28</v>
      </c>
      <c r="C10" s="34" t="s">
        <v>29</v>
      </c>
      <c r="D10" s="34" t="s">
        <v>63</v>
      </c>
      <c r="E10" s="34" t="s">
        <v>50</v>
      </c>
      <c r="G10" s="21"/>
    </row>
    <row r="11" spans="2:7" x14ac:dyDescent="0.2">
      <c r="B11" s="13"/>
      <c r="C11" s="18" t="s">
        <v>30</v>
      </c>
      <c r="D11" s="18" t="s">
        <v>40</v>
      </c>
      <c r="E11" s="18" t="s">
        <v>31</v>
      </c>
    </row>
    <row r="12" spans="2:7" x14ac:dyDescent="0.2">
      <c r="B12" s="19">
        <v>1</v>
      </c>
      <c r="C12" s="6" t="s">
        <v>244</v>
      </c>
      <c r="D12" s="6"/>
      <c r="E12" s="109" t="s">
        <v>246</v>
      </c>
    </row>
    <row r="13" spans="2:7" x14ac:dyDescent="0.2">
      <c r="B13" s="6">
        <v>2</v>
      </c>
      <c r="C13" s="6" t="s">
        <v>97</v>
      </c>
      <c r="D13" s="6"/>
      <c r="E13" s="109" t="s">
        <v>247</v>
      </c>
    </row>
    <row r="14" spans="2:7" x14ac:dyDescent="0.2">
      <c r="B14" s="6">
        <v>3</v>
      </c>
      <c r="C14" s="6" t="s">
        <v>245</v>
      </c>
      <c r="D14" s="6"/>
      <c r="E14" s="109" t="s">
        <v>248</v>
      </c>
    </row>
    <row r="15" spans="2:7" x14ac:dyDescent="0.2">
      <c r="B15" s="19">
        <v>4</v>
      </c>
      <c r="C15" s="6" t="s">
        <v>267</v>
      </c>
      <c r="D15" s="6" t="s">
        <v>534</v>
      </c>
      <c r="E15" s="109"/>
    </row>
    <row r="16" spans="2:7" x14ac:dyDescent="0.2">
      <c r="B16" s="6">
        <v>5</v>
      </c>
      <c r="C16" s="6" t="s">
        <v>282</v>
      </c>
      <c r="D16" s="6"/>
      <c r="E16" s="109" t="s">
        <v>283</v>
      </c>
    </row>
    <row r="17" spans="2:5" x14ac:dyDescent="0.2">
      <c r="B17" s="6">
        <v>6</v>
      </c>
      <c r="C17" s="6" t="s">
        <v>561</v>
      </c>
      <c r="D17" s="6" t="s">
        <v>535</v>
      </c>
      <c r="E17" s="6"/>
    </row>
    <row r="18" spans="2:5" x14ac:dyDescent="0.2">
      <c r="B18" s="19">
        <v>7</v>
      </c>
      <c r="C18" s="6" t="s">
        <v>281</v>
      </c>
      <c r="D18" s="6" t="s">
        <v>536</v>
      </c>
      <c r="E18" s="6" t="s">
        <v>537</v>
      </c>
    </row>
    <row r="19" spans="2:5" x14ac:dyDescent="0.2">
      <c r="B19" s="19">
        <v>8</v>
      </c>
      <c r="C19" s="6" t="s">
        <v>313</v>
      </c>
      <c r="D19" s="6" t="s">
        <v>566</v>
      </c>
      <c r="E19" s="6" t="s">
        <v>567</v>
      </c>
    </row>
    <row r="20" spans="2:5" x14ac:dyDescent="0.2">
      <c r="B20" s="19">
        <v>9</v>
      </c>
      <c r="C20" s="6" t="s">
        <v>316</v>
      </c>
      <c r="D20" s="6" t="s">
        <v>569</v>
      </c>
      <c r="E20" s="6" t="s">
        <v>570</v>
      </c>
    </row>
    <row r="21" spans="2:5" x14ac:dyDescent="0.2">
      <c r="B21" s="19">
        <v>10</v>
      </c>
      <c r="C21" s="6" t="s">
        <v>314</v>
      </c>
      <c r="D21" s="6" t="s">
        <v>538</v>
      </c>
      <c r="E21" s="6" t="s">
        <v>539</v>
      </c>
    </row>
    <row r="22" spans="2:5" x14ac:dyDescent="0.2">
      <c r="B22" s="19">
        <v>11</v>
      </c>
      <c r="C22" s="6" t="s">
        <v>315</v>
      </c>
      <c r="D22" s="6" t="s">
        <v>540</v>
      </c>
      <c r="E22" s="6" t="s">
        <v>541</v>
      </c>
    </row>
    <row r="23" spans="2:5" x14ac:dyDescent="0.2">
      <c r="B23" s="19">
        <v>12</v>
      </c>
      <c r="C23" s="6" t="s">
        <v>428</v>
      </c>
      <c r="D23" s="6" t="s">
        <v>563</v>
      </c>
      <c r="E23" s="6" t="s">
        <v>562</v>
      </c>
    </row>
    <row r="24" spans="2:5" x14ac:dyDescent="0.2">
      <c r="B24" s="19">
        <v>13</v>
      </c>
      <c r="C24" s="6" t="s">
        <v>482</v>
      </c>
      <c r="D24" s="6" t="s">
        <v>564</v>
      </c>
      <c r="E24" s="6" t="s">
        <v>542</v>
      </c>
    </row>
    <row r="25" spans="2:5" x14ac:dyDescent="0.2">
      <c r="B25" s="19">
        <v>14</v>
      </c>
      <c r="C25" s="6" t="s">
        <v>529</v>
      </c>
      <c r="D25" s="6" t="s">
        <v>565</v>
      </c>
      <c r="E25" s="6" t="s">
        <v>543</v>
      </c>
    </row>
    <row r="26" spans="2:5" x14ac:dyDescent="0.2">
      <c r="B26" s="19">
        <v>15</v>
      </c>
      <c r="C26" s="6" t="s">
        <v>479</v>
      </c>
      <c r="D26" s="6" t="s">
        <v>544</v>
      </c>
      <c r="E26" s="6" t="s">
        <v>545</v>
      </c>
    </row>
    <row r="29" spans="2:5" s="8" customFormat="1" x14ac:dyDescent="0.2">
      <c r="B29" s="8" t="s">
        <v>54</v>
      </c>
    </row>
    <row r="31" spans="2:5" x14ac:dyDescent="0.2">
      <c r="B31" s="23" t="s">
        <v>55</v>
      </c>
    </row>
    <row r="32" spans="2:5" x14ac:dyDescent="0.2">
      <c r="B32" s="23" t="s">
        <v>51</v>
      </c>
    </row>
    <row r="33" spans="2:2" x14ac:dyDescent="0.2">
      <c r="B33" s="23"/>
    </row>
    <row r="38" spans="2:2" x14ac:dyDescent="0.2">
      <c r="B38" s="4" t="s">
        <v>60</v>
      </c>
    </row>
  </sheetData>
  <hyperlinks>
    <hyperlink ref="E12" r:id="rId1" location="/CBS/nl/dataset/84046NED/table?ts=1571909504894" xr:uid="{D7E791AE-DD80-4D8E-9734-D6E80DF30FFD}"/>
    <hyperlink ref="E13" r:id="rId2" xr:uid="{E383A1AE-4115-43D1-916E-24979B729689}"/>
    <hyperlink ref="E14" r:id="rId3" xr:uid="{1AD29317-819A-49B8-B7BE-AF3A13DF2DCF}"/>
    <hyperlink ref="E16" r:id="rId4" xr:uid="{2C6FDA58-3ED5-488F-8426-2A57D0789199}"/>
  </hyperlinks>
  <pageMargins left="0.75" right="0.75" top="1" bottom="1" header="0.5" footer="0.5"/>
  <pageSetup paperSize="9" orientation="portrait"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18F5-E1DB-4BBF-BF18-ED4BCEB645E7}">
  <sheetPr>
    <tabColor rgb="FFCCFFFF"/>
  </sheetPr>
  <dimension ref="B2:R44"/>
  <sheetViews>
    <sheetView showGridLines="0" zoomScale="85" zoomScaleNormal="85" workbookViewId="0">
      <pane xSplit="6" ySplit="10" topLeftCell="G11"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57.140625" style="2" customWidth="1"/>
    <col min="3" max="5" width="4.7109375" style="2" customWidth="1"/>
    <col min="6" max="6" width="21.2851562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12" width="12.28515625" style="2" bestFit="1" customWidth="1"/>
    <col min="13" max="21" width="11.7109375" style="2" customWidth="1"/>
    <col min="22" max="24" width="2.7109375" style="2" customWidth="1"/>
    <col min="25" max="39" width="13.7109375" style="2" customWidth="1"/>
    <col min="40" max="16384" width="9.140625" style="2"/>
  </cols>
  <sheetData>
    <row r="2" spans="2:10" s="14" customFormat="1" ht="18" x14ac:dyDescent="0.2">
      <c r="B2" s="14" t="s">
        <v>249</v>
      </c>
    </row>
    <row r="4" spans="2:10" x14ac:dyDescent="0.2">
      <c r="B4" s="1" t="s">
        <v>64</v>
      </c>
      <c r="C4" s="1"/>
      <c r="D4" s="1"/>
    </row>
    <row r="5" spans="2:10" x14ac:dyDescent="0.2">
      <c r="B5" s="2" t="s">
        <v>250</v>
      </c>
      <c r="H5" s="15"/>
    </row>
    <row r="6" spans="2:10" x14ac:dyDescent="0.2">
      <c r="B6" s="2" t="s">
        <v>251</v>
      </c>
      <c r="H6" s="15"/>
    </row>
    <row r="7" spans="2:10" x14ac:dyDescent="0.2">
      <c r="B7" s="4"/>
    </row>
    <row r="9" spans="2:10" s="8" customFormat="1" x14ac:dyDescent="0.2">
      <c r="B9" s="8" t="s">
        <v>12</v>
      </c>
      <c r="F9" s="8" t="s">
        <v>33</v>
      </c>
      <c r="H9" s="8" t="s">
        <v>34</v>
      </c>
      <c r="J9" s="8" t="s">
        <v>65</v>
      </c>
    </row>
    <row r="12" spans="2:10" s="8" customFormat="1" x14ac:dyDescent="0.2">
      <c r="B12" s="8" t="s">
        <v>252</v>
      </c>
    </row>
    <row r="14" spans="2:10" x14ac:dyDescent="0.2">
      <c r="B14" s="1" t="s">
        <v>66</v>
      </c>
    </row>
    <row r="15" spans="2:10" x14ac:dyDescent="0.2">
      <c r="B15" s="2" t="s">
        <v>253</v>
      </c>
      <c r="F15" s="40" t="s">
        <v>259</v>
      </c>
      <c r="H15" s="41">
        <f>'Total income 2025'!H76</f>
        <v>24177993.511680298</v>
      </c>
    </row>
    <row r="16" spans="2:10" x14ac:dyDescent="0.2">
      <c r="B16" s="2" t="s">
        <v>546</v>
      </c>
      <c r="F16" s="2" t="s">
        <v>67</v>
      </c>
      <c r="H16" s="41">
        <f>'Total income 2025'!H46</f>
        <v>186183230.99999997</v>
      </c>
    </row>
    <row r="17" spans="2:18" x14ac:dyDescent="0.2">
      <c r="B17" s="2" t="s">
        <v>254</v>
      </c>
      <c r="F17" s="2" t="s">
        <v>260</v>
      </c>
      <c r="H17" s="42">
        <f>H15/H16</f>
        <v>0.12986128440149533</v>
      </c>
    </row>
    <row r="18" spans="2:18" x14ac:dyDescent="0.2">
      <c r="B18" s="2" t="s">
        <v>255</v>
      </c>
      <c r="F18" s="2" t="s">
        <v>260</v>
      </c>
      <c r="H18" s="43">
        <f>ROUND(H17,5)</f>
        <v>0.12986</v>
      </c>
      <c r="J18" s="2" t="s">
        <v>68</v>
      </c>
      <c r="O18" s="44"/>
    </row>
    <row r="19" spans="2:18" x14ac:dyDescent="0.2">
      <c r="H19" s="45"/>
    </row>
    <row r="20" spans="2:18" x14ac:dyDescent="0.2">
      <c r="B20" s="2" t="s">
        <v>256</v>
      </c>
      <c r="F20" s="2" t="s">
        <v>260</v>
      </c>
      <c r="H20" s="43">
        <f>'Total income 2025'!H87</f>
        <v>0.168671608840674</v>
      </c>
      <c r="J20" s="2" t="s">
        <v>69</v>
      </c>
      <c r="M20" s="44"/>
      <c r="N20" s="27"/>
    </row>
    <row r="21" spans="2:18" x14ac:dyDescent="0.2">
      <c r="M21" s="44"/>
      <c r="N21" s="27"/>
    </row>
    <row r="22" spans="2:18" x14ac:dyDescent="0.2">
      <c r="B22" s="2" t="s">
        <v>420</v>
      </c>
      <c r="F22" s="2" t="s">
        <v>260</v>
      </c>
      <c r="H22" s="42">
        <f>H18+H20</f>
        <v>0.29853160884067398</v>
      </c>
      <c r="M22" s="44"/>
      <c r="N22" s="27"/>
    </row>
    <row r="23" spans="2:18" x14ac:dyDescent="0.2">
      <c r="B23" s="2" t="s">
        <v>421</v>
      </c>
      <c r="F23" s="2" t="s">
        <v>260</v>
      </c>
      <c r="H23" s="43">
        <f>ROUND(H22,5)</f>
        <v>0.29853000000000002</v>
      </c>
      <c r="J23" s="2" t="s">
        <v>70</v>
      </c>
      <c r="M23" s="44"/>
      <c r="O23" s="44"/>
      <c r="P23" s="27"/>
      <c r="Q23" s="44"/>
      <c r="R23" s="44"/>
    </row>
    <row r="24" spans="2:18" x14ac:dyDescent="0.2">
      <c r="H24" s="46"/>
    </row>
    <row r="26" spans="2:18" x14ac:dyDescent="0.2">
      <c r="B26" s="1" t="s">
        <v>71</v>
      </c>
    </row>
    <row r="27" spans="2:18" x14ac:dyDescent="0.2">
      <c r="B27" s="2" t="s">
        <v>257</v>
      </c>
      <c r="F27" s="40" t="s">
        <v>259</v>
      </c>
      <c r="H27" s="29">
        <f>'Total income 2025'!H80</f>
        <v>20409108.520352393</v>
      </c>
      <c r="J27" s="2" t="s">
        <v>261</v>
      </c>
    </row>
    <row r="28" spans="2:18" x14ac:dyDescent="0.2">
      <c r="B28" s="2" t="s">
        <v>456</v>
      </c>
      <c r="F28" s="40" t="s">
        <v>259</v>
      </c>
      <c r="H28" s="24">
        <f>'Total income 2025'!H81</f>
        <v>1031357.1669114997</v>
      </c>
      <c r="J28" s="2" t="s">
        <v>261</v>
      </c>
    </row>
    <row r="31" spans="2:18" x14ac:dyDescent="0.2">
      <c r="B31" s="5"/>
      <c r="H31" s="126"/>
    </row>
    <row r="32" spans="2:18" x14ac:dyDescent="0.2">
      <c r="B32" s="4" t="s">
        <v>60</v>
      </c>
      <c r="H32" s="126"/>
    </row>
    <row r="33" spans="8:8" x14ac:dyDescent="0.2">
      <c r="H33" s="127"/>
    </row>
    <row r="34" spans="8:8" x14ac:dyDescent="0.2">
      <c r="H34" s="127"/>
    </row>
    <row r="35" spans="8:8" x14ac:dyDescent="0.2">
      <c r="H35" s="128"/>
    </row>
    <row r="36" spans="8:8" x14ac:dyDescent="0.2">
      <c r="H36" s="127"/>
    </row>
    <row r="37" spans="8:8" x14ac:dyDescent="0.2">
      <c r="H37" s="9"/>
    </row>
    <row r="38" spans="8:8" x14ac:dyDescent="0.2">
      <c r="H38" s="127"/>
    </row>
    <row r="39" spans="8:8" x14ac:dyDescent="0.2">
      <c r="H39" s="127"/>
    </row>
    <row r="40" spans="8:8" x14ac:dyDescent="0.2">
      <c r="H40" s="129"/>
    </row>
    <row r="41" spans="8:8" x14ac:dyDescent="0.2">
      <c r="H41" s="9"/>
    </row>
    <row r="42" spans="8:8" x14ac:dyDescent="0.2">
      <c r="H42" s="9"/>
    </row>
    <row r="43" spans="8:8" x14ac:dyDescent="0.2">
      <c r="H43" s="117"/>
    </row>
    <row r="44" spans="8:8" x14ac:dyDescent="0.2">
      <c r="H44" s="123"/>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7D879-4C11-4F7D-8D6B-D8F68483EB4E}">
  <sheetPr>
    <tabColor rgb="FFCCFFFF"/>
  </sheetPr>
  <dimension ref="A2:G67"/>
  <sheetViews>
    <sheetView showGridLines="0" tabSelected="1" zoomScale="85" zoomScaleNormal="85" workbookViewId="0"/>
  </sheetViews>
  <sheetFormatPr defaultRowHeight="12.75" x14ac:dyDescent="0.2"/>
  <cols>
    <col min="1" max="1" width="4.7109375" style="2" customWidth="1"/>
    <col min="2" max="2" width="3.7109375" style="2" customWidth="1"/>
    <col min="3" max="3" width="60" style="2" customWidth="1"/>
    <col min="4" max="4" width="26" style="2" customWidth="1"/>
    <col min="5" max="5" width="15.140625" style="2" customWidth="1"/>
    <col min="6" max="6" width="3.42578125" style="2" customWidth="1"/>
    <col min="7" max="7" width="68.28515625" style="2" customWidth="1"/>
    <col min="8" max="13" width="11.7109375" style="2" customWidth="1"/>
    <col min="14" max="16" width="2.7109375" style="2" customWidth="1"/>
    <col min="17" max="31" width="13.7109375" style="2" customWidth="1"/>
    <col min="32" max="16384" width="9.140625" style="2"/>
  </cols>
  <sheetData>
    <row r="2" spans="2:6" s="14" customFormat="1" ht="18" x14ac:dyDescent="0.2">
      <c r="C2" s="7" t="s">
        <v>72</v>
      </c>
    </row>
    <row r="3" spans="2:6" x14ac:dyDescent="0.2">
      <c r="C3" s="40"/>
    </row>
    <row r="4" spans="2:6" x14ac:dyDescent="0.2">
      <c r="B4" s="1"/>
      <c r="C4" s="22" t="s">
        <v>12</v>
      </c>
      <c r="D4" s="1"/>
    </row>
    <row r="5" spans="2:6" x14ac:dyDescent="0.2">
      <c r="C5" s="2" t="s">
        <v>262</v>
      </c>
    </row>
    <row r="7" spans="2:6" x14ac:dyDescent="0.2">
      <c r="B7" s="4"/>
    </row>
    <row r="9" spans="2:6" s="8" customFormat="1" x14ac:dyDescent="0.2">
      <c r="C9" s="8" t="s">
        <v>73</v>
      </c>
      <c r="D9" s="8" t="s">
        <v>33</v>
      </c>
      <c r="E9" s="8" t="s">
        <v>34</v>
      </c>
    </row>
    <row r="11" spans="2:6" x14ac:dyDescent="0.2">
      <c r="C11" s="47" t="s">
        <v>263</v>
      </c>
      <c r="D11" s="2" t="s">
        <v>259</v>
      </c>
      <c r="E11" s="48">
        <f>'Production price 2025'!H18</f>
        <v>0.12986</v>
      </c>
    </row>
    <row r="12" spans="2:6" x14ac:dyDescent="0.2">
      <c r="C12" s="47"/>
    </row>
    <row r="13" spans="2:6" s="49" customFormat="1" ht="13.5" thickBot="1" x14ac:dyDescent="0.25">
      <c r="C13" s="47"/>
    </row>
    <row r="14" spans="2:6" s="49" customFormat="1" x14ac:dyDescent="0.2">
      <c r="B14" s="50"/>
      <c r="C14" s="51"/>
      <c r="D14" s="51"/>
      <c r="E14" s="51"/>
      <c r="F14" s="52"/>
    </row>
    <row r="15" spans="2:6" s="8" customFormat="1" x14ac:dyDescent="0.2">
      <c r="B15" s="53"/>
      <c r="C15" s="8" t="s">
        <v>264</v>
      </c>
      <c r="F15" s="54"/>
    </row>
    <row r="16" spans="2:6" s="49" customFormat="1" x14ac:dyDescent="0.2">
      <c r="B16" s="55"/>
      <c r="F16" s="56"/>
    </row>
    <row r="17" spans="2:6" s="49" customFormat="1" x14ac:dyDescent="0.2">
      <c r="B17" s="55"/>
      <c r="C17" s="57" t="s">
        <v>74</v>
      </c>
      <c r="F17" s="56"/>
    </row>
    <row r="18" spans="2:6" s="49" customFormat="1" x14ac:dyDescent="0.2">
      <c r="B18" s="55"/>
      <c r="C18" s="57"/>
      <c r="F18" s="56"/>
    </row>
    <row r="19" spans="2:6" s="49" customFormat="1" x14ac:dyDescent="0.2">
      <c r="B19" s="120"/>
      <c r="F19" s="56"/>
    </row>
    <row r="20" spans="2:6" s="49" customFormat="1" x14ac:dyDescent="0.2">
      <c r="B20" s="55"/>
      <c r="C20" s="47" t="s">
        <v>75</v>
      </c>
      <c r="F20" s="56"/>
    </row>
    <row r="21" spans="2:6" s="49" customFormat="1" x14ac:dyDescent="0.2">
      <c r="B21" s="55"/>
      <c r="C21" s="49" t="s">
        <v>267</v>
      </c>
      <c r="D21" s="49" t="s">
        <v>76</v>
      </c>
      <c r="E21" s="58">
        <f>Parameters!H29</f>
        <v>8.2299999999999998E-2</v>
      </c>
      <c r="F21" s="56"/>
    </row>
    <row r="22" spans="2:6" s="49" customFormat="1" x14ac:dyDescent="0.2">
      <c r="B22" s="55"/>
      <c r="C22" s="2" t="s">
        <v>266</v>
      </c>
      <c r="D22" s="49" t="s">
        <v>76</v>
      </c>
      <c r="E22" s="58">
        <f>Parameters!H31</f>
        <v>6.4500000000000002E-2</v>
      </c>
      <c r="F22" s="56"/>
    </row>
    <row r="23" spans="2:6" s="49" customFormat="1" x14ac:dyDescent="0.2">
      <c r="B23" s="55"/>
      <c r="C23" s="2" t="s">
        <v>77</v>
      </c>
      <c r="D23" s="49" t="s">
        <v>76</v>
      </c>
      <c r="E23" s="58">
        <f>Parameters!H18</f>
        <v>1.9E-2</v>
      </c>
      <c r="F23" s="56"/>
    </row>
    <row r="24" spans="2:6" s="49" customFormat="1" x14ac:dyDescent="0.2">
      <c r="B24" s="55"/>
      <c r="C24" s="2" t="s">
        <v>429</v>
      </c>
      <c r="D24" s="49" t="s">
        <v>76</v>
      </c>
      <c r="E24" s="58">
        <f>Parameters!H19</f>
        <v>2.5000000000000001E-2</v>
      </c>
      <c r="F24" s="56"/>
    </row>
    <row r="25" spans="2:6" s="49" customFormat="1" x14ac:dyDescent="0.2">
      <c r="B25" s="55"/>
      <c r="C25" s="2" t="s">
        <v>430</v>
      </c>
      <c r="D25" s="49" t="s">
        <v>76</v>
      </c>
      <c r="E25" s="58">
        <f>Parameters!H24</f>
        <v>0.03</v>
      </c>
      <c r="F25" s="56"/>
    </row>
    <row r="26" spans="2:6" s="49" customFormat="1" x14ac:dyDescent="0.2">
      <c r="B26" s="55"/>
      <c r="C26" s="49" t="s">
        <v>78</v>
      </c>
      <c r="D26" s="49" t="s">
        <v>76</v>
      </c>
      <c r="E26" s="58">
        <f>Parameters!H36</f>
        <v>0.5</v>
      </c>
      <c r="F26" s="56"/>
    </row>
    <row r="27" spans="2:6" s="49" customFormat="1" x14ac:dyDescent="0.2">
      <c r="B27" s="55"/>
      <c r="F27" s="56"/>
    </row>
    <row r="28" spans="2:6" s="49" customFormat="1" x14ac:dyDescent="0.2">
      <c r="B28" s="55"/>
      <c r="C28" s="47" t="s">
        <v>431</v>
      </c>
      <c r="F28" s="56"/>
    </row>
    <row r="29" spans="2:6" s="49" customFormat="1" x14ac:dyDescent="0.2">
      <c r="B29" s="55"/>
      <c r="C29" s="2" t="s">
        <v>432</v>
      </c>
      <c r="D29" s="2" t="s">
        <v>79</v>
      </c>
      <c r="E29" s="59">
        <v>41010318.671080381</v>
      </c>
      <c r="F29" s="60"/>
    </row>
    <row r="30" spans="2:6" s="49" customFormat="1" x14ac:dyDescent="0.2">
      <c r="B30" s="55"/>
      <c r="C30" s="2" t="s">
        <v>433</v>
      </c>
      <c r="D30" s="2" t="s">
        <v>79</v>
      </c>
      <c r="E30" s="59">
        <v>4890973.4638180258</v>
      </c>
      <c r="F30" s="60"/>
    </row>
    <row r="31" spans="2:6" s="49" customFormat="1" x14ac:dyDescent="0.2">
      <c r="B31" s="55"/>
      <c r="C31" s="2" t="s">
        <v>435</v>
      </c>
      <c r="D31" s="2" t="s">
        <v>436</v>
      </c>
      <c r="E31" s="59">
        <f>'Est. and realized costs 2023'!H39</f>
        <v>9021811</v>
      </c>
      <c r="F31" s="60"/>
    </row>
    <row r="32" spans="2:6" s="49" customFormat="1" x14ac:dyDescent="0.2">
      <c r="B32" s="55"/>
      <c r="C32" s="22"/>
      <c r="D32" s="2"/>
      <c r="E32" s="2"/>
      <c r="F32" s="60"/>
    </row>
    <row r="33" spans="1:7" s="49" customFormat="1" x14ac:dyDescent="0.2">
      <c r="B33" s="55"/>
      <c r="C33" s="1" t="s">
        <v>434</v>
      </c>
      <c r="D33" s="2"/>
      <c r="E33" s="2"/>
      <c r="F33" s="60"/>
      <c r="G33" s="2"/>
    </row>
    <row r="34" spans="1:7" s="49" customFormat="1" x14ac:dyDescent="0.2">
      <c r="B34" s="55"/>
      <c r="C34" s="2" t="s">
        <v>80</v>
      </c>
      <c r="D34" s="2" t="s">
        <v>259</v>
      </c>
      <c r="E34" s="59">
        <f>'Total income 2025'!H58</f>
        <v>9375974.244649997</v>
      </c>
      <c r="F34" s="60"/>
    </row>
    <row r="35" spans="1:7" s="49" customFormat="1" x14ac:dyDescent="0.2">
      <c r="B35" s="55"/>
      <c r="C35" s="2" t="s">
        <v>525</v>
      </c>
      <c r="D35" s="2" t="s">
        <v>259</v>
      </c>
      <c r="E35" s="146" t="s">
        <v>588</v>
      </c>
      <c r="F35" s="60"/>
    </row>
    <row r="36" spans="1:7" s="49" customFormat="1" x14ac:dyDescent="0.2">
      <c r="B36" s="55"/>
      <c r="C36" s="2" t="s">
        <v>442</v>
      </c>
      <c r="D36" s="2" t="s">
        <v>259</v>
      </c>
      <c r="E36" s="119">
        <f>SUM('Calculation RAB'!H402,'Calculation RAB'!H407,'Calculation RAB'!H412,'Calculation RAB'!H417)</f>
        <v>7476656.8250505403</v>
      </c>
      <c r="F36" s="60"/>
    </row>
    <row r="37" spans="1:7" s="49" customFormat="1" x14ac:dyDescent="0.2">
      <c r="A37" s="118"/>
      <c r="B37" s="55"/>
      <c r="C37" s="2" t="s">
        <v>437</v>
      </c>
      <c r="D37" s="2" t="s">
        <v>259</v>
      </c>
      <c r="E37" s="59">
        <f>'Calculation RAB'!H422</f>
        <v>1853506.8410121598</v>
      </c>
      <c r="F37" s="60"/>
    </row>
    <row r="38" spans="1:7" s="49" customFormat="1" x14ac:dyDescent="0.2">
      <c r="A38" s="118"/>
      <c r="B38" s="55"/>
      <c r="C38" s="2" t="s">
        <v>524</v>
      </c>
      <c r="D38" s="2" t="s">
        <v>259</v>
      </c>
      <c r="E38" s="59">
        <f>'Calculation RAB'!H427</f>
        <v>506109.77963969443</v>
      </c>
      <c r="F38" s="60"/>
    </row>
    <row r="39" spans="1:7" s="49" customFormat="1" x14ac:dyDescent="0.2">
      <c r="B39" s="55"/>
      <c r="C39" s="2" t="s">
        <v>438</v>
      </c>
      <c r="D39" s="2" t="s">
        <v>259</v>
      </c>
      <c r="E39" s="59">
        <f>'Total income 2025'!H63</f>
        <v>21287008.520352401</v>
      </c>
      <c r="F39" s="60"/>
    </row>
    <row r="40" spans="1:7" s="49" customFormat="1" x14ac:dyDescent="0.2">
      <c r="B40" s="55"/>
      <c r="D40" s="2"/>
      <c r="F40" s="56"/>
    </row>
    <row r="41" spans="1:7" s="49" customFormat="1" x14ac:dyDescent="0.2">
      <c r="B41" s="55"/>
      <c r="C41" s="1" t="s">
        <v>443</v>
      </c>
      <c r="D41" s="2"/>
      <c r="E41" s="2"/>
      <c r="F41" s="60"/>
      <c r="G41" s="2"/>
    </row>
    <row r="42" spans="1:7" s="49" customFormat="1" x14ac:dyDescent="0.2">
      <c r="B42" s="55"/>
      <c r="C42" s="49" t="s">
        <v>444</v>
      </c>
      <c r="D42" s="2" t="s">
        <v>436</v>
      </c>
      <c r="E42" s="59">
        <f>'Volume and PS corrections 2023'!H42</f>
        <v>-1314020.7276287191</v>
      </c>
      <c r="F42" s="56"/>
    </row>
    <row r="43" spans="1:7" s="49" customFormat="1" x14ac:dyDescent="0.2">
      <c r="B43" s="55"/>
      <c r="C43" s="49" t="s">
        <v>445</v>
      </c>
      <c r="D43" s="2" t="s">
        <v>436</v>
      </c>
      <c r="E43" s="59">
        <f>'Volume and PS corrections 2023'!H60</f>
        <v>-201679.45548159629</v>
      </c>
      <c r="F43" s="56"/>
    </row>
    <row r="44" spans="1:7" s="49" customFormat="1" x14ac:dyDescent="0.2">
      <c r="B44" s="55"/>
      <c r="C44" s="49" t="s">
        <v>548</v>
      </c>
      <c r="D44" s="2" t="s">
        <v>436</v>
      </c>
      <c r="E44" s="59">
        <f>'Fuel costs and income 2023'!H49</f>
        <v>3037794.1685000053</v>
      </c>
      <c r="F44" s="56"/>
    </row>
    <row r="45" spans="1:7" s="49" customFormat="1" x14ac:dyDescent="0.2">
      <c r="A45" s="118"/>
      <c r="B45" s="55"/>
      <c r="C45" s="40" t="s">
        <v>523</v>
      </c>
      <c r="D45" s="2" t="s">
        <v>436</v>
      </c>
      <c r="E45" s="59">
        <f>'Est. and realized costs 2023'!H47</f>
        <v>1202936.6408030689</v>
      </c>
      <c r="F45" s="56"/>
    </row>
    <row r="46" spans="1:7" s="49" customFormat="1" x14ac:dyDescent="0.2">
      <c r="B46" s="55"/>
      <c r="C46" s="47"/>
      <c r="D46" s="2"/>
      <c r="F46" s="56"/>
    </row>
    <row r="47" spans="1:7" s="49" customFormat="1" x14ac:dyDescent="0.2">
      <c r="B47" s="55"/>
      <c r="C47" s="47" t="s">
        <v>82</v>
      </c>
      <c r="D47" s="2"/>
      <c r="F47" s="56"/>
    </row>
    <row r="48" spans="1:7" s="49" customFormat="1" x14ac:dyDescent="0.2">
      <c r="A48" s="118"/>
      <c r="B48" s="55"/>
      <c r="C48" s="2" t="s">
        <v>446</v>
      </c>
      <c r="D48" s="2" t="s">
        <v>67</v>
      </c>
      <c r="E48" s="59">
        <f>'Est. production and costs 2025'!H14</f>
        <v>36500000</v>
      </c>
      <c r="F48" s="60"/>
    </row>
    <row r="49" spans="1:6" s="49" customFormat="1" x14ac:dyDescent="0.2">
      <c r="A49" s="118"/>
      <c r="B49" s="55"/>
      <c r="C49" s="2" t="s">
        <v>447</v>
      </c>
      <c r="D49" s="2" t="s">
        <v>67</v>
      </c>
      <c r="E49" s="59">
        <f>'Est. production and costs 2025'!H15</f>
        <v>8856000.0000000019</v>
      </c>
      <c r="F49" s="60"/>
    </row>
    <row r="50" spans="1:6" s="49" customFormat="1" x14ac:dyDescent="0.2">
      <c r="A50" s="118"/>
      <c r="B50" s="55"/>
      <c r="C50" s="2" t="s">
        <v>448</v>
      </c>
      <c r="D50" s="2" t="s">
        <v>67</v>
      </c>
      <c r="E50" s="59">
        <f>'Est. production and costs 2025'!H13</f>
        <v>140827230.99999997</v>
      </c>
      <c r="F50" s="60"/>
    </row>
    <row r="51" spans="1:6" s="49" customFormat="1" x14ac:dyDescent="0.2">
      <c r="A51" s="118"/>
      <c r="B51" s="55"/>
      <c r="C51" s="2" t="s">
        <v>449</v>
      </c>
      <c r="D51" s="2" t="s">
        <v>67</v>
      </c>
      <c r="E51" s="59">
        <f>SUM(E48:E50)</f>
        <v>186183230.99999997</v>
      </c>
      <c r="F51" s="60"/>
    </row>
    <row r="52" spans="1:6" s="49" customFormat="1" x14ac:dyDescent="0.2">
      <c r="A52" s="118"/>
      <c r="B52" s="55"/>
      <c r="C52" s="2" t="s">
        <v>450</v>
      </c>
      <c r="D52" s="2" t="s">
        <v>83</v>
      </c>
      <c r="E52" s="61">
        <f>'Fuel costs and income 2023'!H25</f>
        <v>0.27072405350260342</v>
      </c>
      <c r="F52" s="60"/>
    </row>
    <row r="53" spans="1:6" s="49" customFormat="1" x14ac:dyDescent="0.2">
      <c r="A53" s="118"/>
      <c r="B53" s="55"/>
      <c r="C53" s="2" t="s">
        <v>451</v>
      </c>
      <c r="D53" s="2" t="s">
        <v>76</v>
      </c>
      <c r="E53" s="58">
        <f>'Total income 2025'!H48</f>
        <v>0.75639052047603572</v>
      </c>
      <c r="F53" s="60"/>
    </row>
    <row r="54" spans="1:6" s="49" customFormat="1" x14ac:dyDescent="0.2">
      <c r="A54" s="118"/>
      <c r="B54" s="55"/>
      <c r="C54" s="2" t="s">
        <v>452</v>
      </c>
      <c r="D54" s="2" t="s">
        <v>84</v>
      </c>
      <c r="E54" s="61">
        <f>'Est. production and costs 2025'!H19</f>
        <v>0.82369999999999999</v>
      </c>
      <c r="F54" s="60"/>
    </row>
    <row r="55" spans="1:6" s="49" customFormat="1" x14ac:dyDescent="0.2">
      <c r="A55" s="118"/>
      <c r="B55" s="55"/>
      <c r="C55" s="49" t="s">
        <v>453</v>
      </c>
      <c r="D55" s="2" t="s">
        <v>455</v>
      </c>
      <c r="E55" s="62">
        <f>'Production price 2025'!H20</f>
        <v>0.168671608840674</v>
      </c>
      <c r="F55" s="56"/>
    </row>
    <row r="56" spans="1:6" s="49" customFormat="1" x14ac:dyDescent="0.2">
      <c r="A56" s="118"/>
      <c r="B56" s="55"/>
      <c r="C56" s="49" t="s">
        <v>454</v>
      </c>
      <c r="D56" s="2" t="s">
        <v>455</v>
      </c>
      <c r="E56" s="62">
        <f>'Production price 2025'!H23</f>
        <v>0.29853000000000002</v>
      </c>
      <c r="F56" s="56"/>
    </row>
    <row r="57" spans="1:6" s="49" customFormat="1" x14ac:dyDescent="0.2">
      <c r="B57" s="55"/>
      <c r="D57" s="2"/>
      <c r="F57" s="56"/>
    </row>
    <row r="58" spans="1:6" s="49" customFormat="1" x14ac:dyDescent="0.2">
      <c r="B58" s="55"/>
      <c r="C58" s="47" t="s">
        <v>85</v>
      </c>
      <c r="D58" s="2"/>
      <c r="F58" s="56"/>
    </row>
    <row r="59" spans="1:6" s="49" customFormat="1" x14ac:dyDescent="0.2">
      <c r="B59" s="55"/>
      <c r="C59" s="2" t="s">
        <v>258</v>
      </c>
      <c r="D59" s="2" t="s">
        <v>259</v>
      </c>
      <c r="E59" s="59">
        <f>'Production price 2025'!H28</f>
        <v>1031357.1669114997</v>
      </c>
      <c r="F59" s="56"/>
    </row>
    <row r="60" spans="1:6" s="49" customFormat="1" ht="13.5" thickBot="1" x14ac:dyDescent="0.25">
      <c r="B60" s="63"/>
      <c r="C60" s="64"/>
      <c r="D60" s="64"/>
      <c r="E60" s="64"/>
      <c r="F60" s="65"/>
    </row>
    <row r="61" spans="1:6" s="49" customFormat="1" x14ac:dyDescent="0.2"/>
    <row r="62" spans="1:6" x14ac:dyDescent="0.2">
      <c r="C62" s="47"/>
    </row>
    <row r="63" spans="1:6" x14ac:dyDescent="0.2">
      <c r="C63" s="47"/>
    </row>
    <row r="64" spans="1:6" x14ac:dyDescent="0.2">
      <c r="C64" s="47"/>
    </row>
    <row r="66" spans="2:2" x14ac:dyDescent="0.2">
      <c r="B66" s="5"/>
    </row>
    <row r="67" spans="2:2" x14ac:dyDescent="0.2">
      <c r="B67" s="4" t="s">
        <v>60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D9278-22BE-4291-8664-06816C1669E6}">
  <sheetPr>
    <tabColor theme="0" tint="-4.9989318521683403E-2"/>
  </sheetPr>
  <dimension ref="B2:B8"/>
  <sheetViews>
    <sheetView showGridLines="0" zoomScale="85" zoomScaleNormal="85" workbookViewId="0">
      <selection activeCell="H18" sqref="H18"/>
    </sheetView>
  </sheetViews>
  <sheetFormatPr defaultRowHeight="12.75" x14ac:dyDescent="0.2"/>
  <cols>
    <col min="1" max="16384" width="9.140625" style="16"/>
  </cols>
  <sheetData>
    <row r="2" spans="2:2" x14ac:dyDescent="0.2">
      <c r="B2" s="37" t="s">
        <v>61</v>
      </c>
    </row>
    <row r="3" spans="2:2" x14ac:dyDescent="0.2">
      <c r="B3" s="37" t="s">
        <v>62</v>
      </c>
    </row>
    <row r="7" spans="2:2" x14ac:dyDescent="0.2">
      <c r="B7" s="37"/>
    </row>
    <row r="8" spans="2:2" x14ac:dyDescent="0.2">
      <c r="B8" s="37"/>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C597-5A66-42E1-AC47-D2880A2CDEB7}">
  <sheetPr>
    <tabColor rgb="FFE1FFE1"/>
  </sheetPr>
  <dimension ref="A2:L41"/>
  <sheetViews>
    <sheetView showGridLines="0" zoomScale="85" zoomScaleNormal="85" workbookViewId="0">
      <pane xSplit="6" ySplit="14" topLeftCell="G15"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41.42578125" style="2" customWidth="1"/>
    <col min="3" max="3" width="4.7109375" style="2" customWidth="1"/>
    <col min="4" max="5" width="4.5703125" style="2" customWidth="1"/>
    <col min="6" max="6" width="13.7109375" style="2" customWidth="1"/>
    <col min="7" max="7" width="2.7109375" style="2" customWidth="1"/>
    <col min="8" max="8" width="13.7109375" style="2" customWidth="1"/>
    <col min="9" max="9" width="2.7109375" style="2" customWidth="1"/>
    <col min="10" max="10" width="38.42578125" style="2" customWidth="1"/>
    <col min="11" max="11" width="2.7109375" style="2" customWidth="1"/>
    <col min="12" max="12" width="13.7109375" style="2" customWidth="1"/>
    <col min="13" max="13" width="2.7109375" style="2" customWidth="1"/>
    <col min="14" max="28" width="13.7109375" style="2" customWidth="1"/>
    <col min="29" max="16384" width="9.140625" style="2"/>
  </cols>
  <sheetData>
    <row r="2" spans="2:12" s="14" customFormat="1" ht="18" x14ac:dyDescent="0.2">
      <c r="B2" s="14" t="s">
        <v>86</v>
      </c>
    </row>
    <row r="4" spans="2:12" x14ac:dyDescent="0.2">
      <c r="B4" s="22" t="s">
        <v>87</v>
      </c>
      <c r="C4" s="1"/>
      <c r="D4" s="1"/>
    </row>
    <row r="5" spans="2:12" x14ac:dyDescent="0.2">
      <c r="B5" s="2" t="s">
        <v>88</v>
      </c>
      <c r="H5" s="15"/>
    </row>
    <row r="6" spans="2:12" x14ac:dyDescent="0.2">
      <c r="H6" s="15"/>
    </row>
    <row r="7" spans="2:12" x14ac:dyDescent="0.2">
      <c r="B7" s="23" t="s">
        <v>89</v>
      </c>
      <c r="H7" s="15"/>
    </row>
    <row r="8" spans="2:12" x14ac:dyDescent="0.2">
      <c r="B8" s="4" t="s">
        <v>90</v>
      </c>
    </row>
    <row r="9" spans="2:12" x14ac:dyDescent="0.2">
      <c r="B9" s="4" t="s">
        <v>91</v>
      </c>
    </row>
    <row r="11" spans="2:12" x14ac:dyDescent="0.2">
      <c r="B11" s="66" t="s">
        <v>457</v>
      </c>
    </row>
    <row r="13" spans="2:12" s="8" customFormat="1" x14ac:dyDescent="0.2">
      <c r="B13" s="8" t="s">
        <v>12</v>
      </c>
      <c r="F13" s="8" t="s">
        <v>33</v>
      </c>
      <c r="H13" s="8" t="s">
        <v>34</v>
      </c>
      <c r="J13" s="8" t="s">
        <v>37</v>
      </c>
      <c r="L13" s="8" t="s">
        <v>36</v>
      </c>
    </row>
    <row r="16" spans="2:12" s="8" customFormat="1" x14ac:dyDescent="0.2">
      <c r="B16" s="8" t="s">
        <v>92</v>
      </c>
    </row>
    <row r="18" spans="1:12" x14ac:dyDescent="0.2">
      <c r="B18" s="2" t="s">
        <v>94</v>
      </c>
      <c r="F18" s="2" t="s">
        <v>76</v>
      </c>
      <c r="H18" s="68">
        <v>1.9E-2</v>
      </c>
      <c r="J18" s="2" t="s">
        <v>93</v>
      </c>
    </row>
    <row r="19" spans="1:12" x14ac:dyDescent="0.2">
      <c r="A19" s="9"/>
      <c r="B19" s="2" t="s">
        <v>265</v>
      </c>
      <c r="F19" s="2" t="s">
        <v>76</v>
      </c>
      <c r="H19" s="68">
        <v>2.5000000000000001E-2</v>
      </c>
    </row>
    <row r="22" spans="1:12" s="8" customFormat="1" x14ac:dyDescent="0.2">
      <c r="B22" s="8" t="s">
        <v>95</v>
      </c>
    </row>
    <row r="24" spans="1:12" x14ac:dyDescent="0.2">
      <c r="B24" s="2" t="s">
        <v>96</v>
      </c>
      <c r="F24" s="2" t="s">
        <v>76</v>
      </c>
      <c r="H24" s="68">
        <v>0.03</v>
      </c>
      <c r="J24" s="2" t="s">
        <v>97</v>
      </c>
    </row>
    <row r="25" spans="1:12" x14ac:dyDescent="0.2">
      <c r="L25" s="21"/>
    </row>
    <row r="27" spans="1:12" s="8" customFormat="1" x14ac:dyDescent="0.2">
      <c r="B27" s="8" t="s">
        <v>98</v>
      </c>
    </row>
    <row r="29" spans="1:12" x14ac:dyDescent="0.2">
      <c r="A29" s="9"/>
      <c r="B29" s="2" t="s">
        <v>476</v>
      </c>
      <c r="F29" s="2" t="s">
        <v>76</v>
      </c>
      <c r="H29" s="69">
        <v>8.2299999999999998E-2</v>
      </c>
      <c r="J29" s="2" t="s">
        <v>269</v>
      </c>
      <c r="L29" s="2" t="s">
        <v>477</v>
      </c>
    </row>
    <row r="31" spans="1:12" x14ac:dyDescent="0.2">
      <c r="B31" s="2" t="s">
        <v>266</v>
      </c>
      <c r="F31" s="2" t="s">
        <v>76</v>
      </c>
      <c r="H31" s="69">
        <v>6.4500000000000002E-2</v>
      </c>
      <c r="J31" s="2" t="s">
        <v>99</v>
      </c>
      <c r="L31" s="110" t="s">
        <v>268</v>
      </c>
    </row>
    <row r="34" spans="2:12" s="8" customFormat="1" x14ac:dyDescent="0.2">
      <c r="B34" s="8" t="s">
        <v>100</v>
      </c>
    </row>
    <row r="36" spans="2:12" x14ac:dyDescent="0.2">
      <c r="B36" s="2" t="s">
        <v>100</v>
      </c>
      <c r="F36" s="2" t="s">
        <v>76</v>
      </c>
      <c r="H36" s="69">
        <v>0.5</v>
      </c>
      <c r="L36" s="2" t="s">
        <v>101</v>
      </c>
    </row>
    <row r="41" spans="2:12" x14ac:dyDescent="0.2">
      <c r="B41" s="4" t="s">
        <v>60</v>
      </c>
    </row>
  </sheetData>
  <phoneticPr fontId="33"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6764A-D2AE-4EBD-BF52-471CE7337C2F}">
  <sheetPr>
    <tabColor rgb="FFE1FFE1"/>
  </sheetPr>
  <dimension ref="A2:AB166"/>
  <sheetViews>
    <sheetView showGridLines="0" zoomScale="85" zoomScaleNormal="85" workbookViewId="0">
      <pane xSplit="6" ySplit="15" topLeftCell="G16"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55.5703125" style="2" customWidth="1"/>
    <col min="3" max="3" width="4.7109375" style="2" customWidth="1"/>
    <col min="4" max="5" width="4.5703125" style="2" customWidth="1"/>
    <col min="6" max="6" width="13.7109375" style="2" customWidth="1"/>
    <col min="7" max="7" width="2.7109375" style="2" customWidth="1"/>
    <col min="8" max="8" width="13.7109375" style="2" customWidth="1"/>
    <col min="9" max="9" width="2.7109375" style="2" customWidth="1"/>
    <col min="10" max="10" width="76.85546875" style="2" customWidth="1"/>
    <col min="11" max="11" width="2.7109375" style="2" customWidth="1"/>
    <col min="12" max="12" width="13.7109375" style="2" customWidth="1"/>
    <col min="13" max="13" width="2.7109375" style="2" customWidth="1"/>
    <col min="14" max="28" width="13.7109375" style="2" customWidth="1"/>
    <col min="29" max="16384" width="9.140625" style="2"/>
  </cols>
  <sheetData>
    <row r="2" spans="1:12" s="14" customFormat="1" ht="18" x14ac:dyDescent="0.2">
      <c r="B2" s="14" t="s">
        <v>270</v>
      </c>
    </row>
    <row r="4" spans="1:12" x14ac:dyDescent="0.2">
      <c r="B4" s="22" t="s">
        <v>87</v>
      </c>
      <c r="C4" s="1"/>
      <c r="D4" s="1"/>
    </row>
    <row r="5" spans="1:12" x14ac:dyDescent="0.2">
      <c r="B5" s="2" t="s">
        <v>271</v>
      </c>
      <c r="H5" s="15"/>
    </row>
    <row r="6" spans="1:12" x14ac:dyDescent="0.2">
      <c r="B6" s="2" t="s">
        <v>272</v>
      </c>
      <c r="H6" s="15"/>
    </row>
    <row r="7" spans="1:12" x14ac:dyDescent="0.2">
      <c r="H7" s="15"/>
    </row>
    <row r="8" spans="1:12" x14ac:dyDescent="0.2">
      <c r="B8" s="23" t="s">
        <v>89</v>
      </c>
      <c r="H8" s="15"/>
    </row>
    <row r="9" spans="1:12" x14ac:dyDescent="0.2">
      <c r="B9" s="23" t="s">
        <v>102</v>
      </c>
    </row>
    <row r="10" spans="1:12" x14ac:dyDescent="0.2">
      <c r="B10" s="23" t="s">
        <v>484</v>
      </c>
    </row>
    <row r="11" spans="1:12" x14ac:dyDescent="0.2">
      <c r="A11" s="9"/>
      <c r="B11" s="23" t="s">
        <v>486</v>
      </c>
    </row>
    <row r="12" spans="1:12" x14ac:dyDescent="0.2">
      <c r="A12" s="9"/>
      <c r="B12" s="4" t="s">
        <v>485</v>
      </c>
    </row>
    <row r="14" spans="1:12" s="8" customFormat="1" x14ac:dyDescent="0.2">
      <c r="B14" s="8" t="s">
        <v>12</v>
      </c>
      <c r="F14" s="8" t="s">
        <v>33</v>
      </c>
      <c r="H14" s="8" t="s">
        <v>34</v>
      </c>
      <c r="J14" s="8" t="s">
        <v>37</v>
      </c>
      <c r="L14" s="8" t="s">
        <v>36</v>
      </c>
    </row>
    <row r="17" spans="1:12" s="8" customFormat="1" x14ac:dyDescent="0.2">
      <c r="B17" s="8" t="s">
        <v>273</v>
      </c>
    </row>
    <row r="19" spans="1:12" x14ac:dyDescent="0.2">
      <c r="B19" s="1" t="s">
        <v>550</v>
      </c>
    </row>
    <row r="20" spans="1:12" x14ac:dyDescent="0.2">
      <c r="B20" s="2" t="s">
        <v>274</v>
      </c>
      <c r="F20" s="2" t="s">
        <v>277</v>
      </c>
      <c r="H20" s="26">
        <v>17052597.59664645</v>
      </c>
      <c r="J20" s="2" t="s">
        <v>551</v>
      </c>
    </row>
    <row r="21" spans="1:12" x14ac:dyDescent="0.2">
      <c r="A21" s="40"/>
      <c r="B21" s="40" t="s">
        <v>275</v>
      </c>
      <c r="F21" s="2" t="s">
        <v>277</v>
      </c>
      <c r="H21" s="26">
        <v>997749.36790143989</v>
      </c>
      <c r="J21" s="2" t="s">
        <v>279</v>
      </c>
      <c r="L21" s="21"/>
    </row>
    <row r="23" spans="1:12" x14ac:dyDescent="0.2">
      <c r="B23" s="22" t="s">
        <v>549</v>
      </c>
    </row>
    <row r="24" spans="1:12" x14ac:dyDescent="0.2">
      <c r="A24" s="40"/>
      <c r="B24" s="40" t="s">
        <v>274</v>
      </c>
      <c r="F24" s="2" t="s">
        <v>277</v>
      </c>
      <c r="H24" s="26">
        <v>18255534.237449519</v>
      </c>
      <c r="J24" s="2" t="s">
        <v>556</v>
      </c>
    </row>
    <row r="26" spans="1:12" x14ac:dyDescent="0.2">
      <c r="B26" s="1" t="s">
        <v>71</v>
      </c>
      <c r="L26" s="21"/>
    </row>
    <row r="27" spans="1:12" x14ac:dyDescent="0.2">
      <c r="B27" s="2" t="s">
        <v>276</v>
      </c>
      <c r="F27" s="2" t="s">
        <v>67</v>
      </c>
      <c r="H27" s="26">
        <v>139967600</v>
      </c>
      <c r="J27" s="2" t="s">
        <v>278</v>
      </c>
    </row>
    <row r="30" spans="1:12" s="8" customFormat="1" x14ac:dyDescent="0.2">
      <c r="B30" s="8" t="s">
        <v>280</v>
      </c>
    </row>
    <row r="31" spans="1:12" x14ac:dyDescent="0.2">
      <c r="A31" s="70"/>
    </row>
    <row r="32" spans="1:12" x14ac:dyDescent="0.2">
      <c r="A32" s="70"/>
      <c r="B32" s="22" t="s">
        <v>103</v>
      </c>
    </row>
    <row r="33" spans="1:12" x14ac:dyDescent="0.2">
      <c r="A33" s="130"/>
      <c r="B33" s="2" t="s">
        <v>104</v>
      </c>
      <c r="F33" s="2" t="s">
        <v>277</v>
      </c>
      <c r="H33" s="140" t="s">
        <v>588</v>
      </c>
      <c r="J33" s="2" t="s">
        <v>281</v>
      </c>
    </row>
    <row r="34" spans="1:12" x14ac:dyDescent="0.2">
      <c r="A34" s="130"/>
      <c r="B34" s="2" t="s">
        <v>105</v>
      </c>
      <c r="F34" s="2" t="s">
        <v>277</v>
      </c>
      <c r="H34" s="140" t="s">
        <v>588</v>
      </c>
      <c r="J34" s="2" t="s">
        <v>281</v>
      </c>
      <c r="L34" s="21"/>
    </row>
    <row r="35" spans="1:12" x14ac:dyDescent="0.2">
      <c r="A35" s="130"/>
      <c r="B35" s="2" t="s">
        <v>106</v>
      </c>
      <c r="F35" s="2" t="s">
        <v>277</v>
      </c>
      <c r="H35" s="140" t="s">
        <v>588</v>
      </c>
      <c r="J35" s="2" t="s">
        <v>281</v>
      </c>
      <c r="L35" s="71"/>
    </row>
    <row r="36" spans="1:12" s="17" customFormat="1" x14ac:dyDescent="0.2">
      <c r="A36" s="130"/>
      <c r="B36" s="17" t="s">
        <v>480</v>
      </c>
      <c r="F36" s="17" t="s">
        <v>277</v>
      </c>
      <c r="H36" s="140" t="s">
        <v>588</v>
      </c>
      <c r="J36" s="17" t="s">
        <v>529</v>
      </c>
      <c r="L36" s="17" t="s">
        <v>481</v>
      </c>
    </row>
    <row r="37" spans="1:12" x14ac:dyDescent="0.2">
      <c r="A37" s="130"/>
      <c r="B37" s="138" t="s">
        <v>423</v>
      </c>
      <c r="F37" s="2" t="s">
        <v>277</v>
      </c>
      <c r="H37" s="140" t="s">
        <v>588</v>
      </c>
      <c r="J37" s="2" t="s">
        <v>553</v>
      </c>
      <c r="L37" s="110" t="s">
        <v>526</v>
      </c>
    </row>
    <row r="38" spans="1:12" x14ac:dyDescent="0.2">
      <c r="A38" s="130"/>
      <c r="B38" s="138" t="s">
        <v>483</v>
      </c>
      <c r="F38" s="2" t="s">
        <v>277</v>
      </c>
      <c r="H38" s="140" t="s">
        <v>588</v>
      </c>
      <c r="J38" s="2" t="s">
        <v>552</v>
      </c>
      <c r="L38" s="110" t="s">
        <v>526</v>
      </c>
    </row>
    <row r="39" spans="1:12" x14ac:dyDescent="0.2">
      <c r="A39" s="130"/>
      <c r="B39" s="2" t="s">
        <v>107</v>
      </c>
      <c r="F39" s="2" t="s">
        <v>277</v>
      </c>
      <c r="H39" s="140">
        <v>9021811</v>
      </c>
    </row>
    <row r="40" spans="1:12" x14ac:dyDescent="0.2">
      <c r="J40" s="39"/>
    </row>
    <row r="41" spans="1:12" x14ac:dyDescent="0.2">
      <c r="B41" s="1" t="s">
        <v>108</v>
      </c>
      <c r="J41" s="39"/>
    </row>
    <row r="42" spans="1:12" x14ac:dyDescent="0.2">
      <c r="B42" s="2" t="s">
        <v>109</v>
      </c>
      <c r="F42" s="2" t="s">
        <v>277</v>
      </c>
      <c r="H42" s="26">
        <v>45077</v>
      </c>
      <c r="J42" s="2" t="s">
        <v>284</v>
      </c>
    </row>
    <row r="43" spans="1:12" x14ac:dyDescent="0.2">
      <c r="J43" s="39"/>
    </row>
    <row r="44" spans="1:12" x14ac:dyDescent="0.2">
      <c r="J44" s="39"/>
    </row>
    <row r="45" spans="1:12" s="8" customFormat="1" x14ac:dyDescent="0.2">
      <c r="B45" s="8" t="s">
        <v>473</v>
      </c>
    </row>
    <row r="46" spans="1:12" x14ac:dyDescent="0.2">
      <c r="H46" s="39"/>
    </row>
    <row r="47" spans="1:12" x14ac:dyDescent="0.2">
      <c r="A47" s="9"/>
      <c r="B47" s="2" t="s">
        <v>487</v>
      </c>
      <c r="F47" s="2" t="s">
        <v>277</v>
      </c>
      <c r="H47" s="26">
        <v>1202936.6408030689</v>
      </c>
      <c r="J47" s="2" t="s">
        <v>528</v>
      </c>
    </row>
    <row r="48" spans="1:12" x14ac:dyDescent="0.2">
      <c r="H48" s="39"/>
    </row>
    <row r="49" spans="1:13" x14ac:dyDescent="0.2">
      <c r="H49" s="39"/>
    </row>
    <row r="50" spans="1:13" s="8" customFormat="1" x14ac:dyDescent="0.2">
      <c r="B50" s="8" t="s">
        <v>285</v>
      </c>
    </row>
    <row r="52" spans="1:13" s="1" customFormat="1" x14ac:dyDescent="0.2">
      <c r="B52" s="1" t="s">
        <v>110</v>
      </c>
      <c r="J52" s="21"/>
    </row>
    <row r="53" spans="1:13" s="1" customFormat="1" x14ac:dyDescent="0.2">
      <c r="J53" s="21"/>
    </row>
    <row r="54" spans="1:13" x14ac:dyDescent="0.2">
      <c r="B54" s="2" t="s">
        <v>111</v>
      </c>
      <c r="F54" s="2" t="s">
        <v>79</v>
      </c>
      <c r="H54" s="26">
        <v>61734000</v>
      </c>
      <c r="J54" s="17" t="s">
        <v>554</v>
      </c>
    </row>
    <row r="55" spans="1:13" x14ac:dyDescent="0.2">
      <c r="B55" s="2" t="s">
        <v>112</v>
      </c>
      <c r="F55" s="2" t="s">
        <v>79</v>
      </c>
      <c r="H55" s="26">
        <v>860000</v>
      </c>
      <c r="J55" s="17"/>
      <c r="M55" s="25"/>
    </row>
    <row r="56" spans="1:13" x14ac:dyDescent="0.2">
      <c r="B56" s="2" t="s">
        <v>113</v>
      </c>
      <c r="F56" s="2" t="s">
        <v>79</v>
      </c>
      <c r="H56" s="26">
        <v>18696000</v>
      </c>
      <c r="J56" s="17"/>
      <c r="L56" s="72"/>
    </row>
    <row r="57" spans="1:13" x14ac:dyDescent="0.2">
      <c r="B57" s="2" t="s">
        <v>114</v>
      </c>
      <c r="F57" s="2" t="s">
        <v>115</v>
      </c>
      <c r="H57" s="26">
        <v>15</v>
      </c>
      <c r="J57" s="17"/>
      <c r="L57" s="72"/>
      <c r="M57" s="25"/>
    </row>
    <row r="58" spans="1:13" x14ac:dyDescent="0.2">
      <c r="J58" s="17"/>
      <c r="M58" s="25"/>
    </row>
    <row r="59" spans="1:13" x14ac:dyDescent="0.2">
      <c r="B59" s="2" t="s">
        <v>501</v>
      </c>
      <c r="F59" s="2" t="s">
        <v>123</v>
      </c>
      <c r="H59" s="80">
        <v>40410</v>
      </c>
      <c r="J59" s="17" t="s">
        <v>554</v>
      </c>
      <c r="M59" s="25"/>
    </row>
    <row r="60" spans="1:13" x14ac:dyDescent="0.2">
      <c r="B60" s="2" t="s">
        <v>176</v>
      </c>
      <c r="F60" s="2" t="s">
        <v>79</v>
      </c>
      <c r="H60" s="26">
        <v>2811866.6666666665</v>
      </c>
      <c r="J60" s="17"/>
      <c r="M60" s="25"/>
    </row>
    <row r="61" spans="1:13" x14ac:dyDescent="0.2">
      <c r="B61" s="2" t="s">
        <v>502</v>
      </c>
      <c r="F61" s="2" t="s">
        <v>121</v>
      </c>
      <c r="H61" s="134">
        <f>(H54-H55)/H60</f>
        <v>21.648963914837122</v>
      </c>
      <c r="J61" s="17"/>
      <c r="M61" s="25"/>
    </row>
    <row r="62" spans="1:13" x14ac:dyDescent="0.2">
      <c r="B62" s="17" t="s">
        <v>499</v>
      </c>
      <c r="C62" s="17"/>
      <c r="D62" s="17"/>
      <c r="E62" s="17"/>
      <c r="F62" s="17" t="s">
        <v>123</v>
      </c>
      <c r="H62" s="132">
        <f>H59+(H61*365.25)</f>
        <v>48317.28406989426</v>
      </c>
      <c r="J62" s="17"/>
    </row>
    <row r="63" spans="1:13" x14ac:dyDescent="0.2">
      <c r="A63" s="9"/>
      <c r="B63" s="17" t="s">
        <v>506</v>
      </c>
      <c r="C63" s="17"/>
      <c r="D63" s="17"/>
      <c r="E63" s="17"/>
      <c r="F63" s="17" t="s">
        <v>123</v>
      </c>
      <c r="H63" s="140" t="s">
        <v>588</v>
      </c>
      <c r="J63" s="17" t="s">
        <v>555</v>
      </c>
    </row>
    <row r="64" spans="1:13" x14ac:dyDescent="0.2">
      <c r="A64" s="9"/>
      <c r="B64" s="17" t="s">
        <v>496</v>
      </c>
      <c r="C64" s="17"/>
      <c r="D64" s="17"/>
      <c r="E64" s="17"/>
      <c r="F64" s="17" t="s">
        <v>121</v>
      </c>
      <c r="H64" s="140" t="e">
        <f>($H$62-H63)/365.25</f>
        <v>#VALUE!</v>
      </c>
      <c r="J64" s="17"/>
    </row>
    <row r="65" spans="1:12" x14ac:dyDescent="0.2">
      <c r="A65" s="9"/>
      <c r="B65" s="17" t="s">
        <v>507</v>
      </c>
      <c r="C65" s="17"/>
      <c r="D65" s="17"/>
      <c r="E65" s="17"/>
      <c r="F65" s="17" t="s">
        <v>123</v>
      </c>
      <c r="H65" s="140" t="s">
        <v>588</v>
      </c>
      <c r="J65" s="17" t="s">
        <v>555</v>
      </c>
    </row>
    <row r="66" spans="1:12" x14ac:dyDescent="0.2">
      <c r="A66" s="9"/>
      <c r="B66" s="17" t="s">
        <v>496</v>
      </c>
      <c r="C66" s="17"/>
      <c r="D66" s="17"/>
      <c r="E66" s="17"/>
      <c r="F66" s="17" t="s">
        <v>121</v>
      </c>
      <c r="H66" s="140" t="e">
        <f>($H$62-H65)/365.25</f>
        <v>#VALUE!</v>
      </c>
      <c r="J66" s="17"/>
    </row>
    <row r="67" spans="1:12" x14ac:dyDescent="0.2">
      <c r="A67" s="9"/>
      <c r="B67" s="17" t="s">
        <v>583</v>
      </c>
      <c r="C67" s="17"/>
      <c r="D67" s="17"/>
      <c r="E67" s="17"/>
      <c r="F67" s="17" t="s">
        <v>123</v>
      </c>
      <c r="H67" s="140" t="s">
        <v>588</v>
      </c>
      <c r="J67" s="17" t="s">
        <v>555</v>
      </c>
    </row>
    <row r="68" spans="1:12" x14ac:dyDescent="0.2">
      <c r="A68" s="9"/>
      <c r="B68" s="17" t="s">
        <v>496</v>
      </c>
      <c r="C68" s="17"/>
      <c r="D68" s="17"/>
      <c r="E68" s="17"/>
      <c r="F68" s="17" t="s">
        <v>121</v>
      </c>
      <c r="H68" s="140" t="e">
        <f>($H$62-H67)/365.25</f>
        <v>#VALUE!</v>
      </c>
      <c r="J68" s="17"/>
    </row>
    <row r="69" spans="1:12" x14ac:dyDescent="0.2">
      <c r="J69" s="17"/>
    </row>
    <row r="70" spans="1:12" x14ac:dyDescent="0.2">
      <c r="J70" s="17"/>
    </row>
    <row r="71" spans="1:12" x14ac:dyDescent="0.2">
      <c r="B71" s="1" t="s">
        <v>116</v>
      </c>
      <c r="J71" s="17"/>
    </row>
    <row r="72" spans="1:12" x14ac:dyDescent="0.2">
      <c r="J72" s="17"/>
      <c r="L72" s="73"/>
    </row>
    <row r="73" spans="1:12" x14ac:dyDescent="0.2">
      <c r="B73" s="4" t="s">
        <v>117</v>
      </c>
      <c r="J73" s="17"/>
      <c r="L73" s="73"/>
    </row>
    <row r="74" spans="1:12" x14ac:dyDescent="0.2">
      <c r="B74" s="74" t="s">
        <v>118</v>
      </c>
      <c r="J74" s="17"/>
    </row>
    <row r="75" spans="1:12" x14ac:dyDescent="0.2">
      <c r="B75" s="2" t="s">
        <v>119</v>
      </c>
      <c r="F75" s="2" t="s">
        <v>79</v>
      </c>
      <c r="H75" s="26">
        <v>773908</v>
      </c>
      <c r="J75" s="17" t="s">
        <v>554</v>
      </c>
    </row>
    <row r="76" spans="1:12" x14ac:dyDescent="0.2">
      <c r="B76" s="2" t="s">
        <v>120</v>
      </c>
      <c r="F76" s="2" t="s">
        <v>121</v>
      </c>
      <c r="H76" s="26">
        <v>9.25</v>
      </c>
      <c r="J76" s="17"/>
    </row>
    <row r="77" spans="1:12" x14ac:dyDescent="0.2">
      <c r="B77" s="2" t="s">
        <v>122</v>
      </c>
      <c r="F77" s="2" t="s">
        <v>123</v>
      </c>
      <c r="H77" s="75">
        <v>42491</v>
      </c>
      <c r="J77" s="17"/>
    </row>
    <row r="78" spans="1:12" x14ac:dyDescent="0.2">
      <c r="J78" s="17"/>
    </row>
    <row r="79" spans="1:12" x14ac:dyDescent="0.2">
      <c r="B79" s="74" t="s">
        <v>124</v>
      </c>
      <c r="J79" s="17"/>
    </row>
    <row r="80" spans="1:12" x14ac:dyDescent="0.2">
      <c r="B80" s="2" t="s">
        <v>119</v>
      </c>
      <c r="F80" s="2" t="s">
        <v>79</v>
      </c>
      <c r="H80" s="26">
        <v>59734</v>
      </c>
      <c r="J80" s="17" t="s">
        <v>554</v>
      </c>
    </row>
    <row r="81" spans="2:12" x14ac:dyDescent="0.2">
      <c r="B81" s="2" t="s">
        <v>120</v>
      </c>
      <c r="F81" s="2" t="s">
        <v>121</v>
      </c>
      <c r="H81" s="26">
        <v>5</v>
      </c>
      <c r="J81" s="17"/>
    </row>
    <row r="82" spans="2:12" x14ac:dyDescent="0.2">
      <c r="B82" s="2" t="s">
        <v>122</v>
      </c>
      <c r="F82" s="2" t="s">
        <v>123</v>
      </c>
      <c r="H82" s="75">
        <v>42538</v>
      </c>
      <c r="J82" s="17"/>
    </row>
    <row r="83" spans="2:12" x14ac:dyDescent="0.2">
      <c r="J83" s="17"/>
    </row>
    <row r="84" spans="2:12" x14ac:dyDescent="0.2">
      <c r="J84" s="17"/>
    </row>
    <row r="85" spans="2:12" x14ac:dyDescent="0.2">
      <c r="B85" s="4" t="s">
        <v>125</v>
      </c>
      <c r="J85" s="17"/>
    </row>
    <row r="86" spans="2:12" x14ac:dyDescent="0.2">
      <c r="B86" s="74" t="s">
        <v>124</v>
      </c>
      <c r="J86" s="17"/>
    </row>
    <row r="87" spans="2:12" x14ac:dyDescent="0.2">
      <c r="B87" s="2" t="s">
        <v>119</v>
      </c>
      <c r="F87" s="2" t="s">
        <v>79</v>
      </c>
      <c r="H87" s="26">
        <v>6000</v>
      </c>
      <c r="J87" s="17" t="s">
        <v>554</v>
      </c>
    </row>
    <row r="88" spans="2:12" x14ac:dyDescent="0.2">
      <c r="B88" s="2" t="s">
        <v>120</v>
      </c>
      <c r="F88" s="2" t="s">
        <v>121</v>
      </c>
      <c r="H88" s="26">
        <v>5</v>
      </c>
      <c r="J88" s="17"/>
    </row>
    <row r="89" spans="2:12" x14ac:dyDescent="0.2">
      <c r="B89" s="2" t="s">
        <v>122</v>
      </c>
      <c r="F89" s="2" t="s">
        <v>123</v>
      </c>
      <c r="H89" s="75">
        <v>42751</v>
      </c>
      <c r="J89" s="17"/>
    </row>
    <row r="90" spans="2:12" x14ac:dyDescent="0.2">
      <c r="J90" s="17"/>
    </row>
    <row r="91" spans="2:12" x14ac:dyDescent="0.2">
      <c r="B91" s="74" t="s">
        <v>124</v>
      </c>
      <c r="J91" s="17"/>
    </row>
    <row r="92" spans="2:12" x14ac:dyDescent="0.2">
      <c r="B92" s="2" t="s">
        <v>119</v>
      </c>
      <c r="F92" s="2" t="s">
        <v>79</v>
      </c>
      <c r="H92" s="76">
        <v>4000</v>
      </c>
      <c r="J92" s="17" t="s">
        <v>554</v>
      </c>
    </row>
    <row r="93" spans="2:12" x14ac:dyDescent="0.2">
      <c r="B93" s="2" t="s">
        <v>120</v>
      </c>
      <c r="F93" s="2" t="s">
        <v>121</v>
      </c>
      <c r="H93" s="76">
        <v>5</v>
      </c>
      <c r="J93" s="17"/>
      <c r="L93" s="39"/>
    </row>
    <row r="94" spans="2:12" x14ac:dyDescent="0.2">
      <c r="B94" s="2" t="s">
        <v>122</v>
      </c>
      <c r="F94" s="2" t="s">
        <v>123</v>
      </c>
      <c r="H94" s="75">
        <v>43050</v>
      </c>
      <c r="J94" s="17"/>
      <c r="L94" s="39"/>
    </row>
    <row r="95" spans="2:12" x14ac:dyDescent="0.2">
      <c r="J95" s="17"/>
      <c r="L95" s="39"/>
    </row>
    <row r="96" spans="2:12" x14ac:dyDescent="0.2">
      <c r="J96" s="17"/>
    </row>
    <row r="97" spans="2:12" x14ac:dyDescent="0.2">
      <c r="B97" s="4" t="s">
        <v>126</v>
      </c>
      <c r="J97" s="17"/>
    </row>
    <row r="98" spans="2:12" x14ac:dyDescent="0.2">
      <c r="B98" s="74" t="s">
        <v>127</v>
      </c>
      <c r="J98" s="17"/>
    </row>
    <row r="99" spans="2:12" x14ac:dyDescent="0.2">
      <c r="B99" s="2" t="s">
        <v>119</v>
      </c>
      <c r="F99" s="2" t="s">
        <v>79</v>
      </c>
      <c r="H99" s="26">
        <v>7636</v>
      </c>
      <c r="J99" s="17" t="s">
        <v>554</v>
      </c>
    </row>
    <row r="100" spans="2:12" x14ac:dyDescent="0.2">
      <c r="B100" s="2" t="s">
        <v>120</v>
      </c>
      <c r="F100" s="2" t="s">
        <v>121</v>
      </c>
      <c r="H100" s="26">
        <v>4</v>
      </c>
      <c r="J100" s="17"/>
    </row>
    <row r="101" spans="2:12" x14ac:dyDescent="0.2">
      <c r="B101" s="2" t="s">
        <v>122</v>
      </c>
      <c r="F101" s="2" t="s">
        <v>123</v>
      </c>
      <c r="H101" s="75">
        <v>43451</v>
      </c>
      <c r="J101" s="17"/>
    </row>
    <row r="102" spans="2:12" x14ac:dyDescent="0.2">
      <c r="J102" s="17"/>
    </row>
    <row r="103" spans="2:12" x14ac:dyDescent="0.2">
      <c r="J103" s="17"/>
    </row>
    <row r="104" spans="2:12" x14ac:dyDescent="0.2">
      <c r="B104" s="4" t="s">
        <v>128</v>
      </c>
      <c r="J104" s="17"/>
    </row>
    <row r="105" spans="2:12" x14ac:dyDescent="0.2">
      <c r="B105" s="74" t="s">
        <v>129</v>
      </c>
      <c r="J105" s="17"/>
    </row>
    <row r="106" spans="2:12" x14ac:dyDescent="0.2">
      <c r="B106" s="2" t="s">
        <v>119</v>
      </c>
      <c r="F106" s="2" t="s">
        <v>79</v>
      </c>
      <c r="H106" s="26">
        <v>12195</v>
      </c>
      <c r="J106" s="17" t="s">
        <v>554</v>
      </c>
      <c r="L106" s="21"/>
    </row>
    <row r="107" spans="2:12" x14ac:dyDescent="0.2">
      <c r="B107" s="2" t="s">
        <v>120</v>
      </c>
      <c r="F107" s="2" t="s">
        <v>121</v>
      </c>
      <c r="H107" s="26">
        <v>4</v>
      </c>
      <c r="J107" s="17"/>
    </row>
    <row r="108" spans="2:12" x14ac:dyDescent="0.2">
      <c r="B108" s="2" t="s">
        <v>122</v>
      </c>
      <c r="F108" s="2" t="s">
        <v>123</v>
      </c>
      <c r="H108" s="75">
        <v>43647</v>
      </c>
      <c r="J108" s="17"/>
    </row>
    <row r="109" spans="2:12" x14ac:dyDescent="0.2">
      <c r="J109" s="17"/>
    </row>
    <row r="110" spans="2:12" x14ac:dyDescent="0.2">
      <c r="J110" s="17"/>
    </row>
    <row r="111" spans="2:12" x14ac:dyDescent="0.2">
      <c r="B111" s="4" t="s">
        <v>130</v>
      </c>
      <c r="J111" s="17"/>
    </row>
    <row r="112" spans="2:12" x14ac:dyDescent="0.2">
      <c r="B112" s="74" t="s">
        <v>129</v>
      </c>
      <c r="J112" s="17"/>
    </row>
    <row r="113" spans="2:28" x14ac:dyDescent="0.2">
      <c r="B113" s="2" t="s">
        <v>119</v>
      </c>
      <c r="F113" s="2" t="s">
        <v>79</v>
      </c>
      <c r="H113" s="26">
        <v>4379</v>
      </c>
      <c r="J113" s="17" t="s">
        <v>554</v>
      </c>
    </row>
    <row r="114" spans="2:28" x14ac:dyDescent="0.2">
      <c r="B114" s="2" t="s">
        <v>120</v>
      </c>
      <c r="F114" s="2" t="s">
        <v>121</v>
      </c>
      <c r="H114" s="26">
        <v>4</v>
      </c>
      <c r="J114" s="17"/>
    </row>
    <row r="115" spans="2:28" x14ac:dyDescent="0.2">
      <c r="B115" s="2" t="s">
        <v>122</v>
      </c>
      <c r="F115" s="2" t="s">
        <v>123</v>
      </c>
      <c r="H115" s="75">
        <v>43921</v>
      </c>
      <c r="J115" s="17"/>
    </row>
    <row r="116" spans="2:28" x14ac:dyDescent="0.2">
      <c r="J116" s="17"/>
    </row>
    <row r="117" spans="2:28" x14ac:dyDescent="0.2">
      <c r="J117" s="17"/>
    </row>
    <row r="118" spans="2:28" x14ac:dyDescent="0.2">
      <c r="B118" s="4" t="s">
        <v>131</v>
      </c>
      <c r="J118" s="17"/>
    </row>
    <row r="119" spans="2:28" x14ac:dyDescent="0.2">
      <c r="J119" s="17"/>
    </row>
    <row r="120" spans="2:28" x14ac:dyDescent="0.2">
      <c r="J120" s="17"/>
    </row>
    <row r="121" spans="2:28" x14ac:dyDescent="0.2">
      <c r="B121" s="4" t="s">
        <v>132</v>
      </c>
      <c r="J121" s="17"/>
    </row>
    <row r="122" spans="2:28" x14ac:dyDescent="0.2">
      <c r="B122" s="4"/>
      <c r="J122" s="17"/>
    </row>
    <row r="123" spans="2:28" x14ac:dyDescent="0.2">
      <c r="J123" s="17"/>
    </row>
    <row r="124" spans="2:28" x14ac:dyDescent="0.2">
      <c r="B124" s="4" t="s">
        <v>286</v>
      </c>
      <c r="J124" s="17" t="s">
        <v>287</v>
      </c>
    </row>
    <row r="125" spans="2:28" x14ac:dyDescent="0.2">
      <c r="J125" s="17"/>
    </row>
    <row r="126" spans="2:28" x14ac:dyDescent="0.2">
      <c r="J126" s="17"/>
    </row>
    <row r="127" spans="2:28" x14ac:dyDescent="0.2">
      <c r="B127" s="1" t="s">
        <v>133</v>
      </c>
      <c r="J127" s="17"/>
      <c r="M127" s="15"/>
      <c r="AB127" s="77"/>
    </row>
    <row r="128" spans="2:28" x14ac:dyDescent="0.2">
      <c r="J128" s="17"/>
      <c r="M128" s="15"/>
      <c r="AB128" s="77"/>
    </row>
    <row r="129" spans="1:28" s="49" customFormat="1" x14ac:dyDescent="0.2">
      <c r="A129" s="9"/>
      <c r="B129" s="49" t="s">
        <v>134</v>
      </c>
      <c r="F129" s="49" t="s">
        <v>79</v>
      </c>
      <c r="G129" s="2"/>
      <c r="H129" s="140" t="s">
        <v>588</v>
      </c>
      <c r="J129" s="17" t="s">
        <v>554</v>
      </c>
      <c r="L129" s="21"/>
      <c r="M129" s="15"/>
      <c r="Q129" s="78"/>
      <c r="AB129" s="79"/>
    </row>
    <row r="130" spans="1:28" s="49" customFormat="1" x14ac:dyDescent="0.2">
      <c r="A130" s="9"/>
      <c r="B130" s="49" t="s">
        <v>120</v>
      </c>
      <c r="F130" s="49" t="s">
        <v>121</v>
      </c>
      <c r="H130" s="140" t="s">
        <v>588</v>
      </c>
      <c r="J130" s="17"/>
      <c r="M130" s="15"/>
      <c r="Q130" s="2"/>
      <c r="AB130" s="79"/>
    </row>
    <row r="131" spans="1:28" s="49" customFormat="1" x14ac:dyDescent="0.2">
      <c r="A131" s="9"/>
      <c r="B131" s="49" t="s">
        <v>122</v>
      </c>
      <c r="F131" s="49" t="s">
        <v>123</v>
      </c>
      <c r="H131" s="140" t="s">
        <v>588</v>
      </c>
      <c r="J131" s="17"/>
      <c r="M131" s="15"/>
      <c r="Q131" s="2"/>
      <c r="AB131" s="79"/>
    </row>
    <row r="132" spans="1:28" s="49" customFormat="1" x14ac:dyDescent="0.2">
      <c r="A132" s="118"/>
      <c r="G132" s="2"/>
      <c r="J132" s="17"/>
      <c r="M132" s="15"/>
      <c r="AB132" s="79"/>
    </row>
    <row r="133" spans="1:28" s="49" customFormat="1" x14ac:dyDescent="0.2">
      <c r="A133" s="118"/>
      <c r="B133" s="2" t="s">
        <v>135</v>
      </c>
      <c r="C133" s="2"/>
      <c r="D133" s="2"/>
      <c r="E133" s="2"/>
      <c r="F133" s="49" t="s">
        <v>79</v>
      </c>
      <c r="G133" s="2"/>
      <c r="H133" s="140" t="s">
        <v>588</v>
      </c>
      <c r="J133" s="17" t="s">
        <v>554</v>
      </c>
      <c r="M133" s="15"/>
      <c r="Q133" s="2"/>
      <c r="AB133" s="79"/>
    </row>
    <row r="134" spans="1:28" s="49" customFormat="1" x14ac:dyDescent="0.2">
      <c r="A134" s="118"/>
      <c r="B134" s="49" t="s">
        <v>120</v>
      </c>
      <c r="F134" s="49" t="s">
        <v>121</v>
      </c>
      <c r="H134" s="140" t="s">
        <v>588</v>
      </c>
      <c r="J134" s="17"/>
      <c r="L134" s="71"/>
      <c r="M134" s="15"/>
      <c r="AB134" s="79"/>
    </row>
    <row r="135" spans="1:28" s="49" customFormat="1" x14ac:dyDescent="0.2">
      <c r="A135" s="118"/>
      <c r="B135" s="49" t="s">
        <v>122</v>
      </c>
      <c r="F135" s="49" t="s">
        <v>123</v>
      </c>
      <c r="H135" s="140" t="s">
        <v>588</v>
      </c>
      <c r="J135" s="17"/>
      <c r="M135" s="15"/>
      <c r="Q135" s="2"/>
      <c r="AB135" s="79"/>
    </row>
    <row r="136" spans="1:28" s="49" customFormat="1" x14ac:dyDescent="0.2">
      <c r="A136" s="118"/>
      <c r="H136" s="125"/>
      <c r="J136" s="17"/>
      <c r="M136" s="15"/>
      <c r="Q136" s="2"/>
      <c r="AB136" s="79"/>
    </row>
    <row r="137" spans="1:28" x14ac:dyDescent="0.2">
      <c r="A137" s="9"/>
      <c r="B137" s="17" t="s">
        <v>500</v>
      </c>
      <c r="C137" s="17"/>
      <c r="D137" s="17"/>
      <c r="E137" s="17"/>
      <c r="F137" s="17" t="s">
        <v>123</v>
      </c>
      <c r="H137" s="140" t="e">
        <f>H135+(H134*365.25)</f>
        <v>#VALUE!</v>
      </c>
      <c r="J137" s="17"/>
    </row>
    <row r="138" spans="1:28" x14ac:dyDescent="0.2">
      <c r="A138" s="9"/>
      <c r="B138" s="17" t="s">
        <v>495</v>
      </c>
      <c r="C138" s="17"/>
      <c r="D138" s="17"/>
      <c r="E138" s="17"/>
      <c r="F138" s="17" t="s">
        <v>123</v>
      </c>
      <c r="H138" s="140" t="s">
        <v>588</v>
      </c>
      <c r="J138" s="17" t="s">
        <v>555</v>
      </c>
    </row>
    <row r="139" spans="1:28" x14ac:dyDescent="0.2">
      <c r="A139" s="9"/>
      <c r="B139" s="17" t="s">
        <v>496</v>
      </c>
      <c r="C139" s="17"/>
      <c r="D139" s="17"/>
      <c r="E139" s="17"/>
      <c r="F139" s="17" t="s">
        <v>121</v>
      </c>
      <c r="H139" s="140" t="e">
        <f>($H$137-H138)/365.25</f>
        <v>#VALUE!</v>
      </c>
    </row>
    <row r="140" spans="1:28" x14ac:dyDescent="0.2">
      <c r="A140" s="9"/>
      <c r="B140" s="17" t="s">
        <v>497</v>
      </c>
      <c r="C140" s="17"/>
      <c r="D140" s="17"/>
      <c r="E140" s="17"/>
      <c r="F140" s="17" t="s">
        <v>123</v>
      </c>
      <c r="H140" s="140" t="s">
        <v>588</v>
      </c>
      <c r="J140" s="17" t="s">
        <v>555</v>
      </c>
    </row>
    <row r="141" spans="1:28" x14ac:dyDescent="0.2">
      <c r="A141" s="9"/>
      <c r="B141" s="17" t="s">
        <v>496</v>
      </c>
      <c r="C141" s="17"/>
      <c r="D141" s="17"/>
      <c r="E141" s="17"/>
      <c r="F141" s="17" t="s">
        <v>121</v>
      </c>
      <c r="H141" s="140" t="e">
        <f>($H$137-H140)/365.25</f>
        <v>#VALUE!</v>
      </c>
    </row>
    <row r="142" spans="1:28" x14ac:dyDescent="0.2">
      <c r="A142" s="9"/>
      <c r="B142" s="17" t="s">
        <v>498</v>
      </c>
      <c r="C142" s="17"/>
      <c r="D142" s="17"/>
      <c r="E142" s="17"/>
      <c r="F142" s="17" t="s">
        <v>123</v>
      </c>
      <c r="H142" s="140" t="s">
        <v>588</v>
      </c>
      <c r="J142" s="17" t="s">
        <v>555</v>
      </c>
    </row>
    <row r="143" spans="1:28" x14ac:dyDescent="0.2">
      <c r="A143" s="9"/>
      <c r="B143" s="17" t="s">
        <v>496</v>
      </c>
      <c r="C143" s="17"/>
      <c r="D143" s="17"/>
      <c r="E143" s="17"/>
      <c r="F143" s="17" t="s">
        <v>121</v>
      </c>
      <c r="H143" s="140" t="e">
        <f>($H$137-H142)/365.25</f>
        <v>#VALUE!</v>
      </c>
    </row>
    <row r="146" spans="1:10" x14ac:dyDescent="0.2">
      <c r="B146" s="1" t="s">
        <v>329</v>
      </c>
    </row>
    <row r="148" spans="1:10" x14ac:dyDescent="0.2">
      <c r="A148" s="9"/>
      <c r="B148" s="2" t="s">
        <v>170</v>
      </c>
      <c r="F148" s="2" t="s">
        <v>79</v>
      </c>
      <c r="H148" s="140" t="s">
        <v>588</v>
      </c>
      <c r="J148" s="2" t="s">
        <v>287</v>
      </c>
    </row>
    <row r="149" spans="1:10" x14ac:dyDescent="0.2">
      <c r="A149" s="9"/>
      <c r="B149" s="2" t="s">
        <v>120</v>
      </c>
      <c r="F149" s="2" t="s">
        <v>121</v>
      </c>
      <c r="H149" s="140" t="s">
        <v>588</v>
      </c>
    </row>
    <row r="150" spans="1:10" x14ac:dyDescent="0.2">
      <c r="A150" s="9"/>
      <c r="B150" s="2" t="s">
        <v>122</v>
      </c>
      <c r="F150" s="2" t="s">
        <v>123</v>
      </c>
      <c r="H150" s="140" t="s">
        <v>588</v>
      </c>
    </row>
    <row r="151" spans="1:10" x14ac:dyDescent="0.2">
      <c r="A151" s="9"/>
      <c r="B151" s="2" t="s">
        <v>171</v>
      </c>
      <c r="F151" s="2" t="s">
        <v>76</v>
      </c>
      <c r="H151" s="111">
        <v>0.5</v>
      </c>
      <c r="J151" s="77"/>
    </row>
    <row r="152" spans="1:10" x14ac:dyDescent="0.2">
      <c r="A152" s="9"/>
    </row>
    <row r="153" spans="1:10" x14ac:dyDescent="0.2">
      <c r="A153" s="9"/>
      <c r="B153" s="2" t="s">
        <v>172</v>
      </c>
      <c r="F153" s="2" t="s">
        <v>79</v>
      </c>
      <c r="H153" s="140" t="s">
        <v>588</v>
      </c>
      <c r="J153" s="2" t="s">
        <v>287</v>
      </c>
    </row>
    <row r="154" spans="1:10" x14ac:dyDescent="0.2">
      <c r="A154" s="9"/>
      <c r="B154" s="2" t="s">
        <v>120</v>
      </c>
      <c r="F154" s="2" t="s">
        <v>121</v>
      </c>
      <c r="H154" s="140" t="s">
        <v>588</v>
      </c>
    </row>
    <row r="155" spans="1:10" x14ac:dyDescent="0.2">
      <c r="A155" s="9"/>
      <c r="B155" s="2" t="s">
        <v>122</v>
      </c>
      <c r="F155" s="2" t="s">
        <v>123</v>
      </c>
      <c r="H155" s="140" t="s">
        <v>588</v>
      </c>
    </row>
    <row r="156" spans="1:10" x14ac:dyDescent="0.2">
      <c r="A156" s="9"/>
      <c r="B156" s="2" t="s">
        <v>171</v>
      </c>
      <c r="F156" s="2" t="s">
        <v>76</v>
      </c>
      <c r="H156" s="111">
        <v>0.5</v>
      </c>
      <c r="J156" s="77"/>
    </row>
    <row r="157" spans="1:10" x14ac:dyDescent="0.2">
      <c r="A157" s="9"/>
    </row>
    <row r="158" spans="1:10" x14ac:dyDescent="0.2">
      <c r="A158" s="9"/>
    </row>
    <row r="159" spans="1:10" x14ac:dyDescent="0.2">
      <c r="A159" s="9"/>
      <c r="B159" s="1" t="s">
        <v>289</v>
      </c>
    </row>
    <row r="160" spans="1:10" x14ac:dyDescent="0.2">
      <c r="A160" s="9"/>
    </row>
    <row r="161" spans="1:10" x14ac:dyDescent="0.2">
      <c r="A161" s="9"/>
      <c r="B161" s="2" t="s">
        <v>288</v>
      </c>
      <c r="F161" s="2" t="s">
        <v>79</v>
      </c>
      <c r="H161" s="140" t="s">
        <v>588</v>
      </c>
      <c r="J161" s="2" t="s">
        <v>287</v>
      </c>
    </row>
    <row r="162" spans="1:10" x14ac:dyDescent="0.2">
      <c r="A162" s="9"/>
      <c r="B162" s="2" t="s">
        <v>120</v>
      </c>
      <c r="F162" s="112" t="s">
        <v>121</v>
      </c>
      <c r="H162" s="140" t="s">
        <v>588</v>
      </c>
    </row>
    <row r="163" spans="1:10" x14ac:dyDescent="0.2">
      <c r="A163" s="9"/>
      <c r="B163" s="2" t="s">
        <v>290</v>
      </c>
      <c r="F163" s="2" t="s">
        <v>123</v>
      </c>
      <c r="H163" s="140" t="s">
        <v>588</v>
      </c>
    </row>
    <row r="166" spans="1:10" x14ac:dyDescent="0.2">
      <c r="B166" s="4" t="s">
        <v>60</v>
      </c>
    </row>
  </sheetData>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646108-C7A8-415D-A5D0-EC80C323CD03}">
  <sheetPr>
    <tabColor rgb="FFE1FFE1"/>
  </sheetPr>
  <dimension ref="A2:KF51"/>
  <sheetViews>
    <sheetView showGridLines="0" zoomScale="85" zoomScaleNormal="85" workbookViewId="0">
      <pane xSplit="6" ySplit="13" topLeftCell="G14"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41.42578125" style="2" customWidth="1"/>
    <col min="3" max="3" width="4.7109375" style="2" customWidth="1"/>
    <col min="4" max="5" width="4.5703125" style="2" customWidth="1"/>
    <col min="6" max="6" width="13.7109375" style="2" customWidth="1"/>
    <col min="7" max="7" width="2.7109375" style="2" customWidth="1"/>
    <col min="8" max="8" width="12.140625" style="2" customWidth="1"/>
    <col min="9" max="9" width="2.7109375" style="2" customWidth="1"/>
    <col min="10" max="10" width="12.140625" style="2" customWidth="1"/>
    <col min="11" max="11" width="2.7109375" style="2" customWidth="1"/>
    <col min="12" max="12" width="9" style="2" customWidth="1"/>
    <col min="13" max="13" width="2.7109375" style="2" customWidth="1"/>
    <col min="14" max="25" width="11.5703125" style="2" customWidth="1"/>
    <col min="26" max="26" width="3.85546875" style="2" customWidth="1"/>
    <col min="27" max="27" width="38.7109375" style="2" customWidth="1"/>
    <col min="28" max="28" width="3.28515625" style="2" customWidth="1"/>
    <col min="29" max="16384" width="9.140625" style="2"/>
  </cols>
  <sheetData>
    <row r="2" spans="1:267" s="14" customFormat="1" ht="18" x14ac:dyDescent="0.2">
      <c r="B2" s="14" t="s">
        <v>291</v>
      </c>
    </row>
    <row r="4" spans="1:267" x14ac:dyDescent="0.2">
      <c r="B4" s="22" t="s">
        <v>87</v>
      </c>
      <c r="C4" s="1"/>
      <c r="D4" s="1"/>
    </row>
    <row r="5" spans="1:267" x14ac:dyDescent="0.2">
      <c r="B5" s="2" t="s">
        <v>292</v>
      </c>
      <c r="H5" s="15"/>
    </row>
    <row r="6" spans="1:267" x14ac:dyDescent="0.2">
      <c r="H6" s="15"/>
    </row>
    <row r="7" spans="1:267" x14ac:dyDescent="0.2">
      <c r="B7" s="23" t="s">
        <v>89</v>
      </c>
      <c r="H7" s="15"/>
    </row>
    <row r="8" spans="1:267" x14ac:dyDescent="0.2">
      <c r="B8" s="4" t="s">
        <v>136</v>
      </c>
    </row>
    <row r="9" spans="1:267" x14ac:dyDescent="0.2">
      <c r="B9" s="4" t="s">
        <v>137</v>
      </c>
    </row>
    <row r="10" spans="1:267" x14ac:dyDescent="0.2">
      <c r="B10" s="4"/>
    </row>
    <row r="12" spans="1:267" customFormat="1" ht="25.5" x14ac:dyDescent="0.2">
      <c r="A12" s="8"/>
      <c r="B12" s="8" t="s">
        <v>12</v>
      </c>
      <c r="C12" s="8"/>
      <c r="D12" s="8"/>
      <c r="E12" s="8"/>
      <c r="F12" s="8" t="s">
        <v>33</v>
      </c>
      <c r="G12" s="8"/>
      <c r="H12" s="8" t="s">
        <v>34</v>
      </c>
      <c r="I12" s="8"/>
      <c r="J12" s="8" t="s">
        <v>35</v>
      </c>
      <c r="K12" s="8"/>
      <c r="L12" s="38" t="s">
        <v>138</v>
      </c>
      <c r="M12" s="8"/>
      <c r="N12" s="81" t="s">
        <v>293</v>
      </c>
      <c r="O12" s="81" t="s">
        <v>294</v>
      </c>
      <c r="P12" s="81" t="s">
        <v>295</v>
      </c>
      <c r="Q12" s="81" t="s">
        <v>296</v>
      </c>
      <c r="R12" s="81" t="s">
        <v>297</v>
      </c>
      <c r="S12" s="81" t="s">
        <v>298</v>
      </c>
      <c r="T12" s="81" t="s">
        <v>299</v>
      </c>
      <c r="U12" s="81" t="s">
        <v>300</v>
      </c>
      <c r="V12" s="81" t="s">
        <v>301</v>
      </c>
      <c r="W12" s="81" t="s">
        <v>302</v>
      </c>
      <c r="X12" s="81" t="s">
        <v>303</v>
      </c>
      <c r="Y12" s="81" t="s">
        <v>304</v>
      </c>
      <c r="Z12" s="8"/>
      <c r="AA12" s="8" t="s">
        <v>37</v>
      </c>
      <c r="AB12" s="8"/>
      <c r="AC12" s="8" t="s">
        <v>36</v>
      </c>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row>
    <row r="15" spans="1:267" customFormat="1" x14ac:dyDescent="0.2">
      <c r="A15" s="8"/>
      <c r="B15" s="8" t="s">
        <v>305</v>
      </c>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row>
    <row r="16" spans="1:267" customFormat="1" x14ac:dyDescent="0.2">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row>
    <row r="17" spans="1:292" customFormat="1" x14ac:dyDescent="0.2">
      <c r="A17" s="9"/>
      <c r="B17" s="1" t="s">
        <v>139</v>
      </c>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row>
    <row r="18" spans="1:292" customFormat="1" x14ac:dyDescent="0.2">
      <c r="A18" s="9"/>
      <c r="B18" s="2" t="s">
        <v>140</v>
      </c>
      <c r="C18" s="2"/>
      <c r="D18" s="2"/>
      <c r="E18" s="2"/>
      <c r="F18" s="2" t="s">
        <v>84</v>
      </c>
      <c r="G18" s="2"/>
      <c r="H18" s="2"/>
      <c r="I18" s="2"/>
      <c r="J18" s="2"/>
      <c r="K18" s="2"/>
      <c r="L18" s="2"/>
      <c r="M18" s="2"/>
      <c r="N18" s="140" t="s">
        <v>588</v>
      </c>
      <c r="O18" s="140" t="s">
        <v>588</v>
      </c>
      <c r="P18" s="140" t="s">
        <v>588</v>
      </c>
      <c r="Q18" s="140" t="s">
        <v>588</v>
      </c>
      <c r="R18" s="140" t="s">
        <v>588</v>
      </c>
      <c r="S18" s="140" t="s">
        <v>588</v>
      </c>
      <c r="T18" s="140" t="s">
        <v>588</v>
      </c>
      <c r="U18" s="140" t="s">
        <v>588</v>
      </c>
      <c r="V18" s="140" t="s">
        <v>588</v>
      </c>
      <c r="W18" s="140" t="s">
        <v>588</v>
      </c>
      <c r="X18" s="140" t="s">
        <v>588</v>
      </c>
      <c r="Y18" s="140" t="s">
        <v>588</v>
      </c>
      <c r="Z18" s="2"/>
      <c r="AA18" s="2" t="s">
        <v>557</v>
      </c>
      <c r="AB18" s="2"/>
      <c r="AC18" s="21"/>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row>
    <row r="19" spans="1:292" customFormat="1" x14ac:dyDescent="0.2">
      <c r="A19" s="9"/>
      <c r="B19" s="2" t="s">
        <v>141</v>
      </c>
      <c r="C19" s="2"/>
      <c r="D19" s="2"/>
      <c r="E19" s="2"/>
      <c r="F19" s="2" t="s">
        <v>142</v>
      </c>
      <c r="G19" s="2"/>
      <c r="H19" s="2"/>
      <c r="I19" s="2"/>
      <c r="J19" s="2"/>
      <c r="K19" s="2"/>
      <c r="L19" s="2"/>
      <c r="M19" s="2"/>
      <c r="N19" s="140" t="s">
        <v>588</v>
      </c>
      <c r="O19" s="140" t="s">
        <v>588</v>
      </c>
      <c r="P19" s="140" t="s">
        <v>588</v>
      </c>
      <c r="Q19" s="140" t="s">
        <v>588</v>
      </c>
      <c r="R19" s="140" t="s">
        <v>588</v>
      </c>
      <c r="S19" s="140" t="s">
        <v>588</v>
      </c>
      <c r="T19" s="140" t="s">
        <v>588</v>
      </c>
      <c r="U19" s="140" t="s">
        <v>588</v>
      </c>
      <c r="V19" s="140" t="s">
        <v>588</v>
      </c>
      <c r="W19" s="140" t="s">
        <v>588</v>
      </c>
      <c r="X19" s="140" t="s">
        <v>588</v>
      </c>
      <c r="Y19" s="140" t="s">
        <v>588</v>
      </c>
      <c r="Z19" s="2"/>
      <c r="AA19" s="2" t="s">
        <v>558</v>
      </c>
      <c r="AB19" s="2"/>
      <c r="AC19" s="21"/>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row>
    <row r="20" spans="1:292" customFormat="1" x14ac:dyDescent="0.2">
      <c r="A20" s="2"/>
      <c r="B20" s="2"/>
      <c r="C20" s="2"/>
      <c r="D20" s="2"/>
      <c r="E20" s="2"/>
      <c r="F20" s="2"/>
      <c r="G20" s="2"/>
      <c r="H20" s="2"/>
      <c r="I20" s="2"/>
      <c r="J20" s="2"/>
      <c r="K20" s="2"/>
      <c r="L20" s="2"/>
      <c r="M20" s="2"/>
      <c r="N20" s="72"/>
      <c r="O20" s="72"/>
      <c r="P20" s="72"/>
      <c r="Q20" s="72"/>
      <c r="R20" s="72"/>
      <c r="S20" s="72"/>
      <c r="T20" s="72"/>
      <c r="U20" s="72"/>
      <c r="V20" s="72"/>
      <c r="W20" s="72"/>
      <c r="X20" s="72"/>
      <c r="Y20" s="7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row>
    <row r="21" spans="1:292" customFormat="1" x14ac:dyDescent="0.2">
      <c r="A21" s="2"/>
      <c r="B21" s="22" t="s">
        <v>143</v>
      </c>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row>
    <row r="22" spans="1:292" customFormat="1" x14ac:dyDescent="0.2">
      <c r="A22" s="2"/>
      <c r="B22" s="2" t="s">
        <v>144</v>
      </c>
      <c r="C22" s="2"/>
      <c r="D22" s="2"/>
      <c r="E22" s="2"/>
      <c r="F22" s="2" t="s">
        <v>67</v>
      </c>
      <c r="G22" s="2"/>
      <c r="H22" s="2"/>
      <c r="I22" s="2"/>
      <c r="J22" s="30">
        <f>SUM(N22:Y22)</f>
        <v>122237790</v>
      </c>
      <c r="K22" s="2"/>
      <c r="L22" s="2"/>
      <c r="M22" s="2"/>
      <c r="N22" s="26">
        <v>9235870</v>
      </c>
      <c r="O22" s="26">
        <v>7905090</v>
      </c>
      <c r="P22" s="26">
        <v>9005080</v>
      </c>
      <c r="Q22" s="26">
        <v>9155290</v>
      </c>
      <c r="R22" s="26">
        <v>9433690</v>
      </c>
      <c r="S22" s="26">
        <v>10120610</v>
      </c>
      <c r="T22" s="26">
        <v>9985660</v>
      </c>
      <c r="U22" s="26">
        <v>11323240</v>
      </c>
      <c r="V22" s="26">
        <v>11376690</v>
      </c>
      <c r="W22" s="26">
        <v>12907760</v>
      </c>
      <c r="X22" s="26">
        <v>11063900</v>
      </c>
      <c r="Y22" s="26">
        <v>10724910</v>
      </c>
      <c r="Z22" s="2"/>
      <c r="AA22" s="2" t="s">
        <v>559</v>
      </c>
      <c r="AB22" s="2"/>
      <c r="AC22" s="2" t="s">
        <v>145</v>
      </c>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row>
    <row r="23" spans="1:292" customFormat="1" x14ac:dyDescent="0.2">
      <c r="A23" s="2"/>
      <c r="B23" s="2" t="s">
        <v>146</v>
      </c>
      <c r="C23" s="2"/>
      <c r="D23" s="2"/>
      <c r="E23" s="2"/>
      <c r="F23" s="2" t="s">
        <v>67</v>
      </c>
      <c r="G23" s="2"/>
      <c r="H23" s="2"/>
      <c r="I23" s="2"/>
      <c r="J23" s="30">
        <f>SUM(N23:Y23)</f>
        <v>29185560</v>
      </c>
      <c r="K23" s="2"/>
      <c r="L23" s="2"/>
      <c r="M23" s="2"/>
      <c r="N23" s="26">
        <v>1469820</v>
      </c>
      <c r="O23" s="26">
        <v>1933760</v>
      </c>
      <c r="P23" s="26">
        <v>2308120</v>
      </c>
      <c r="Q23" s="26">
        <v>2141190</v>
      </c>
      <c r="R23" s="26">
        <v>3419960</v>
      </c>
      <c r="S23" s="26">
        <v>3111730</v>
      </c>
      <c r="T23" s="26">
        <v>3160490.0000000005</v>
      </c>
      <c r="U23" s="26">
        <v>2806990</v>
      </c>
      <c r="V23" s="26">
        <v>2855720</v>
      </c>
      <c r="W23" s="26">
        <v>1744400</v>
      </c>
      <c r="X23" s="26">
        <v>2024699.9999999998</v>
      </c>
      <c r="Y23" s="26">
        <v>2208680.0000000005</v>
      </c>
      <c r="Z23" s="2"/>
      <c r="AA23" s="2" t="s">
        <v>560</v>
      </c>
      <c r="AB23" s="2"/>
      <c r="AC23" s="2" t="s">
        <v>306</v>
      </c>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row>
    <row r="24" spans="1:292" customForma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1"/>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row>
    <row r="25" spans="1:292" customFormat="1" x14ac:dyDescent="0.2">
      <c r="A25" s="2"/>
      <c r="B25" s="2" t="s">
        <v>147</v>
      </c>
      <c r="C25" s="2"/>
      <c r="D25" s="2"/>
      <c r="E25" s="2"/>
      <c r="F25" s="2" t="s">
        <v>67</v>
      </c>
      <c r="G25" s="2"/>
      <c r="H25" s="2"/>
      <c r="I25" s="2"/>
      <c r="J25" s="30">
        <f>SUM(N25:Y25)</f>
        <v>151423350</v>
      </c>
      <c r="K25" s="2"/>
      <c r="L25" s="2"/>
      <c r="M25" s="2"/>
      <c r="N25" s="82">
        <f t="shared" ref="N25:Y25" si="0">N22+N23</f>
        <v>10705690</v>
      </c>
      <c r="O25" s="82">
        <f t="shared" si="0"/>
        <v>9838850</v>
      </c>
      <c r="P25" s="82">
        <f t="shared" si="0"/>
        <v>11313200</v>
      </c>
      <c r="Q25" s="82">
        <f t="shared" si="0"/>
        <v>11296480</v>
      </c>
      <c r="R25" s="82">
        <f t="shared" si="0"/>
        <v>12853650</v>
      </c>
      <c r="S25" s="82">
        <f t="shared" si="0"/>
        <v>13232340</v>
      </c>
      <c r="T25" s="82">
        <f t="shared" si="0"/>
        <v>13146150</v>
      </c>
      <c r="U25" s="82">
        <f t="shared" si="0"/>
        <v>14130230</v>
      </c>
      <c r="V25" s="82">
        <f t="shared" si="0"/>
        <v>14232410</v>
      </c>
      <c r="W25" s="82">
        <f t="shared" si="0"/>
        <v>14652160</v>
      </c>
      <c r="X25" s="82">
        <f t="shared" si="0"/>
        <v>13088600</v>
      </c>
      <c r="Y25" s="82">
        <f t="shared" si="0"/>
        <v>12933590</v>
      </c>
      <c r="Z25" s="2"/>
      <c r="AA25" s="2"/>
      <c r="AB25" s="2"/>
      <c r="AC25" s="21"/>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row>
    <row r="26" spans="1:292" customFormat="1" x14ac:dyDescent="0.2">
      <c r="A26" s="2"/>
      <c r="B26" s="2"/>
      <c r="C26" s="2"/>
      <c r="D26" s="2"/>
      <c r="E26" s="2"/>
      <c r="F26" s="2"/>
      <c r="G26" s="2"/>
      <c r="H26" s="2"/>
      <c r="I26" s="2"/>
      <c r="J26" s="2"/>
      <c r="K26" s="2"/>
      <c r="L26" s="2"/>
      <c r="M26" s="2"/>
      <c r="N26" s="72"/>
      <c r="O26" s="72"/>
      <c r="P26" s="72"/>
      <c r="Q26" s="72"/>
      <c r="R26" s="72"/>
      <c r="S26" s="72"/>
      <c r="T26" s="72"/>
      <c r="U26" s="72"/>
      <c r="V26" s="72"/>
      <c r="W26" s="72"/>
      <c r="X26" s="72"/>
      <c r="Y26" s="7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row>
    <row r="27" spans="1:292" x14ac:dyDescent="0.2">
      <c r="H27" s="39"/>
      <c r="N27" s="83"/>
      <c r="O27" s="83"/>
      <c r="P27" s="83"/>
      <c r="Q27" s="83"/>
      <c r="R27" s="83"/>
      <c r="S27" s="83"/>
      <c r="T27" s="83"/>
      <c r="U27" s="83"/>
      <c r="V27" s="83"/>
      <c r="W27" s="83"/>
      <c r="X27" s="83"/>
      <c r="Y27" s="83"/>
    </row>
    <row r="28" spans="1:292" customFormat="1" x14ac:dyDescent="0.2">
      <c r="A28" s="8"/>
      <c r="B28" s="8" t="s">
        <v>307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c r="KE28" s="8"/>
      <c r="KF28" s="8"/>
    </row>
    <row r="29" spans="1:292" customForma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row>
    <row r="30" spans="1:292" customFormat="1" x14ac:dyDescent="0.2">
      <c r="A30" s="2"/>
      <c r="B30" s="1" t="s">
        <v>148</v>
      </c>
      <c r="C30" s="2"/>
      <c r="D30" s="2"/>
      <c r="E30" s="2"/>
      <c r="F30" s="2"/>
      <c r="G30" s="2"/>
      <c r="H30" s="2"/>
      <c r="I30" s="2"/>
      <c r="J30" s="2"/>
      <c r="K30" s="2"/>
      <c r="L30" s="2"/>
      <c r="M30" s="2"/>
      <c r="N30" s="2"/>
      <c r="O30" s="2"/>
      <c r="P30" s="2"/>
      <c r="Q30" s="2"/>
      <c r="R30" s="2"/>
      <c r="S30" s="2"/>
      <c r="T30" s="2"/>
      <c r="U30" s="2"/>
      <c r="V30" s="2"/>
      <c r="W30" s="2"/>
      <c r="X30" s="21"/>
      <c r="Y30" s="21"/>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row>
    <row r="31" spans="1:292" customFormat="1" x14ac:dyDescent="0.2">
      <c r="A31" s="9"/>
      <c r="B31" s="2" t="s">
        <v>149</v>
      </c>
      <c r="C31" s="2"/>
      <c r="D31" s="2"/>
      <c r="E31" s="2"/>
      <c r="F31" s="2" t="s">
        <v>150</v>
      </c>
      <c r="G31" s="2"/>
      <c r="H31" s="2"/>
      <c r="I31" s="2"/>
      <c r="J31" s="2"/>
      <c r="K31" s="2"/>
      <c r="L31" s="2"/>
      <c r="M31" s="2"/>
      <c r="N31" s="140" t="s">
        <v>588</v>
      </c>
      <c r="O31" s="140" t="s">
        <v>588</v>
      </c>
      <c r="P31" s="140" t="s">
        <v>588</v>
      </c>
      <c r="Q31" s="140" t="s">
        <v>588</v>
      </c>
      <c r="R31" s="140" t="s">
        <v>588</v>
      </c>
      <c r="S31" s="140" t="s">
        <v>588</v>
      </c>
      <c r="T31" s="140" t="s">
        <v>588</v>
      </c>
      <c r="U31" s="140" t="s">
        <v>588</v>
      </c>
      <c r="V31" s="140" t="s">
        <v>588</v>
      </c>
      <c r="W31" s="140" t="s">
        <v>588</v>
      </c>
      <c r="X31" s="140" t="s">
        <v>588</v>
      </c>
      <c r="Y31" s="140" t="s">
        <v>588</v>
      </c>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row>
    <row r="32" spans="1:292" customFormat="1" x14ac:dyDescent="0.2">
      <c r="A32" s="9"/>
      <c r="B32" s="2" t="s">
        <v>151</v>
      </c>
      <c r="C32" s="2"/>
      <c r="D32" s="2"/>
      <c r="E32" s="2"/>
      <c r="F32" s="2" t="s">
        <v>67</v>
      </c>
      <c r="G32" s="2"/>
      <c r="H32" s="2"/>
      <c r="I32" s="2"/>
      <c r="J32" s="2"/>
      <c r="K32" s="2"/>
      <c r="L32" s="2"/>
      <c r="M32" s="2"/>
      <c r="N32" s="140" t="s">
        <v>588</v>
      </c>
      <c r="O32" s="140" t="s">
        <v>588</v>
      </c>
      <c r="P32" s="140" t="s">
        <v>588</v>
      </c>
      <c r="Q32" s="140" t="s">
        <v>588</v>
      </c>
      <c r="R32" s="140" t="s">
        <v>588</v>
      </c>
      <c r="S32" s="140" t="s">
        <v>588</v>
      </c>
      <c r="T32" s="140" t="s">
        <v>588</v>
      </c>
      <c r="U32" s="140" t="s">
        <v>588</v>
      </c>
      <c r="V32" s="140" t="s">
        <v>588</v>
      </c>
      <c r="W32" s="140" t="s">
        <v>588</v>
      </c>
      <c r="X32" s="140" t="s">
        <v>588</v>
      </c>
      <c r="Y32" s="140" t="s">
        <v>588</v>
      </c>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row>
    <row r="33" spans="1:292" customFormat="1" x14ac:dyDescent="0.2">
      <c r="A33" s="2"/>
      <c r="B33" s="2"/>
      <c r="C33" s="2"/>
      <c r="D33" s="2"/>
      <c r="E33" s="2"/>
      <c r="F33" s="2"/>
      <c r="G33" s="2"/>
      <c r="H33" s="2"/>
      <c r="I33" s="2"/>
      <c r="J33" s="2"/>
      <c r="K33" s="2"/>
      <c r="L33" s="2"/>
      <c r="M33" s="2"/>
      <c r="N33" s="4" t="s">
        <v>37</v>
      </c>
      <c r="O33" s="4" t="s">
        <v>37</v>
      </c>
      <c r="P33" s="4" t="s">
        <v>37</v>
      </c>
      <c r="Q33" s="4" t="s">
        <v>37</v>
      </c>
      <c r="R33" s="4" t="s">
        <v>37</v>
      </c>
      <c r="S33" s="4" t="s">
        <v>37</v>
      </c>
      <c r="T33" s="4" t="s">
        <v>37</v>
      </c>
      <c r="U33" s="4" t="s">
        <v>37</v>
      </c>
      <c r="V33" s="4" t="s">
        <v>37</v>
      </c>
      <c r="W33" s="4" t="s">
        <v>37</v>
      </c>
      <c r="X33" s="4" t="s">
        <v>37</v>
      </c>
      <c r="Y33" s="4" t="s">
        <v>37</v>
      </c>
      <c r="Z33" s="2"/>
      <c r="AA33" s="2"/>
      <c r="AB33" s="2"/>
      <c r="AC33" s="21"/>
      <c r="AD33" s="2"/>
      <c r="AE33" s="2"/>
      <c r="AF33" s="2"/>
      <c r="AG33" s="2"/>
      <c r="AH33" s="2"/>
      <c r="AI33" s="2"/>
      <c r="AJ33" s="2"/>
      <c r="AK33" s="2"/>
      <c r="AL33" s="2"/>
      <c r="AM33" s="2"/>
      <c r="AN33" s="2"/>
      <c r="AO33" s="2"/>
      <c r="AP33" s="2"/>
      <c r="AQ33" s="2"/>
      <c r="AR33" s="2"/>
      <c r="AS33" s="2"/>
      <c r="AT33" s="2"/>
      <c r="AU33" s="2"/>
      <c r="AV33" s="2"/>
      <c r="AW33" s="2"/>
      <c r="AX33" s="2"/>
      <c r="AY33" s="2"/>
      <c r="AZ33" s="2"/>
      <c r="BA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row>
    <row r="34" spans="1:292" customFormat="1" x14ac:dyDescent="0.2">
      <c r="A34" s="2"/>
      <c r="B34" s="2"/>
      <c r="C34" s="2"/>
      <c r="D34" s="2"/>
      <c r="E34" s="2"/>
      <c r="F34" s="2"/>
      <c r="G34" s="2"/>
      <c r="H34" s="2"/>
      <c r="I34" s="2"/>
      <c r="J34" s="2"/>
      <c r="K34" s="2"/>
      <c r="L34" s="2"/>
      <c r="M34" s="2"/>
      <c r="N34" s="2" t="s">
        <v>308</v>
      </c>
      <c r="O34" s="2" t="s">
        <v>308</v>
      </c>
      <c r="P34" s="2" t="s">
        <v>308</v>
      </c>
      <c r="Q34" s="2" t="s">
        <v>308</v>
      </c>
      <c r="R34" s="2" t="s">
        <v>309</v>
      </c>
      <c r="S34" s="2" t="s">
        <v>309</v>
      </c>
      <c r="T34" s="2" t="s">
        <v>309</v>
      </c>
      <c r="U34" s="2" t="s">
        <v>309</v>
      </c>
      <c r="V34" s="2" t="s">
        <v>309</v>
      </c>
      <c r="W34" s="2" t="s">
        <v>309</v>
      </c>
      <c r="X34" s="2" t="s">
        <v>568</v>
      </c>
      <c r="Y34" s="2" t="s">
        <v>568</v>
      </c>
      <c r="Z34" s="2"/>
      <c r="AA34" s="2"/>
      <c r="AB34" s="2"/>
      <c r="AC34" s="21"/>
      <c r="AD34" s="2"/>
      <c r="AE34" s="2"/>
      <c r="AF34" s="2"/>
      <c r="AG34" s="2"/>
      <c r="AH34" s="2"/>
      <c r="AI34" s="2"/>
      <c r="AJ34" s="2"/>
      <c r="AK34" s="2"/>
      <c r="AL34" s="2"/>
      <c r="AM34" s="2"/>
      <c r="AN34" s="2"/>
      <c r="AO34" s="2"/>
      <c r="AP34" s="2"/>
      <c r="AQ34" s="2"/>
      <c r="AR34" s="2"/>
      <c r="AS34" s="2"/>
      <c r="AT34" s="2"/>
      <c r="AU34" s="2"/>
      <c r="AV34" s="2"/>
      <c r="AW34" s="2"/>
      <c r="AX34" s="2"/>
      <c r="AY34" s="2"/>
      <c r="AZ34" s="2"/>
      <c r="BA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row>
    <row r="35" spans="1:292" customFormat="1" x14ac:dyDescent="0.2">
      <c r="A35" s="2"/>
      <c r="B35" s="2"/>
      <c r="C35" s="2"/>
      <c r="D35" s="2"/>
      <c r="E35" s="2"/>
      <c r="F35" s="2"/>
      <c r="G35" s="2"/>
      <c r="H35" s="2"/>
      <c r="I35" s="2"/>
      <c r="J35" s="2"/>
      <c r="K35" s="2"/>
      <c r="L35" s="2"/>
      <c r="M35" s="2"/>
      <c r="N35" s="2" t="s">
        <v>310</v>
      </c>
      <c r="O35" s="2" t="s">
        <v>310</v>
      </c>
      <c r="P35" s="2" t="s">
        <v>310</v>
      </c>
      <c r="Q35" s="2" t="s">
        <v>310</v>
      </c>
      <c r="R35" s="2" t="s">
        <v>311</v>
      </c>
      <c r="S35" s="2" t="s">
        <v>311</v>
      </c>
      <c r="T35" s="2" t="s">
        <v>311</v>
      </c>
      <c r="U35" s="2" t="s">
        <v>311</v>
      </c>
      <c r="V35" s="2" t="s">
        <v>311</v>
      </c>
      <c r="W35" s="2" t="s">
        <v>312</v>
      </c>
      <c r="X35" s="2" t="s">
        <v>310</v>
      </c>
      <c r="Y35" s="2" t="s">
        <v>310</v>
      </c>
      <c r="Z35" s="2"/>
      <c r="AA35" s="2"/>
      <c r="AB35" s="2"/>
      <c r="AC35" s="21"/>
      <c r="AD35" s="2"/>
      <c r="AE35" s="2"/>
      <c r="AF35" s="2"/>
      <c r="AG35" s="2"/>
      <c r="AH35" s="2"/>
      <c r="AI35" s="2"/>
      <c r="AJ35" s="2"/>
      <c r="AK35" s="2"/>
      <c r="AL35" s="2"/>
      <c r="AM35" s="2"/>
      <c r="AN35" s="2"/>
      <c r="AO35" s="2"/>
      <c r="AP35" s="2"/>
      <c r="AQ35" s="2"/>
      <c r="AR35" s="2"/>
      <c r="AS35" s="2"/>
      <c r="AT35" s="2"/>
      <c r="AU35" s="2"/>
      <c r="AV35" s="2"/>
      <c r="AW35" s="2"/>
      <c r="AX35" s="2"/>
      <c r="AY35" s="2"/>
      <c r="AZ35" s="2"/>
      <c r="BA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row>
    <row r="36" spans="1:292" customForma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1"/>
      <c r="AD36" s="2"/>
      <c r="AE36" s="2"/>
      <c r="AF36" s="2"/>
      <c r="AG36" s="2"/>
      <c r="AH36" s="2"/>
      <c r="AI36" s="2"/>
      <c r="AJ36" s="2"/>
      <c r="AK36" s="2"/>
      <c r="AL36" s="2"/>
      <c r="AM36" s="2"/>
      <c r="AN36" s="2"/>
      <c r="AO36" s="2"/>
      <c r="AP36" s="2"/>
      <c r="AQ36" s="2"/>
      <c r="AR36" s="2"/>
      <c r="AS36" s="2"/>
      <c r="AT36" s="2"/>
      <c r="AU36" s="2"/>
      <c r="AV36" s="2"/>
      <c r="AW36" s="2"/>
      <c r="AX36" s="2"/>
      <c r="AY36" s="2"/>
      <c r="AZ36" s="2"/>
      <c r="BA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row>
    <row r="37" spans="1:292" customFormat="1" x14ac:dyDescent="0.2">
      <c r="A37" s="2"/>
      <c r="B37" s="1" t="s">
        <v>317</v>
      </c>
      <c r="C37" s="2"/>
      <c r="D37" s="2"/>
      <c r="E37" s="2"/>
      <c r="F37" s="2"/>
      <c r="G37" s="2"/>
      <c r="H37" s="2"/>
      <c r="I37" s="2"/>
      <c r="J37" s="2"/>
      <c r="K37" s="2"/>
      <c r="L37" s="2"/>
      <c r="M37" s="2"/>
      <c r="N37" s="114"/>
      <c r="O37" s="114"/>
      <c r="P37" s="114"/>
      <c r="Q37" s="114"/>
      <c r="R37" s="114"/>
      <c r="S37" s="114"/>
      <c r="T37" s="114"/>
      <c r="U37" s="114"/>
      <c r="V37" s="114"/>
      <c r="W37" s="114"/>
      <c r="X37" s="114"/>
      <c r="Y37" s="114"/>
      <c r="Z37" s="2"/>
      <c r="AA37" s="2"/>
      <c r="AB37" s="2"/>
      <c r="AC37" s="21"/>
      <c r="AD37" s="2"/>
      <c r="AE37" s="2"/>
      <c r="AF37" s="2"/>
      <c r="AG37" s="2"/>
      <c r="AH37" s="2"/>
      <c r="AI37" s="2"/>
      <c r="AJ37" s="2"/>
      <c r="AK37" s="2"/>
      <c r="AL37" s="2"/>
      <c r="AM37" s="2"/>
      <c r="AN37" s="2"/>
      <c r="AO37" s="2"/>
      <c r="AP37" s="2"/>
      <c r="AQ37" s="2"/>
      <c r="AR37" s="2"/>
      <c r="AS37" s="2"/>
      <c r="AT37" s="2"/>
      <c r="AU37" s="2"/>
      <c r="AV37" s="2"/>
      <c r="AW37" s="2"/>
      <c r="AX37" s="2"/>
      <c r="AY37" s="2"/>
      <c r="AZ37" s="2"/>
      <c r="BA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row>
    <row r="38" spans="1:292" customFormat="1" x14ac:dyDescent="0.2">
      <c r="A38" s="2"/>
      <c r="B38" s="2" t="s">
        <v>152</v>
      </c>
      <c r="C38" s="2"/>
      <c r="D38" s="2"/>
      <c r="E38" s="2"/>
      <c r="F38" s="2" t="s">
        <v>150</v>
      </c>
      <c r="G38" s="2"/>
      <c r="H38" s="113">
        <v>0.13636000000000001</v>
      </c>
      <c r="I38" s="2"/>
      <c r="J38" s="2"/>
      <c r="K38" s="2"/>
      <c r="M38" s="2"/>
      <c r="N38" s="72"/>
      <c r="O38" s="72"/>
      <c r="P38" s="72"/>
      <c r="Q38" s="72"/>
      <c r="R38" s="72"/>
      <c r="S38" s="72"/>
      <c r="T38" s="72"/>
      <c r="U38" s="72"/>
      <c r="V38" s="72"/>
      <c r="W38" s="72"/>
      <c r="X38" s="72"/>
      <c r="Y38" s="72"/>
      <c r="Z38" s="2"/>
      <c r="AA38" s="2" t="s">
        <v>318</v>
      </c>
      <c r="AB38" s="2"/>
      <c r="AC38" s="21"/>
      <c r="AD38" s="2"/>
      <c r="AE38" s="2"/>
      <c r="AF38" s="2"/>
      <c r="AG38" s="2"/>
      <c r="AH38" s="2"/>
      <c r="AI38" s="2"/>
      <c r="AJ38" s="2"/>
      <c r="AK38" s="2"/>
      <c r="AL38" s="2"/>
      <c r="AM38" s="2"/>
      <c r="AN38" s="2"/>
      <c r="AO38" s="2"/>
      <c r="AP38" s="2"/>
      <c r="AQ38" s="2"/>
      <c r="AR38" s="2"/>
      <c r="AS38" s="2"/>
      <c r="AT38" s="2"/>
      <c r="AU38" s="2"/>
      <c r="AV38" s="2"/>
      <c r="AW38" s="2"/>
      <c r="AX38" s="2"/>
      <c r="AY38" s="2"/>
      <c r="AZ38" s="2"/>
      <c r="BA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row>
    <row r="39" spans="1:292" customFormat="1" x14ac:dyDescent="0.2">
      <c r="A39" s="2"/>
      <c r="B39" s="2"/>
      <c r="C39" s="2"/>
      <c r="D39" s="2"/>
      <c r="E39" s="2"/>
      <c r="F39" s="2"/>
      <c r="G39" s="2"/>
      <c r="H39" s="2"/>
      <c r="I39" s="2"/>
      <c r="J39" s="2"/>
      <c r="K39" s="2"/>
      <c r="L39" s="2"/>
      <c r="M39" s="2"/>
      <c r="N39" s="84"/>
      <c r="O39" s="84"/>
      <c r="P39" s="84"/>
      <c r="Q39" s="84"/>
      <c r="R39" s="72"/>
      <c r="S39" s="72"/>
      <c r="T39" s="72"/>
      <c r="U39" s="72"/>
      <c r="V39" s="72"/>
      <c r="W39" s="72"/>
      <c r="X39" s="72"/>
      <c r="Y39" s="72"/>
      <c r="Z39" s="2"/>
      <c r="AA39" s="2"/>
      <c r="AB39" s="2"/>
      <c r="AC39" s="21"/>
      <c r="AD39" s="2"/>
      <c r="AE39" s="2"/>
      <c r="AF39" s="2"/>
      <c r="AG39" s="2"/>
      <c r="AH39" s="2"/>
      <c r="AI39" s="2"/>
      <c r="AJ39" s="2"/>
      <c r="AK39" s="2"/>
      <c r="AL39" s="2"/>
      <c r="AM39" s="2"/>
      <c r="AN39" s="2"/>
      <c r="AO39" s="2"/>
      <c r="AP39" s="2"/>
      <c r="AQ39" s="2"/>
      <c r="AR39" s="2"/>
      <c r="AS39" s="2"/>
      <c r="AT39" s="2"/>
      <c r="AU39" s="2"/>
      <c r="AV39" s="2"/>
      <c r="AW39" s="2"/>
      <c r="AX39" s="2"/>
      <c r="AY39" s="2"/>
      <c r="AZ39" s="2"/>
      <c r="BA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row>
    <row r="40" spans="1:292" x14ac:dyDescent="0.2">
      <c r="N40" s="115"/>
      <c r="O40" s="115"/>
      <c r="P40" s="115"/>
      <c r="Q40" s="115"/>
      <c r="R40" s="115"/>
      <c r="S40" s="115"/>
      <c r="T40" s="115"/>
      <c r="U40" s="115"/>
      <c r="V40" s="115"/>
      <c r="W40" s="115"/>
      <c r="X40" s="115"/>
      <c r="Y40" s="115"/>
    </row>
    <row r="41" spans="1:292" x14ac:dyDescent="0.2">
      <c r="N41" s="116"/>
      <c r="O41" s="116"/>
      <c r="P41" s="116"/>
      <c r="Q41" s="116"/>
      <c r="R41" s="116"/>
      <c r="S41" s="116"/>
      <c r="T41" s="116"/>
      <c r="U41" s="116"/>
      <c r="V41" s="116"/>
      <c r="W41" s="116"/>
      <c r="X41" s="116"/>
      <c r="Y41" s="116"/>
    </row>
    <row r="42" spans="1:292" x14ac:dyDescent="0.2">
      <c r="R42" s="40"/>
    </row>
    <row r="43" spans="1:292" x14ac:dyDescent="0.2">
      <c r="R43" s="40"/>
    </row>
    <row r="44" spans="1:292" x14ac:dyDescent="0.2">
      <c r="B44" s="4" t="s">
        <v>60</v>
      </c>
      <c r="R44" s="40"/>
    </row>
    <row r="45" spans="1:292" x14ac:dyDescent="0.2">
      <c r="R45" s="40"/>
    </row>
    <row r="46" spans="1:292" x14ac:dyDescent="0.2">
      <c r="R46" s="40"/>
    </row>
    <row r="47" spans="1:292" x14ac:dyDescent="0.2">
      <c r="R47" s="40"/>
    </row>
    <row r="48" spans="1:292" x14ac:dyDescent="0.2">
      <c r="R48" s="40"/>
    </row>
    <row r="49" spans="18:18" x14ac:dyDescent="0.2">
      <c r="R49" s="40"/>
    </row>
    <row r="50" spans="18:18" x14ac:dyDescent="0.2">
      <c r="R50" s="40"/>
    </row>
    <row r="51" spans="18:18" x14ac:dyDescent="0.2">
      <c r="R51" s="40"/>
    </row>
  </sheetData>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94F06-4ED4-4424-8986-664F951605A3}">
  <sheetPr>
    <tabColor rgb="FFE1FFE1"/>
  </sheetPr>
  <dimension ref="A2:R102"/>
  <sheetViews>
    <sheetView showGridLines="0" zoomScale="85" zoomScaleNormal="85" workbookViewId="0">
      <pane xSplit="6" ySplit="9" topLeftCell="G10" activePane="bottomRight" state="frozen"/>
      <selection activeCell="H18" sqref="H18"/>
      <selection pane="topRight" activeCell="H18" sqref="H18"/>
      <selection pane="bottomLeft" activeCell="H18" sqref="H18"/>
      <selection pane="bottomRight" activeCell="H78" sqref="H78"/>
    </sheetView>
  </sheetViews>
  <sheetFormatPr defaultRowHeight="12.75" x14ac:dyDescent="0.2"/>
  <cols>
    <col min="1" max="1" width="4.7109375" style="2" customWidth="1"/>
    <col min="2" max="2" width="69.85546875" style="2" customWidth="1"/>
    <col min="3" max="3" width="4.7109375" style="2" customWidth="1"/>
    <col min="4" max="5" width="4.5703125" style="2" customWidth="1"/>
    <col min="6" max="6" width="13.7109375" style="2" customWidth="1"/>
    <col min="7" max="7" width="2.7109375" style="2" customWidth="1"/>
    <col min="8" max="8" width="13.7109375" style="2" customWidth="1"/>
    <col min="9" max="9" width="2.7109375" style="2" customWidth="1"/>
    <col min="10" max="10" width="69.42578125" style="2" customWidth="1"/>
    <col min="11" max="11" width="2.7109375" style="2" customWidth="1"/>
    <col min="12" max="12" width="41.28515625" style="2" customWidth="1"/>
    <col min="13" max="13" width="2.7109375" style="2" customWidth="1"/>
    <col min="14" max="28" width="13.7109375" style="2" customWidth="1"/>
    <col min="29" max="16384" width="9.140625" style="2"/>
  </cols>
  <sheetData>
    <row r="2" spans="1:18" s="14" customFormat="1" ht="18" x14ac:dyDescent="0.2">
      <c r="B2" s="14" t="s">
        <v>319</v>
      </c>
    </row>
    <row r="4" spans="1:18" x14ac:dyDescent="0.2">
      <c r="B4" s="22" t="s">
        <v>87</v>
      </c>
      <c r="C4" s="1"/>
      <c r="D4" s="1"/>
    </row>
    <row r="5" spans="1:18" x14ac:dyDescent="0.2">
      <c r="B5" s="2" t="s">
        <v>320</v>
      </c>
      <c r="H5" s="15"/>
      <c r="R5" s="21"/>
    </row>
    <row r="6" spans="1:18" x14ac:dyDescent="0.2">
      <c r="B6" s="4"/>
    </row>
    <row r="8" spans="1:18" s="8" customFormat="1" x14ac:dyDescent="0.2">
      <c r="B8" s="8" t="s">
        <v>12</v>
      </c>
      <c r="F8" s="8" t="s">
        <v>33</v>
      </c>
      <c r="H8" s="8" t="s">
        <v>34</v>
      </c>
      <c r="J8" s="8" t="s">
        <v>37</v>
      </c>
      <c r="L8" s="8" t="s">
        <v>36</v>
      </c>
    </row>
    <row r="10" spans="1:18" s="8" customFormat="1" x14ac:dyDescent="0.2">
      <c r="B10" s="8" t="s">
        <v>321</v>
      </c>
    </row>
    <row r="12" spans="1:18" x14ac:dyDescent="0.2">
      <c r="B12" s="22" t="s">
        <v>322</v>
      </c>
      <c r="H12" s="39"/>
      <c r="L12" s="71"/>
    </row>
    <row r="13" spans="1:18" x14ac:dyDescent="0.2">
      <c r="A13" s="9"/>
      <c r="B13" s="2" t="s">
        <v>153</v>
      </c>
      <c r="F13" s="2" t="s">
        <v>67</v>
      </c>
      <c r="H13" s="26">
        <v>140827230.99999997</v>
      </c>
      <c r="J13" s="2" t="s">
        <v>427</v>
      </c>
      <c r="L13" s="2" t="s">
        <v>154</v>
      </c>
    </row>
    <row r="14" spans="1:18" ht="13.5" customHeight="1" x14ac:dyDescent="0.2">
      <c r="A14" s="9"/>
      <c r="B14" s="2" t="s">
        <v>155</v>
      </c>
      <c r="F14" s="2" t="s">
        <v>67</v>
      </c>
      <c r="H14" s="26">
        <v>36500000</v>
      </c>
      <c r="J14" s="2" t="s">
        <v>427</v>
      </c>
    </row>
    <row r="15" spans="1:18" ht="13.5" customHeight="1" x14ac:dyDescent="0.2">
      <c r="A15" s="9"/>
      <c r="B15" s="2" t="s">
        <v>156</v>
      </c>
      <c r="F15" s="2" t="s">
        <v>67</v>
      </c>
      <c r="H15" s="26">
        <v>8856000.0000000019</v>
      </c>
      <c r="J15" s="2" t="s">
        <v>427</v>
      </c>
    </row>
    <row r="16" spans="1:18" ht="13.5" customHeight="1" x14ac:dyDescent="0.2">
      <c r="A16" s="9"/>
      <c r="B16" s="2" t="s">
        <v>424</v>
      </c>
      <c r="F16" s="2" t="s">
        <v>67</v>
      </c>
      <c r="H16" s="30">
        <f>H14+H15</f>
        <v>45356000</v>
      </c>
    </row>
    <row r="17" spans="1:12" x14ac:dyDescent="0.2">
      <c r="A17" s="9"/>
      <c r="B17" s="2" t="s">
        <v>425</v>
      </c>
      <c r="F17" s="2" t="s">
        <v>67</v>
      </c>
      <c r="H17" s="30">
        <f>H13+H14+H15</f>
        <v>186183230.99999997</v>
      </c>
      <c r="L17" s="21"/>
    </row>
    <row r="18" spans="1:12" x14ac:dyDescent="0.2">
      <c r="A18" s="9"/>
    </row>
    <row r="19" spans="1:12" x14ac:dyDescent="0.2">
      <c r="A19" s="9"/>
      <c r="B19" s="2" t="s">
        <v>426</v>
      </c>
      <c r="F19" s="2" t="s">
        <v>84</v>
      </c>
      <c r="H19" s="121">
        <v>0.82369999999999999</v>
      </c>
      <c r="J19" s="2" t="s">
        <v>479</v>
      </c>
    </row>
    <row r="22" spans="1:12" s="8" customFormat="1" x14ac:dyDescent="0.2">
      <c r="B22" s="8" t="s">
        <v>332</v>
      </c>
    </row>
    <row r="24" spans="1:12" x14ac:dyDescent="0.2">
      <c r="B24" s="137" t="s">
        <v>513</v>
      </c>
    </row>
    <row r="26" spans="1:12" x14ac:dyDescent="0.2">
      <c r="B26" s="4" t="s">
        <v>489</v>
      </c>
    </row>
    <row r="28" spans="1:12" x14ac:dyDescent="0.2">
      <c r="A28" s="85"/>
      <c r="B28" s="1" t="s">
        <v>157</v>
      </c>
    </row>
    <row r="29" spans="1:12" x14ac:dyDescent="0.2">
      <c r="A29" s="9"/>
      <c r="B29" s="2" t="s">
        <v>158</v>
      </c>
      <c r="F29" s="2" t="s">
        <v>159</v>
      </c>
      <c r="H29" s="140" t="s">
        <v>588</v>
      </c>
      <c r="J29" s="2" t="s">
        <v>459</v>
      </c>
    </row>
    <row r="30" spans="1:12" x14ac:dyDescent="0.2">
      <c r="A30" s="9"/>
      <c r="B30" s="2" t="s">
        <v>120</v>
      </c>
      <c r="F30" s="2" t="s">
        <v>121</v>
      </c>
      <c r="H30" s="140" t="s">
        <v>588</v>
      </c>
      <c r="L30" s="2" t="s">
        <v>160</v>
      </c>
    </row>
    <row r="31" spans="1:12" x14ac:dyDescent="0.2">
      <c r="A31" s="144"/>
      <c r="B31" s="2" t="s">
        <v>161</v>
      </c>
      <c r="F31" s="2" t="s">
        <v>123</v>
      </c>
      <c r="H31" s="140" t="s">
        <v>588</v>
      </c>
      <c r="L31" s="2" t="s">
        <v>458</v>
      </c>
    </row>
    <row r="32" spans="1:12" x14ac:dyDescent="0.2">
      <c r="A32" s="9"/>
    </row>
    <row r="33" spans="1:12" x14ac:dyDescent="0.2">
      <c r="A33" s="9"/>
      <c r="B33" s="1" t="s">
        <v>162</v>
      </c>
    </row>
    <row r="34" spans="1:12" x14ac:dyDescent="0.2">
      <c r="A34" s="9"/>
      <c r="B34" s="2" t="s">
        <v>158</v>
      </c>
      <c r="F34" s="2" t="s">
        <v>79</v>
      </c>
      <c r="H34" s="140" t="s">
        <v>588</v>
      </c>
      <c r="J34" s="2" t="s">
        <v>459</v>
      </c>
      <c r="L34" s="2" t="s">
        <v>494</v>
      </c>
    </row>
    <row r="35" spans="1:12" x14ac:dyDescent="0.2">
      <c r="A35" s="9"/>
      <c r="B35" s="2" t="s">
        <v>571</v>
      </c>
      <c r="F35" s="2" t="s">
        <v>79</v>
      </c>
      <c r="H35" s="140" t="s">
        <v>588</v>
      </c>
      <c r="J35" s="2" t="s">
        <v>531</v>
      </c>
    </row>
    <row r="36" spans="1:12" x14ac:dyDescent="0.2">
      <c r="A36" s="9"/>
      <c r="B36" s="2" t="s">
        <v>572</v>
      </c>
      <c r="H36" s="140" t="e">
        <f>H34+H35</f>
        <v>#VALUE!</v>
      </c>
    </row>
    <row r="37" spans="1:12" x14ac:dyDescent="0.2">
      <c r="A37" s="9"/>
      <c r="B37" s="2" t="s">
        <v>120</v>
      </c>
      <c r="F37" s="2" t="s">
        <v>121</v>
      </c>
      <c r="H37" s="140" t="s">
        <v>588</v>
      </c>
    </row>
    <row r="38" spans="1:12" x14ac:dyDescent="0.2">
      <c r="A38" s="9"/>
      <c r="B38" s="2" t="s">
        <v>161</v>
      </c>
      <c r="F38" s="2" t="s">
        <v>123</v>
      </c>
      <c r="H38" s="140" t="s">
        <v>588</v>
      </c>
    </row>
    <row r="39" spans="1:12" x14ac:dyDescent="0.2">
      <c r="A39" s="9"/>
    </row>
    <row r="40" spans="1:12" x14ac:dyDescent="0.2">
      <c r="A40" s="9"/>
      <c r="B40" s="1" t="s">
        <v>163</v>
      </c>
    </row>
    <row r="41" spans="1:12" x14ac:dyDescent="0.2">
      <c r="A41" s="9"/>
      <c r="B41" s="2" t="s">
        <v>158</v>
      </c>
      <c r="F41" s="2" t="s">
        <v>159</v>
      </c>
      <c r="H41" s="140" t="s">
        <v>588</v>
      </c>
      <c r="J41" s="2" t="s">
        <v>459</v>
      </c>
    </row>
    <row r="42" spans="1:12" x14ac:dyDescent="0.2">
      <c r="A42" s="9"/>
      <c r="B42" s="2" t="s">
        <v>120</v>
      </c>
      <c r="F42" s="2" t="s">
        <v>121</v>
      </c>
      <c r="H42" s="140" t="s">
        <v>588</v>
      </c>
    </row>
    <row r="43" spans="1:12" x14ac:dyDescent="0.2">
      <c r="A43" s="85"/>
      <c r="B43" s="2" t="s">
        <v>161</v>
      </c>
      <c r="F43" s="2" t="s">
        <v>123</v>
      </c>
      <c r="H43" s="140" t="s">
        <v>588</v>
      </c>
      <c r="L43" s="2" t="s">
        <v>493</v>
      </c>
    </row>
    <row r="44" spans="1:12" x14ac:dyDescent="0.2">
      <c r="A44" s="9"/>
    </row>
    <row r="45" spans="1:12" x14ac:dyDescent="0.2">
      <c r="A45" s="9"/>
      <c r="B45" s="4" t="s">
        <v>490</v>
      </c>
    </row>
    <row r="46" spans="1:12" x14ac:dyDescent="0.2">
      <c r="A46" s="9"/>
    </row>
    <row r="47" spans="1:12" x14ac:dyDescent="0.2">
      <c r="A47" s="9"/>
      <c r="B47" s="1" t="s">
        <v>503</v>
      </c>
    </row>
    <row r="48" spans="1:12" x14ac:dyDescent="0.2">
      <c r="A48" s="9"/>
      <c r="B48" s="2" t="s">
        <v>158</v>
      </c>
      <c r="F48" s="2" t="s">
        <v>159</v>
      </c>
      <c r="H48" s="140" t="s">
        <v>588</v>
      </c>
      <c r="J48" s="2" t="s">
        <v>531</v>
      </c>
    </row>
    <row r="49" spans="1:10" x14ac:dyDescent="0.2">
      <c r="A49" s="9"/>
      <c r="B49" s="2" t="s">
        <v>120</v>
      </c>
      <c r="F49" s="2" t="s">
        <v>121</v>
      </c>
      <c r="H49" s="136" t="e">
        <f>'Est. and realized costs 2023'!H64</f>
        <v>#VALUE!</v>
      </c>
    </row>
    <row r="50" spans="1:10" x14ac:dyDescent="0.2">
      <c r="A50" s="9"/>
      <c r="B50" s="2" t="s">
        <v>161</v>
      </c>
      <c r="F50" s="2" t="s">
        <v>123</v>
      </c>
      <c r="H50" s="135" t="str">
        <f>'Est. and realized costs 2023'!H63</f>
        <v>confidential</v>
      </c>
    </row>
    <row r="51" spans="1:10" x14ac:dyDescent="0.2">
      <c r="A51" s="9"/>
    </row>
    <row r="52" spans="1:10" x14ac:dyDescent="0.2">
      <c r="A52" s="9"/>
      <c r="B52" s="1" t="s">
        <v>504</v>
      </c>
    </row>
    <row r="53" spans="1:10" x14ac:dyDescent="0.2">
      <c r="A53" s="9"/>
      <c r="B53" s="2" t="s">
        <v>158</v>
      </c>
      <c r="F53" s="2" t="s">
        <v>159</v>
      </c>
      <c r="H53" s="140" t="s">
        <v>588</v>
      </c>
      <c r="J53" s="2" t="s">
        <v>531</v>
      </c>
    </row>
    <row r="54" spans="1:10" x14ac:dyDescent="0.2">
      <c r="A54" s="9"/>
      <c r="B54" s="2" t="s">
        <v>120</v>
      </c>
      <c r="F54" s="2" t="s">
        <v>121</v>
      </c>
      <c r="H54" s="136" t="e">
        <f>'Est. and realized costs 2023'!H64</f>
        <v>#VALUE!</v>
      </c>
    </row>
    <row r="55" spans="1:10" x14ac:dyDescent="0.2">
      <c r="A55" s="9"/>
      <c r="B55" s="2" t="s">
        <v>161</v>
      </c>
      <c r="F55" s="2" t="s">
        <v>123</v>
      </c>
      <c r="H55" s="135" t="str">
        <f>'Est. and realized costs 2023'!H63</f>
        <v>confidential</v>
      </c>
    </row>
    <row r="56" spans="1:10" x14ac:dyDescent="0.2">
      <c r="A56" s="9"/>
    </row>
    <row r="57" spans="1:10" x14ac:dyDescent="0.2">
      <c r="A57" s="9"/>
      <c r="B57" s="1" t="s">
        <v>505</v>
      </c>
    </row>
    <row r="58" spans="1:10" x14ac:dyDescent="0.2">
      <c r="A58" s="9"/>
      <c r="B58" s="2" t="s">
        <v>158</v>
      </c>
      <c r="F58" s="2" t="s">
        <v>159</v>
      </c>
      <c r="H58" s="140" t="s">
        <v>588</v>
      </c>
      <c r="J58" s="2" t="s">
        <v>531</v>
      </c>
    </row>
    <row r="59" spans="1:10" x14ac:dyDescent="0.2">
      <c r="A59" s="9"/>
      <c r="B59" s="2" t="s">
        <v>120</v>
      </c>
      <c r="F59" s="2" t="s">
        <v>121</v>
      </c>
      <c r="H59" s="136" t="e">
        <f>'Est. and realized costs 2023'!H139</f>
        <v>#VALUE!</v>
      </c>
    </row>
    <row r="60" spans="1:10" x14ac:dyDescent="0.2">
      <c r="A60" s="9"/>
      <c r="B60" s="2" t="s">
        <v>161</v>
      </c>
      <c r="F60" s="2" t="s">
        <v>123</v>
      </c>
      <c r="H60" s="135" t="str">
        <f>'Est. and realized costs 2023'!H138</f>
        <v>confidential</v>
      </c>
    </row>
    <row r="61" spans="1:10" x14ac:dyDescent="0.2">
      <c r="A61" s="9"/>
    </row>
    <row r="62" spans="1:10" x14ac:dyDescent="0.2">
      <c r="A62" s="9"/>
      <c r="B62" s="1" t="s">
        <v>508</v>
      </c>
    </row>
    <row r="63" spans="1:10" x14ac:dyDescent="0.2">
      <c r="A63" s="9"/>
      <c r="B63" s="2" t="s">
        <v>158</v>
      </c>
      <c r="F63" s="2" t="s">
        <v>159</v>
      </c>
      <c r="H63" s="140" t="s">
        <v>588</v>
      </c>
      <c r="J63" s="2" t="s">
        <v>531</v>
      </c>
    </row>
    <row r="64" spans="1:10" x14ac:dyDescent="0.2">
      <c r="A64" s="9"/>
      <c r="B64" s="2" t="s">
        <v>120</v>
      </c>
      <c r="F64" s="2" t="s">
        <v>121</v>
      </c>
      <c r="H64" s="136" t="e">
        <f>'Est. and realized costs 2023'!H66</f>
        <v>#VALUE!</v>
      </c>
    </row>
    <row r="65" spans="1:10" x14ac:dyDescent="0.2">
      <c r="A65" s="9"/>
      <c r="B65" s="2" t="s">
        <v>161</v>
      </c>
      <c r="F65" s="2" t="s">
        <v>123</v>
      </c>
      <c r="H65" s="135" t="str">
        <f>'Est. and realized costs 2023'!H65</f>
        <v>confidential</v>
      </c>
    </row>
    <row r="66" spans="1:10" x14ac:dyDescent="0.2">
      <c r="A66" s="9"/>
    </row>
    <row r="67" spans="1:10" x14ac:dyDescent="0.2">
      <c r="A67" s="9"/>
      <c r="B67" s="1" t="s">
        <v>509</v>
      </c>
    </row>
    <row r="68" spans="1:10" x14ac:dyDescent="0.2">
      <c r="A68" s="9"/>
      <c r="B68" s="2" t="s">
        <v>158</v>
      </c>
      <c r="F68" s="2" t="s">
        <v>159</v>
      </c>
      <c r="H68" s="140" t="s">
        <v>588</v>
      </c>
      <c r="J68" s="2" t="s">
        <v>531</v>
      </c>
    </row>
    <row r="69" spans="1:10" x14ac:dyDescent="0.2">
      <c r="A69" s="9"/>
      <c r="B69" s="2" t="s">
        <v>120</v>
      </c>
      <c r="F69" s="2" t="s">
        <v>121</v>
      </c>
      <c r="H69" s="136" t="e">
        <f>'Est. and realized costs 2023'!H141</f>
        <v>#VALUE!</v>
      </c>
    </row>
    <row r="70" spans="1:10" x14ac:dyDescent="0.2">
      <c r="A70" s="9"/>
      <c r="B70" s="2" t="s">
        <v>161</v>
      </c>
      <c r="F70" s="2" t="s">
        <v>123</v>
      </c>
      <c r="H70" s="135" t="str">
        <f>'Est. and realized costs 2023'!H140</f>
        <v>confidential</v>
      </c>
    </row>
    <row r="71" spans="1:10" x14ac:dyDescent="0.2">
      <c r="A71" s="9"/>
    </row>
    <row r="72" spans="1:10" x14ac:dyDescent="0.2">
      <c r="A72" s="9"/>
      <c r="B72" s="1" t="s">
        <v>510</v>
      </c>
    </row>
    <row r="73" spans="1:10" x14ac:dyDescent="0.2">
      <c r="A73" s="9"/>
      <c r="B73" s="2" t="s">
        <v>158</v>
      </c>
      <c r="F73" s="2" t="s">
        <v>159</v>
      </c>
      <c r="H73" s="140" t="s">
        <v>588</v>
      </c>
      <c r="J73" s="2" t="s">
        <v>531</v>
      </c>
    </row>
    <row r="74" spans="1:10" x14ac:dyDescent="0.2">
      <c r="A74" s="9"/>
      <c r="B74" s="2" t="s">
        <v>120</v>
      </c>
      <c r="F74" s="2" t="s">
        <v>121</v>
      </c>
      <c r="H74" s="136" t="e">
        <f>'Est. and realized costs 2023'!H68</f>
        <v>#VALUE!</v>
      </c>
    </row>
    <row r="75" spans="1:10" x14ac:dyDescent="0.2">
      <c r="A75" s="9"/>
      <c r="B75" s="2" t="s">
        <v>161</v>
      </c>
      <c r="F75" s="2" t="s">
        <v>123</v>
      </c>
      <c r="H75" s="135" t="str">
        <f>'Est. and realized costs 2023'!H67</f>
        <v>confidential</v>
      </c>
    </row>
    <row r="76" spans="1:10" x14ac:dyDescent="0.2">
      <c r="A76" s="9"/>
    </row>
    <row r="77" spans="1:10" x14ac:dyDescent="0.2">
      <c r="A77" s="9"/>
      <c r="B77" s="1" t="s">
        <v>511</v>
      </c>
    </row>
    <row r="78" spans="1:10" x14ac:dyDescent="0.2">
      <c r="A78" s="9"/>
      <c r="B78" s="2" t="s">
        <v>158</v>
      </c>
      <c r="F78" s="2" t="s">
        <v>159</v>
      </c>
      <c r="H78" s="140" t="s">
        <v>588</v>
      </c>
      <c r="J78" s="2" t="s">
        <v>531</v>
      </c>
    </row>
    <row r="79" spans="1:10" x14ac:dyDescent="0.2">
      <c r="A79" s="9"/>
      <c r="B79" s="2" t="s">
        <v>120</v>
      </c>
      <c r="F79" s="2" t="s">
        <v>121</v>
      </c>
      <c r="H79" s="136" t="e">
        <f>'Est. and realized costs 2023'!H143</f>
        <v>#VALUE!</v>
      </c>
    </row>
    <row r="80" spans="1:10" x14ac:dyDescent="0.2">
      <c r="A80" s="9"/>
      <c r="B80" s="2" t="s">
        <v>161</v>
      </c>
      <c r="F80" s="2" t="s">
        <v>123</v>
      </c>
      <c r="H80" s="135" t="str">
        <f>'Est. and realized costs 2023'!H142</f>
        <v>confidential</v>
      </c>
    </row>
    <row r="82" spans="1:12" x14ac:dyDescent="0.2">
      <c r="B82" s="4" t="s">
        <v>573</v>
      </c>
    </row>
    <row r="84" spans="1:12" x14ac:dyDescent="0.2">
      <c r="B84" s="137" t="s">
        <v>512</v>
      </c>
    </row>
    <row r="85" spans="1:12" x14ac:dyDescent="0.2">
      <c r="A85" s="9"/>
    </row>
    <row r="86" spans="1:12" x14ac:dyDescent="0.2">
      <c r="A86" s="9"/>
      <c r="B86" s="2" t="s">
        <v>462</v>
      </c>
      <c r="F86" s="2" t="s">
        <v>374</v>
      </c>
      <c r="H86" s="140" t="s">
        <v>588</v>
      </c>
      <c r="J86" s="2" t="s">
        <v>574</v>
      </c>
      <c r="L86" s="2" t="s">
        <v>463</v>
      </c>
    </row>
    <row r="87" spans="1:12" s="9" customFormat="1" x14ac:dyDescent="0.2">
      <c r="H87" s="124"/>
    </row>
    <row r="88" spans="1:12" s="9" customFormat="1" x14ac:dyDescent="0.2">
      <c r="B88" s="9" t="s">
        <v>469</v>
      </c>
      <c r="F88" s="9" t="s">
        <v>468</v>
      </c>
      <c r="H88" s="140" t="s">
        <v>588</v>
      </c>
      <c r="J88" s="2" t="s">
        <v>460</v>
      </c>
      <c r="L88" s="2" t="s">
        <v>470</v>
      </c>
    </row>
    <row r="89" spans="1:12" s="9" customFormat="1" x14ac:dyDescent="0.2">
      <c r="B89" s="2" t="s">
        <v>265</v>
      </c>
      <c r="C89" s="2"/>
      <c r="D89" s="2"/>
      <c r="E89" s="2"/>
      <c r="F89" s="2" t="s">
        <v>76</v>
      </c>
      <c r="G89" s="2"/>
      <c r="H89" s="104">
        <f>Parameters!H19</f>
        <v>2.5000000000000001E-2</v>
      </c>
    </row>
    <row r="90" spans="1:12" x14ac:dyDescent="0.2">
      <c r="A90" s="9"/>
      <c r="B90" s="2" t="s">
        <v>467</v>
      </c>
      <c r="F90" s="2" t="s">
        <v>374</v>
      </c>
      <c r="H90" s="141" t="e">
        <f>H88*(1+H89)</f>
        <v>#VALUE!</v>
      </c>
    </row>
    <row r="91" spans="1:12" x14ac:dyDescent="0.2">
      <c r="A91" s="9"/>
    </row>
    <row r="92" spans="1:12" x14ac:dyDescent="0.2">
      <c r="A92" s="9"/>
      <c r="B92" s="2" t="s">
        <v>519</v>
      </c>
      <c r="F92" s="2" t="s">
        <v>374</v>
      </c>
      <c r="H92" s="140" t="s">
        <v>588</v>
      </c>
      <c r="J92" s="2" t="s">
        <v>530</v>
      </c>
      <c r="L92" s="2" t="s">
        <v>518</v>
      </c>
    </row>
    <row r="95" spans="1:12" s="8" customFormat="1" x14ac:dyDescent="0.2">
      <c r="B95" s="8" t="s">
        <v>324</v>
      </c>
    </row>
    <row r="97" spans="2:12" x14ac:dyDescent="0.2">
      <c r="B97" s="1" t="s">
        <v>164</v>
      </c>
    </row>
    <row r="98" spans="2:12" x14ac:dyDescent="0.2">
      <c r="B98" s="2" t="s">
        <v>165</v>
      </c>
      <c r="F98" s="25" t="s">
        <v>76</v>
      </c>
      <c r="H98" s="86">
        <v>0.11</v>
      </c>
      <c r="J98" s="2" t="s">
        <v>325</v>
      </c>
      <c r="L98" s="2" t="s">
        <v>575</v>
      </c>
    </row>
    <row r="102" spans="2:12" x14ac:dyDescent="0.2">
      <c r="B102" s="4" t="s">
        <v>60</v>
      </c>
    </row>
  </sheetData>
  <phoneticPr fontId="33" type="noConversion"/>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A3F60-36E3-4CBF-8718-491B3692D7E6}">
  <sheetPr>
    <tabColor theme="0" tint="-4.9989318521683403E-2"/>
  </sheetPr>
  <dimension ref="B2:B3"/>
  <sheetViews>
    <sheetView showGridLines="0" zoomScale="85" zoomScaleNormal="85" workbookViewId="0">
      <selection activeCell="H18" sqref="H18"/>
    </sheetView>
  </sheetViews>
  <sheetFormatPr defaultRowHeight="12.75" x14ac:dyDescent="0.2"/>
  <cols>
    <col min="1" max="16384" width="9.140625" style="16"/>
  </cols>
  <sheetData>
    <row r="2" spans="2:2" x14ac:dyDescent="0.2">
      <c r="B2" s="37" t="s">
        <v>61</v>
      </c>
    </row>
    <row r="3" spans="2:2" x14ac:dyDescent="0.2">
      <c r="B3" s="37" t="s">
        <v>62</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A7B835-8647-4254-96FD-CA8E8AD1A58B}">
  <sheetPr>
    <tabColor rgb="FFFFFFCC"/>
  </sheetPr>
  <dimension ref="A2:M439"/>
  <sheetViews>
    <sheetView showGridLines="0" zoomScale="85" zoomScaleNormal="85" workbookViewId="0">
      <pane xSplit="6" ySplit="15" topLeftCell="G292" activePane="bottomRight" state="frozen"/>
      <selection activeCell="H18" sqref="H18"/>
      <selection pane="topRight" activeCell="H18" sqref="H18"/>
      <selection pane="bottomLeft" activeCell="H18" sqref="H18"/>
      <selection pane="bottomRight" activeCell="H310" sqref="H310"/>
    </sheetView>
  </sheetViews>
  <sheetFormatPr defaultRowHeight="12.75" x14ac:dyDescent="0.2"/>
  <cols>
    <col min="1" max="1" width="4.7109375" style="2" customWidth="1"/>
    <col min="2" max="2" width="63" style="2" customWidth="1"/>
    <col min="3" max="3" width="4.7109375" style="2" customWidth="1"/>
    <col min="4" max="5" width="4.5703125" style="2" customWidth="1"/>
    <col min="6" max="6" width="13.7109375" style="2" customWidth="1"/>
    <col min="7" max="7" width="2.7109375" style="2" customWidth="1"/>
    <col min="8" max="8" width="13.7109375" style="2" customWidth="1"/>
    <col min="9" max="9" width="2.7109375" style="2" customWidth="1"/>
    <col min="10" max="24" width="13.7109375" style="2" customWidth="1"/>
    <col min="25" max="16384" width="9.140625" style="2"/>
  </cols>
  <sheetData>
    <row r="2" spans="1:10" s="14" customFormat="1" ht="18" x14ac:dyDescent="0.2">
      <c r="B2" s="14" t="s">
        <v>326</v>
      </c>
    </row>
    <row r="4" spans="1:10" x14ac:dyDescent="0.2">
      <c r="B4" s="22" t="s">
        <v>166</v>
      </c>
      <c r="C4" s="1"/>
      <c r="D4" s="1"/>
    </row>
    <row r="5" spans="1:10" x14ac:dyDescent="0.2">
      <c r="B5" s="2" t="s">
        <v>327</v>
      </c>
      <c r="H5" s="15"/>
    </row>
    <row r="6" spans="1:10" x14ac:dyDescent="0.2">
      <c r="A6" s="9"/>
      <c r="B6" s="2" t="s">
        <v>576</v>
      </c>
      <c r="H6" s="15"/>
    </row>
    <row r="7" spans="1:10" x14ac:dyDescent="0.2">
      <c r="B7" s="15"/>
      <c r="H7" s="15"/>
    </row>
    <row r="8" spans="1:10" x14ac:dyDescent="0.2">
      <c r="B8" s="23" t="s">
        <v>32</v>
      </c>
      <c r="H8" s="15"/>
    </row>
    <row r="9" spans="1:10" x14ac:dyDescent="0.2">
      <c r="B9" s="4" t="s">
        <v>488</v>
      </c>
    </row>
    <row r="10" spans="1:10" x14ac:dyDescent="0.2">
      <c r="B10" s="4" t="s">
        <v>328</v>
      </c>
    </row>
    <row r="11" spans="1:10" x14ac:dyDescent="0.2">
      <c r="A11" s="9"/>
      <c r="B11" s="4" t="s">
        <v>515</v>
      </c>
    </row>
    <row r="14" spans="1:10" s="8" customFormat="1" x14ac:dyDescent="0.2">
      <c r="B14" s="8" t="s">
        <v>12</v>
      </c>
      <c r="F14" s="8" t="s">
        <v>33</v>
      </c>
      <c r="H14" s="8" t="s">
        <v>34</v>
      </c>
      <c r="J14" s="8" t="s">
        <v>36</v>
      </c>
    </row>
    <row r="17" spans="2:8" s="8" customFormat="1" x14ac:dyDescent="0.2">
      <c r="B17" s="8" t="s">
        <v>167</v>
      </c>
    </row>
    <row r="19" spans="2:8" x14ac:dyDescent="0.2">
      <c r="B19" s="36" t="s">
        <v>267</v>
      </c>
      <c r="F19" s="2" t="s">
        <v>76</v>
      </c>
      <c r="H19" s="87">
        <f>Parameters!H29</f>
        <v>8.2299999999999998E-2</v>
      </c>
    </row>
    <row r="20" spans="2:8" x14ac:dyDescent="0.2">
      <c r="B20" s="2" t="s">
        <v>266</v>
      </c>
      <c r="F20" s="2" t="s">
        <v>76</v>
      </c>
      <c r="H20" s="87">
        <f>Parameters!H31</f>
        <v>6.4500000000000002E-2</v>
      </c>
    </row>
    <row r="23" spans="2:8" x14ac:dyDescent="0.2">
      <c r="B23" s="1" t="s">
        <v>110</v>
      </c>
    </row>
    <row r="25" spans="2:8" x14ac:dyDescent="0.2">
      <c r="B25" s="2" t="s">
        <v>111</v>
      </c>
      <c r="F25" s="2" t="s">
        <v>79</v>
      </c>
      <c r="H25" s="29">
        <f>'Est. and realized costs 2023'!H54</f>
        <v>61734000</v>
      </c>
    </row>
    <row r="26" spans="2:8" x14ac:dyDescent="0.2">
      <c r="B26" s="2" t="s">
        <v>112</v>
      </c>
      <c r="F26" s="2" t="s">
        <v>79</v>
      </c>
      <c r="H26" s="29">
        <f>'Est. and realized costs 2023'!H55</f>
        <v>860000</v>
      </c>
    </row>
    <row r="27" spans="2:8" x14ac:dyDescent="0.2">
      <c r="B27" s="2" t="s">
        <v>113</v>
      </c>
      <c r="F27" s="2" t="s">
        <v>79</v>
      </c>
      <c r="H27" s="29">
        <f>'Est. and realized costs 2023'!H56</f>
        <v>18696000</v>
      </c>
    </row>
    <row r="28" spans="2:8" x14ac:dyDescent="0.2">
      <c r="B28" s="2" t="s">
        <v>114</v>
      </c>
      <c r="F28" s="2" t="s">
        <v>115</v>
      </c>
      <c r="H28" s="29">
        <f>'Est. and realized costs 2023'!H57</f>
        <v>15</v>
      </c>
    </row>
    <row r="31" spans="2:8" x14ac:dyDescent="0.2">
      <c r="B31" s="1" t="s">
        <v>116</v>
      </c>
    </row>
    <row r="33" spans="2:8" x14ac:dyDescent="0.2">
      <c r="B33" s="4" t="s">
        <v>117</v>
      </c>
    </row>
    <row r="34" spans="2:8" x14ac:dyDescent="0.2">
      <c r="B34" s="74" t="s">
        <v>168</v>
      </c>
    </row>
    <row r="35" spans="2:8" x14ac:dyDescent="0.2">
      <c r="B35" s="2" t="s">
        <v>119</v>
      </c>
      <c r="F35" s="2" t="s">
        <v>79</v>
      </c>
      <c r="H35" s="29">
        <f>'Est. and realized costs 2023'!H75</f>
        <v>773908</v>
      </c>
    </row>
    <row r="36" spans="2:8" x14ac:dyDescent="0.2">
      <c r="B36" s="2" t="s">
        <v>120</v>
      </c>
      <c r="F36" s="2" t="s">
        <v>121</v>
      </c>
      <c r="H36" s="29">
        <f>'Est. and realized costs 2023'!H76</f>
        <v>9.25</v>
      </c>
    </row>
    <row r="37" spans="2:8" x14ac:dyDescent="0.2">
      <c r="B37" s="2" t="s">
        <v>122</v>
      </c>
      <c r="F37" s="2" t="s">
        <v>123</v>
      </c>
      <c r="H37" s="88">
        <f>'Est. and realized costs 2023'!H77</f>
        <v>42491</v>
      </c>
    </row>
    <row r="39" spans="2:8" x14ac:dyDescent="0.2">
      <c r="B39" s="74" t="s">
        <v>124</v>
      </c>
    </row>
    <row r="40" spans="2:8" x14ac:dyDescent="0.2">
      <c r="B40" s="2" t="s">
        <v>119</v>
      </c>
      <c r="F40" s="2" t="s">
        <v>79</v>
      </c>
      <c r="H40" s="29">
        <f>'Est. and realized costs 2023'!H80</f>
        <v>59734</v>
      </c>
    </row>
    <row r="41" spans="2:8" x14ac:dyDescent="0.2">
      <c r="B41" s="2" t="s">
        <v>120</v>
      </c>
      <c r="F41" s="2" t="s">
        <v>121</v>
      </c>
      <c r="H41" s="29">
        <f>'Est. and realized costs 2023'!H81</f>
        <v>5</v>
      </c>
    </row>
    <row r="42" spans="2:8" x14ac:dyDescent="0.2">
      <c r="B42" s="2" t="s">
        <v>122</v>
      </c>
      <c r="F42" s="2" t="s">
        <v>123</v>
      </c>
      <c r="H42" s="88">
        <f>'Est. and realized costs 2023'!H82</f>
        <v>42538</v>
      </c>
    </row>
    <row r="44" spans="2:8" x14ac:dyDescent="0.2">
      <c r="B44" s="4" t="s">
        <v>169</v>
      </c>
    </row>
    <row r="47" spans="2:8" x14ac:dyDescent="0.2">
      <c r="B47" s="4" t="s">
        <v>125</v>
      </c>
    </row>
    <row r="48" spans="2:8" x14ac:dyDescent="0.2">
      <c r="B48" s="74" t="s">
        <v>124</v>
      </c>
    </row>
    <row r="49" spans="2:8" x14ac:dyDescent="0.2">
      <c r="B49" s="2" t="s">
        <v>119</v>
      </c>
      <c r="F49" s="2" t="s">
        <v>79</v>
      </c>
      <c r="H49" s="29">
        <f>'Est. and realized costs 2023'!H87</f>
        <v>6000</v>
      </c>
    </row>
    <row r="50" spans="2:8" x14ac:dyDescent="0.2">
      <c r="B50" s="2" t="s">
        <v>120</v>
      </c>
      <c r="F50" s="2" t="s">
        <v>121</v>
      </c>
      <c r="H50" s="29">
        <f>'Est. and realized costs 2023'!H88</f>
        <v>5</v>
      </c>
    </row>
    <row r="51" spans="2:8" x14ac:dyDescent="0.2">
      <c r="B51" s="2" t="s">
        <v>122</v>
      </c>
      <c r="F51" s="2" t="s">
        <v>123</v>
      </c>
      <c r="H51" s="88">
        <f>'Est. and realized costs 2023'!H89</f>
        <v>42751</v>
      </c>
    </row>
    <row r="53" spans="2:8" x14ac:dyDescent="0.2">
      <c r="B53" s="74" t="s">
        <v>124</v>
      </c>
    </row>
    <row r="54" spans="2:8" x14ac:dyDescent="0.2">
      <c r="B54" s="2" t="s">
        <v>119</v>
      </c>
      <c r="F54" s="2" t="s">
        <v>79</v>
      </c>
      <c r="H54" s="29">
        <f>'Est. and realized costs 2023'!H92</f>
        <v>4000</v>
      </c>
    </row>
    <row r="55" spans="2:8" x14ac:dyDescent="0.2">
      <c r="B55" s="2" t="s">
        <v>120</v>
      </c>
      <c r="F55" s="2" t="s">
        <v>121</v>
      </c>
      <c r="H55" s="29">
        <f>'Est. and realized costs 2023'!H93</f>
        <v>5</v>
      </c>
    </row>
    <row r="56" spans="2:8" x14ac:dyDescent="0.2">
      <c r="B56" s="2" t="s">
        <v>122</v>
      </c>
      <c r="F56" s="2" t="s">
        <v>123</v>
      </c>
      <c r="H56" s="88">
        <f>'Est. and realized costs 2023'!H94</f>
        <v>43050</v>
      </c>
    </row>
    <row r="59" spans="2:8" x14ac:dyDescent="0.2">
      <c r="B59" s="4" t="s">
        <v>126</v>
      </c>
    </row>
    <row r="60" spans="2:8" x14ac:dyDescent="0.2">
      <c r="B60" s="74" t="s">
        <v>127</v>
      </c>
    </row>
    <row r="61" spans="2:8" x14ac:dyDescent="0.2">
      <c r="B61" s="2" t="s">
        <v>119</v>
      </c>
      <c r="F61" s="2" t="s">
        <v>79</v>
      </c>
      <c r="H61" s="29">
        <f>'Est. and realized costs 2023'!H99</f>
        <v>7636</v>
      </c>
    </row>
    <row r="62" spans="2:8" x14ac:dyDescent="0.2">
      <c r="B62" s="2" t="s">
        <v>120</v>
      </c>
      <c r="F62" s="2" t="s">
        <v>121</v>
      </c>
      <c r="H62" s="29">
        <f>'Est. and realized costs 2023'!H100</f>
        <v>4</v>
      </c>
    </row>
    <row r="63" spans="2:8" x14ac:dyDescent="0.2">
      <c r="B63" s="2" t="s">
        <v>122</v>
      </c>
      <c r="F63" s="2" t="s">
        <v>123</v>
      </c>
      <c r="H63" s="88">
        <f>'Est. and realized costs 2023'!H101</f>
        <v>43451</v>
      </c>
    </row>
    <row r="66" spans="2:8" x14ac:dyDescent="0.2">
      <c r="B66" s="4" t="s">
        <v>128</v>
      </c>
    </row>
    <row r="67" spans="2:8" x14ac:dyDescent="0.2">
      <c r="B67" s="74" t="s">
        <v>129</v>
      </c>
    </row>
    <row r="68" spans="2:8" x14ac:dyDescent="0.2">
      <c r="B68" s="2" t="s">
        <v>119</v>
      </c>
      <c r="F68" s="2" t="s">
        <v>79</v>
      </c>
      <c r="H68" s="29">
        <f>'Est. and realized costs 2023'!H106</f>
        <v>12195</v>
      </c>
    </row>
    <row r="69" spans="2:8" x14ac:dyDescent="0.2">
      <c r="B69" s="2" t="s">
        <v>120</v>
      </c>
      <c r="F69" s="2" t="s">
        <v>121</v>
      </c>
      <c r="H69" s="29">
        <f>'Est. and realized costs 2023'!H107</f>
        <v>4</v>
      </c>
    </row>
    <row r="70" spans="2:8" x14ac:dyDescent="0.2">
      <c r="B70" s="2" t="s">
        <v>122</v>
      </c>
      <c r="F70" s="2" t="s">
        <v>123</v>
      </c>
      <c r="H70" s="88">
        <f>'Est. and realized costs 2023'!H108</f>
        <v>43647</v>
      </c>
    </row>
    <row r="73" spans="2:8" x14ac:dyDescent="0.2">
      <c r="B73" s="4" t="s">
        <v>130</v>
      </c>
    </row>
    <row r="74" spans="2:8" x14ac:dyDescent="0.2">
      <c r="B74" s="74" t="s">
        <v>129</v>
      </c>
    </row>
    <row r="75" spans="2:8" x14ac:dyDescent="0.2">
      <c r="B75" s="2" t="s">
        <v>119</v>
      </c>
      <c r="F75" s="2" t="s">
        <v>79</v>
      </c>
      <c r="H75" s="29">
        <f>'Est. and realized costs 2023'!H113</f>
        <v>4379</v>
      </c>
    </row>
    <row r="76" spans="2:8" x14ac:dyDescent="0.2">
      <c r="B76" s="2" t="s">
        <v>120</v>
      </c>
      <c r="F76" s="2" t="s">
        <v>121</v>
      </c>
      <c r="H76" s="29">
        <f>'Est. and realized costs 2023'!H114</f>
        <v>4</v>
      </c>
    </row>
    <row r="77" spans="2:8" x14ac:dyDescent="0.2">
      <c r="B77" s="2" t="s">
        <v>122</v>
      </c>
      <c r="F77" s="2" t="s">
        <v>123</v>
      </c>
      <c r="H77" s="88">
        <f>'Est. and realized costs 2023'!H115</f>
        <v>43921</v>
      </c>
    </row>
    <row r="80" spans="2:8" x14ac:dyDescent="0.2">
      <c r="B80" s="1" t="s">
        <v>133</v>
      </c>
    </row>
    <row r="82" spans="1:8" x14ac:dyDescent="0.2">
      <c r="A82" s="9"/>
      <c r="B82" s="2" t="s">
        <v>134</v>
      </c>
      <c r="F82" s="2" t="s">
        <v>79</v>
      </c>
      <c r="H82" s="29" t="str">
        <f>'Est. and realized costs 2023'!H129</f>
        <v>confidential</v>
      </c>
    </row>
    <row r="83" spans="1:8" x14ac:dyDescent="0.2">
      <c r="A83" s="9"/>
      <c r="B83" s="2" t="s">
        <v>120</v>
      </c>
      <c r="F83" s="2" t="s">
        <v>121</v>
      </c>
      <c r="H83" s="29" t="str">
        <f>'Est. and realized costs 2023'!H130</f>
        <v>confidential</v>
      </c>
    </row>
    <row r="84" spans="1:8" x14ac:dyDescent="0.2">
      <c r="A84" s="9"/>
      <c r="B84" s="2" t="s">
        <v>122</v>
      </c>
      <c r="F84" s="2" t="s">
        <v>123</v>
      </c>
      <c r="H84" s="88" t="str">
        <f>'Est. and realized costs 2023'!H131</f>
        <v>confidential</v>
      </c>
    </row>
    <row r="85" spans="1:8" x14ac:dyDescent="0.2">
      <c r="A85" s="9"/>
    </row>
    <row r="86" spans="1:8" x14ac:dyDescent="0.2">
      <c r="A86" s="9"/>
      <c r="B86" s="2" t="s">
        <v>135</v>
      </c>
      <c r="F86" s="2" t="s">
        <v>79</v>
      </c>
      <c r="H86" s="29" t="str">
        <f>'Est. and realized costs 2023'!H133</f>
        <v>confidential</v>
      </c>
    </row>
    <row r="87" spans="1:8" x14ac:dyDescent="0.2">
      <c r="A87" s="9"/>
      <c r="B87" s="2" t="s">
        <v>120</v>
      </c>
      <c r="F87" s="2" t="s">
        <v>121</v>
      </c>
      <c r="H87" s="29" t="str">
        <f>'Est. and realized costs 2023'!H134</f>
        <v>confidential</v>
      </c>
    </row>
    <row r="88" spans="1:8" x14ac:dyDescent="0.2">
      <c r="A88" s="9"/>
      <c r="B88" s="2" t="s">
        <v>122</v>
      </c>
      <c r="F88" s="2" t="s">
        <v>123</v>
      </c>
      <c r="H88" s="88" t="str">
        <f>'Est. and realized costs 2023'!H135</f>
        <v>confidential</v>
      </c>
    </row>
    <row r="89" spans="1:8" x14ac:dyDescent="0.2">
      <c r="A89" s="9"/>
    </row>
    <row r="90" spans="1:8" x14ac:dyDescent="0.2">
      <c r="A90" s="9"/>
    </row>
    <row r="91" spans="1:8" x14ac:dyDescent="0.2">
      <c r="A91" s="9"/>
      <c r="B91" s="1" t="s">
        <v>329</v>
      </c>
    </row>
    <row r="92" spans="1:8" x14ac:dyDescent="0.2">
      <c r="A92" s="9"/>
    </row>
    <row r="93" spans="1:8" x14ac:dyDescent="0.2">
      <c r="A93" s="9"/>
      <c r="B93" s="2" t="s">
        <v>170</v>
      </c>
      <c r="F93" s="2" t="s">
        <v>79</v>
      </c>
      <c r="H93" s="29" t="str">
        <f>'Est. and realized costs 2023'!H148</f>
        <v>confidential</v>
      </c>
    </row>
    <row r="94" spans="1:8" x14ac:dyDescent="0.2">
      <c r="A94" s="9"/>
      <c r="B94" s="2" t="s">
        <v>120</v>
      </c>
      <c r="F94" s="2" t="s">
        <v>121</v>
      </c>
      <c r="H94" s="29" t="str">
        <f>'Est. and realized costs 2023'!H149</f>
        <v>confidential</v>
      </c>
    </row>
    <row r="95" spans="1:8" x14ac:dyDescent="0.2">
      <c r="A95" s="9"/>
      <c r="B95" s="2" t="s">
        <v>122</v>
      </c>
      <c r="F95" s="2" t="s">
        <v>123</v>
      </c>
      <c r="H95" s="88" t="str">
        <f>'Est. and realized costs 2023'!H150</f>
        <v>confidential</v>
      </c>
    </row>
    <row r="96" spans="1:8" x14ac:dyDescent="0.2">
      <c r="A96" s="9"/>
      <c r="B96" s="2" t="s">
        <v>171</v>
      </c>
      <c r="F96" s="2" t="s">
        <v>76</v>
      </c>
      <c r="H96" s="104">
        <f>'Est. and realized costs 2023'!H151</f>
        <v>0.5</v>
      </c>
    </row>
    <row r="97" spans="1:8" x14ac:dyDescent="0.2">
      <c r="A97" s="9"/>
    </row>
    <row r="98" spans="1:8" x14ac:dyDescent="0.2">
      <c r="A98" s="9"/>
      <c r="B98" s="2" t="s">
        <v>172</v>
      </c>
      <c r="F98" s="2" t="s">
        <v>79</v>
      </c>
      <c r="H98" s="29" t="str">
        <f>'Est. and realized costs 2023'!H153</f>
        <v>confidential</v>
      </c>
    </row>
    <row r="99" spans="1:8" x14ac:dyDescent="0.2">
      <c r="A99" s="9"/>
      <c r="B99" s="2" t="s">
        <v>120</v>
      </c>
      <c r="F99" s="2" t="s">
        <v>121</v>
      </c>
      <c r="H99" s="29" t="str">
        <f>'Est. and realized costs 2023'!H154</f>
        <v>confidential</v>
      </c>
    </row>
    <row r="100" spans="1:8" x14ac:dyDescent="0.2">
      <c r="A100" s="9"/>
      <c r="B100" s="2" t="s">
        <v>122</v>
      </c>
      <c r="F100" s="2" t="s">
        <v>123</v>
      </c>
      <c r="H100" s="88" t="str">
        <f>'Est. and realized costs 2023'!H155</f>
        <v>confidential</v>
      </c>
    </row>
    <row r="101" spans="1:8" x14ac:dyDescent="0.2">
      <c r="A101" s="9"/>
      <c r="B101" s="2" t="s">
        <v>171</v>
      </c>
      <c r="F101" s="2" t="s">
        <v>76</v>
      </c>
      <c r="H101" s="104">
        <f>'Est. and realized costs 2023'!H156</f>
        <v>0.5</v>
      </c>
    </row>
    <row r="102" spans="1:8" x14ac:dyDescent="0.2">
      <c r="A102" s="9"/>
    </row>
    <row r="103" spans="1:8" x14ac:dyDescent="0.2">
      <c r="A103" s="9"/>
    </row>
    <row r="104" spans="1:8" x14ac:dyDescent="0.2">
      <c r="A104" s="9"/>
      <c r="B104" s="1" t="s">
        <v>331</v>
      </c>
    </row>
    <row r="105" spans="1:8" x14ac:dyDescent="0.2">
      <c r="A105" s="9"/>
    </row>
    <row r="106" spans="1:8" x14ac:dyDescent="0.2">
      <c r="A106" s="9"/>
      <c r="B106" s="74" t="s">
        <v>157</v>
      </c>
    </row>
    <row r="107" spans="1:8" x14ac:dyDescent="0.2">
      <c r="A107" s="9"/>
      <c r="B107" s="2" t="s">
        <v>158</v>
      </c>
      <c r="F107" s="2" t="s">
        <v>79</v>
      </c>
      <c r="H107" s="29" t="str">
        <f>'Est. production and costs 2025'!H29</f>
        <v>confidential</v>
      </c>
    </row>
    <row r="108" spans="1:8" x14ac:dyDescent="0.2">
      <c r="A108" s="9"/>
      <c r="B108" s="2" t="s">
        <v>120</v>
      </c>
      <c r="F108" s="2" t="s">
        <v>121</v>
      </c>
      <c r="H108" s="89" t="str">
        <f>'Est. production and costs 2025'!H30</f>
        <v>confidential</v>
      </c>
    </row>
    <row r="109" spans="1:8" x14ac:dyDescent="0.2">
      <c r="A109" s="9"/>
      <c r="B109" s="2" t="s">
        <v>161</v>
      </c>
      <c r="F109" s="2" t="s">
        <v>123</v>
      </c>
      <c r="H109" s="88" t="str">
        <f>'Est. production and costs 2025'!H31</f>
        <v>confidential</v>
      </c>
    </row>
    <row r="110" spans="1:8" x14ac:dyDescent="0.2">
      <c r="A110" s="9"/>
    </row>
    <row r="111" spans="1:8" x14ac:dyDescent="0.2">
      <c r="A111" s="9"/>
      <c r="B111" s="74" t="s">
        <v>162</v>
      </c>
    </row>
    <row r="112" spans="1:8" x14ac:dyDescent="0.2">
      <c r="A112" s="9"/>
      <c r="B112" s="2" t="s">
        <v>158</v>
      </c>
      <c r="F112" s="2" t="s">
        <v>79</v>
      </c>
      <c r="H112" s="29" t="str">
        <f>'Est. production and costs 2025'!H34</f>
        <v>confidential</v>
      </c>
    </row>
    <row r="113" spans="1:8" x14ac:dyDescent="0.2">
      <c r="A113" s="9"/>
      <c r="B113" s="2" t="s">
        <v>120</v>
      </c>
      <c r="F113" s="2" t="s">
        <v>121</v>
      </c>
      <c r="H113" s="29" t="str">
        <f>'Est. production and costs 2025'!H37</f>
        <v>confidential</v>
      </c>
    </row>
    <row r="114" spans="1:8" x14ac:dyDescent="0.2">
      <c r="A114" s="9"/>
      <c r="B114" s="2" t="s">
        <v>161</v>
      </c>
      <c r="F114" s="2" t="s">
        <v>123</v>
      </c>
      <c r="H114" s="88" t="str">
        <f>'Est. production and costs 2025'!H38</f>
        <v>confidential</v>
      </c>
    </row>
    <row r="115" spans="1:8" x14ac:dyDescent="0.2">
      <c r="A115" s="9"/>
      <c r="H115" s="39"/>
    </row>
    <row r="116" spans="1:8" x14ac:dyDescent="0.2">
      <c r="A116" s="9"/>
      <c r="B116" s="74" t="s">
        <v>330</v>
      </c>
      <c r="H116" s="39"/>
    </row>
    <row r="117" spans="1:8" x14ac:dyDescent="0.2">
      <c r="A117" s="9"/>
      <c r="B117" s="2" t="s">
        <v>158</v>
      </c>
      <c r="F117" s="2" t="s">
        <v>79</v>
      </c>
      <c r="H117" s="29" t="str">
        <f>'Est. and realized costs 2023'!H161</f>
        <v>confidential</v>
      </c>
    </row>
    <row r="118" spans="1:8" x14ac:dyDescent="0.2">
      <c r="A118" s="9"/>
      <c r="B118" s="2" t="s">
        <v>120</v>
      </c>
      <c r="F118" s="2" t="s">
        <v>121</v>
      </c>
      <c r="H118" s="29" t="str">
        <f>'Est. and realized costs 2023'!H162</f>
        <v>confidential</v>
      </c>
    </row>
    <row r="119" spans="1:8" x14ac:dyDescent="0.2">
      <c r="A119" s="9"/>
      <c r="B119" s="2" t="s">
        <v>161</v>
      </c>
      <c r="F119" s="2" t="s">
        <v>123</v>
      </c>
      <c r="H119" s="88" t="str">
        <f>'Est. and realized costs 2023'!H163</f>
        <v>confidential</v>
      </c>
    </row>
    <row r="120" spans="1:8" x14ac:dyDescent="0.2">
      <c r="A120" s="9"/>
      <c r="H120" s="90"/>
    </row>
    <row r="121" spans="1:8" x14ac:dyDescent="0.2">
      <c r="A121" s="9"/>
      <c r="B121" s="74" t="s">
        <v>163</v>
      </c>
      <c r="H121" s="39"/>
    </row>
    <row r="122" spans="1:8" x14ac:dyDescent="0.2">
      <c r="A122" s="9"/>
      <c r="B122" s="2" t="s">
        <v>158</v>
      </c>
      <c r="F122" s="2" t="s">
        <v>79</v>
      </c>
      <c r="H122" s="29" t="str">
        <f>'Est. production and costs 2025'!H41</f>
        <v>confidential</v>
      </c>
    </row>
    <row r="123" spans="1:8" x14ac:dyDescent="0.2">
      <c r="A123" s="9"/>
      <c r="B123" s="2" t="s">
        <v>120</v>
      </c>
      <c r="F123" s="2" t="s">
        <v>121</v>
      </c>
      <c r="H123" s="29" t="str">
        <f>'Est. production and costs 2025'!H42</f>
        <v>confidential</v>
      </c>
    </row>
    <row r="124" spans="1:8" x14ac:dyDescent="0.2">
      <c r="A124" s="9"/>
      <c r="B124" s="2" t="s">
        <v>161</v>
      </c>
      <c r="F124" s="2" t="s">
        <v>123</v>
      </c>
      <c r="H124" s="88" t="str">
        <f>'Est. production and costs 2025'!H43</f>
        <v>confidential</v>
      </c>
    </row>
    <row r="125" spans="1:8" x14ac:dyDescent="0.2">
      <c r="A125" s="9"/>
    </row>
    <row r="126" spans="1:8" x14ac:dyDescent="0.2">
      <c r="A126" s="9"/>
    </row>
    <row r="127" spans="1:8" x14ac:dyDescent="0.2">
      <c r="A127" s="9"/>
      <c r="B127" s="1" t="s">
        <v>514</v>
      </c>
    </row>
    <row r="128" spans="1:8" x14ac:dyDescent="0.2">
      <c r="A128" s="9"/>
    </row>
    <row r="129" spans="1:8" x14ac:dyDescent="0.2">
      <c r="A129" s="9"/>
      <c r="B129" s="74" t="s">
        <v>503</v>
      </c>
    </row>
    <row r="130" spans="1:8" x14ac:dyDescent="0.2">
      <c r="A130" s="9"/>
      <c r="B130" s="2" t="s">
        <v>158</v>
      </c>
      <c r="F130" s="2" t="s">
        <v>159</v>
      </c>
      <c r="H130" s="29" t="str">
        <f>'Est. production and costs 2025'!H48</f>
        <v>confidential</v>
      </c>
    </row>
    <row r="131" spans="1:8" x14ac:dyDescent="0.2">
      <c r="A131" s="9"/>
      <c r="B131" s="2" t="s">
        <v>120</v>
      </c>
      <c r="F131" s="2" t="s">
        <v>121</v>
      </c>
      <c r="H131" s="136" t="e">
        <f>'Est. production and costs 2025'!H49</f>
        <v>#VALUE!</v>
      </c>
    </row>
    <row r="132" spans="1:8" x14ac:dyDescent="0.2">
      <c r="A132" s="9"/>
      <c r="B132" s="2" t="s">
        <v>161</v>
      </c>
      <c r="F132" s="2" t="s">
        <v>123</v>
      </c>
      <c r="H132" s="88" t="str">
        <f>'Est. production and costs 2025'!H50</f>
        <v>confidential</v>
      </c>
    </row>
    <row r="133" spans="1:8" x14ac:dyDescent="0.2">
      <c r="A133" s="9"/>
      <c r="H133" s="39"/>
    </row>
    <row r="134" spans="1:8" x14ac:dyDescent="0.2">
      <c r="A134" s="9"/>
      <c r="B134" s="74" t="s">
        <v>504</v>
      </c>
      <c r="H134" s="39"/>
    </row>
    <row r="135" spans="1:8" x14ac:dyDescent="0.2">
      <c r="A135" s="9"/>
      <c r="B135" s="2" t="s">
        <v>158</v>
      </c>
      <c r="F135" s="2" t="s">
        <v>159</v>
      </c>
      <c r="H135" s="29" t="str">
        <f>'Est. production and costs 2025'!H53</f>
        <v>confidential</v>
      </c>
    </row>
    <row r="136" spans="1:8" x14ac:dyDescent="0.2">
      <c r="A136" s="9"/>
      <c r="B136" s="2" t="s">
        <v>120</v>
      </c>
      <c r="F136" s="2" t="s">
        <v>121</v>
      </c>
      <c r="H136" s="136" t="e">
        <f>'Est. production and costs 2025'!H54</f>
        <v>#VALUE!</v>
      </c>
    </row>
    <row r="137" spans="1:8" x14ac:dyDescent="0.2">
      <c r="A137" s="9"/>
      <c r="B137" s="2" t="s">
        <v>161</v>
      </c>
      <c r="F137" s="2" t="s">
        <v>123</v>
      </c>
      <c r="H137" s="88" t="str">
        <f>'Est. production and costs 2025'!H55</f>
        <v>confidential</v>
      </c>
    </row>
    <row r="138" spans="1:8" x14ac:dyDescent="0.2">
      <c r="A138" s="9"/>
      <c r="H138" s="39"/>
    </row>
    <row r="139" spans="1:8" x14ac:dyDescent="0.2">
      <c r="A139" s="9"/>
      <c r="B139" s="74" t="s">
        <v>505</v>
      </c>
      <c r="H139" s="39"/>
    </row>
    <row r="140" spans="1:8" x14ac:dyDescent="0.2">
      <c r="A140" s="9"/>
      <c r="B140" s="2" t="s">
        <v>158</v>
      </c>
      <c r="F140" s="2" t="s">
        <v>159</v>
      </c>
      <c r="H140" s="29" t="str">
        <f>'Est. production and costs 2025'!H58</f>
        <v>confidential</v>
      </c>
    </row>
    <row r="141" spans="1:8" x14ac:dyDescent="0.2">
      <c r="A141" s="9"/>
      <c r="B141" s="2" t="s">
        <v>120</v>
      </c>
      <c r="F141" s="2" t="s">
        <v>121</v>
      </c>
      <c r="H141" s="136" t="e">
        <f>'Est. production and costs 2025'!H59</f>
        <v>#VALUE!</v>
      </c>
    </row>
    <row r="142" spans="1:8" x14ac:dyDescent="0.2">
      <c r="A142" s="9"/>
      <c r="B142" s="2" t="s">
        <v>161</v>
      </c>
      <c r="F142" s="2" t="s">
        <v>123</v>
      </c>
      <c r="H142" s="88" t="str">
        <f>'Est. production and costs 2025'!H60</f>
        <v>confidential</v>
      </c>
    </row>
    <row r="143" spans="1:8" x14ac:dyDescent="0.2">
      <c r="A143" s="9"/>
      <c r="H143" s="39"/>
    </row>
    <row r="144" spans="1:8" x14ac:dyDescent="0.2">
      <c r="A144" s="9"/>
      <c r="B144" s="74" t="s">
        <v>508</v>
      </c>
      <c r="H144" s="39"/>
    </row>
    <row r="145" spans="1:8" x14ac:dyDescent="0.2">
      <c r="A145" s="9"/>
      <c r="B145" s="2" t="s">
        <v>158</v>
      </c>
      <c r="F145" s="2" t="s">
        <v>159</v>
      </c>
      <c r="H145" s="29" t="str">
        <f>'Est. production and costs 2025'!H63</f>
        <v>confidential</v>
      </c>
    </row>
    <row r="146" spans="1:8" x14ac:dyDescent="0.2">
      <c r="A146" s="9"/>
      <c r="B146" s="2" t="s">
        <v>120</v>
      </c>
      <c r="F146" s="2" t="s">
        <v>121</v>
      </c>
      <c r="H146" s="136" t="e">
        <f>'Est. production and costs 2025'!H64</f>
        <v>#VALUE!</v>
      </c>
    </row>
    <row r="147" spans="1:8" x14ac:dyDescent="0.2">
      <c r="A147" s="9"/>
      <c r="B147" s="2" t="s">
        <v>161</v>
      </c>
      <c r="F147" s="2" t="s">
        <v>123</v>
      </c>
      <c r="H147" s="88" t="str">
        <f>'Est. production and costs 2025'!H65</f>
        <v>confidential</v>
      </c>
    </row>
    <row r="148" spans="1:8" x14ac:dyDescent="0.2">
      <c r="A148" s="9"/>
      <c r="H148" s="39"/>
    </row>
    <row r="149" spans="1:8" x14ac:dyDescent="0.2">
      <c r="A149" s="9"/>
      <c r="B149" s="74" t="s">
        <v>509</v>
      </c>
      <c r="H149" s="39"/>
    </row>
    <row r="150" spans="1:8" x14ac:dyDescent="0.2">
      <c r="A150" s="9"/>
      <c r="B150" s="2" t="s">
        <v>158</v>
      </c>
      <c r="F150" s="2" t="s">
        <v>159</v>
      </c>
      <c r="H150" s="29" t="str">
        <f>'Est. production and costs 2025'!H68</f>
        <v>confidential</v>
      </c>
    </row>
    <row r="151" spans="1:8" x14ac:dyDescent="0.2">
      <c r="A151" s="9"/>
      <c r="B151" s="2" t="s">
        <v>120</v>
      </c>
      <c r="F151" s="2" t="s">
        <v>121</v>
      </c>
      <c r="H151" s="136" t="e">
        <f>'Est. production and costs 2025'!H69</f>
        <v>#VALUE!</v>
      </c>
    </row>
    <row r="152" spans="1:8" x14ac:dyDescent="0.2">
      <c r="A152" s="9"/>
      <c r="B152" s="2" t="s">
        <v>161</v>
      </c>
      <c r="F152" s="2" t="s">
        <v>123</v>
      </c>
      <c r="H152" s="88" t="str">
        <f>'Est. production and costs 2025'!H70</f>
        <v>confidential</v>
      </c>
    </row>
    <row r="153" spans="1:8" x14ac:dyDescent="0.2">
      <c r="A153" s="9"/>
      <c r="H153" s="39"/>
    </row>
    <row r="154" spans="1:8" x14ac:dyDescent="0.2">
      <c r="A154" s="9"/>
      <c r="B154" s="74" t="s">
        <v>510</v>
      </c>
      <c r="H154" s="39"/>
    </row>
    <row r="155" spans="1:8" x14ac:dyDescent="0.2">
      <c r="A155" s="9"/>
      <c r="B155" s="2" t="s">
        <v>158</v>
      </c>
      <c r="F155" s="2" t="s">
        <v>159</v>
      </c>
      <c r="H155" s="29" t="str">
        <f>'Est. production and costs 2025'!H73</f>
        <v>confidential</v>
      </c>
    </row>
    <row r="156" spans="1:8" x14ac:dyDescent="0.2">
      <c r="A156" s="9"/>
      <c r="B156" s="2" t="s">
        <v>120</v>
      </c>
      <c r="F156" s="2" t="s">
        <v>121</v>
      </c>
      <c r="H156" s="136" t="e">
        <f>'Est. production and costs 2025'!H74</f>
        <v>#VALUE!</v>
      </c>
    </row>
    <row r="157" spans="1:8" x14ac:dyDescent="0.2">
      <c r="A157" s="9"/>
      <c r="B157" s="2" t="s">
        <v>161</v>
      </c>
      <c r="F157" s="2" t="s">
        <v>123</v>
      </c>
      <c r="H157" s="88" t="str">
        <f>'Est. production and costs 2025'!H75</f>
        <v>confidential</v>
      </c>
    </row>
    <row r="158" spans="1:8" x14ac:dyDescent="0.2">
      <c r="A158" s="9"/>
      <c r="H158" s="39"/>
    </row>
    <row r="159" spans="1:8" x14ac:dyDescent="0.2">
      <c r="A159" s="9"/>
      <c r="B159" s="74" t="s">
        <v>511</v>
      </c>
      <c r="H159" s="39"/>
    </row>
    <row r="160" spans="1:8" x14ac:dyDescent="0.2">
      <c r="A160" s="9"/>
      <c r="B160" s="2" t="s">
        <v>158</v>
      </c>
      <c r="F160" s="2" t="s">
        <v>159</v>
      </c>
      <c r="H160" s="29" t="str">
        <f>'Est. production and costs 2025'!H78</f>
        <v>confidential</v>
      </c>
    </row>
    <row r="161" spans="1:12" x14ac:dyDescent="0.2">
      <c r="A161" s="9"/>
      <c r="B161" s="2" t="s">
        <v>120</v>
      </c>
      <c r="F161" s="2" t="s">
        <v>121</v>
      </c>
      <c r="H161" s="136" t="e">
        <f>'Est. production and costs 2025'!H79</f>
        <v>#VALUE!</v>
      </c>
    </row>
    <row r="162" spans="1:12" x14ac:dyDescent="0.2">
      <c r="A162" s="9"/>
      <c r="B162" s="2" t="s">
        <v>161</v>
      </c>
      <c r="F162" s="2" t="s">
        <v>123</v>
      </c>
      <c r="H162" s="88" t="str">
        <f>'Est. production and costs 2025'!H80</f>
        <v>confidential</v>
      </c>
    </row>
    <row r="165" spans="1:12" s="8" customFormat="1" x14ac:dyDescent="0.2">
      <c r="B165" s="8" t="s">
        <v>173</v>
      </c>
    </row>
    <row r="167" spans="1:12" x14ac:dyDescent="0.2">
      <c r="B167" s="1" t="s">
        <v>110</v>
      </c>
    </row>
    <row r="169" spans="1:12" x14ac:dyDescent="0.2">
      <c r="B169" s="2" t="s">
        <v>174</v>
      </c>
      <c r="F169" s="2" t="s">
        <v>79</v>
      </c>
      <c r="H169" s="30">
        <f>H25-H26</f>
        <v>60874000</v>
      </c>
    </row>
    <row r="170" spans="1:12" x14ac:dyDescent="0.2">
      <c r="B170" s="2" t="s">
        <v>175</v>
      </c>
      <c r="F170" s="2" t="s">
        <v>79</v>
      </c>
      <c r="H170" s="30">
        <f>H169-H27</f>
        <v>42178000</v>
      </c>
    </row>
    <row r="171" spans="1:12" x14ac:dyDescent="0.2">
      <c r="B171" s="2" t="s">
        <v>176</v>
      </c>
      <c r="F171" s="2" t="s">
        <v>79</v>
      </c>
      <c r="H171" s="30">
        <f>H170/H28</f>
        <v>2811866.6666666665</v>
      </c>
    </row>
    <row r="173" spans="1:12" x14ac:dyDescent="0.2">
      <c r="B173" s="2" t="s">
        <v>177</v>
      </c>
      <c r="F173" s="2" t="s">
        <v>79</v>
      </c>
      <c r="H173" s="82">
        <f>H169-(DATE(2016,1,1)-DATE(2010,8,20))/365.25*H171</f>
        <v>45784996.121378049</v>
      </c>
    </row>
    <row r="174" spans="1:12" x14ac:dyDescent="0.2">
      <c r="B174" s="2" t="s">
        <v>333</v>
      </c>
      <c r="F174" s="2" t="s">
        <v>79</v>
      </c>
      <c r="H174" s="82">
        <f>H173-(2022-2015)*H171</f>
        <v>26101929.454711385</v>
      </c>
      <c r="J174" s="39"/>
    </row>
    <row r="175" spans="1:12" x14ac:dyDescent="0.2">
      <c r="B175" s="2" t="s">
        <v>334</v>
      </c>
      <c r="F175" s="2" t="s">
        <v>79</v>
      </c>
      <c r="H175" s="82">
        <f>H173-(2023-2015)*H171</f>
        <v>23290062.788044717</v>
      </c>
    </row>
    <row r="176" spans="1:12" x14ac:dyDescent="0.2">
      <c r="B176" s="2" t="s">
        <v>335</v>
      </c>
      <c r="F176" s="2" t="s">
        <v>79</v>
      </c>
      <c r="H176" s="82">
        <f>AVERAGE(H174,H175)</f>
        <v>24695996.121378049</v>
      </c>
      <c r="L176" s="39"/>
    </row>
    <row r="177" spans="2:13" x14ac:dyDescent="0.2">
      <c r="B177" s="2" t="s">
        <v>336</v>
      </c>
      <c r="F177" s="2" t="s">
        <v>79</v>
      </c>
      <c r="H177" s="82">
        <f>H173-(2024-2015)*H171</f>
        <v>20478196.121378049</v>
      </c>
      <c r="K177" s="39"/>
      <c r="L177" s="39"/>
      <c r="M177" s="39"/>
    </row>
    <row r="178" spans="2:13" x14ac:dyDescent="0.2">
      <c r="B178" s="2" t="s">
        <v>337</v>
      </c>
      <c r="F178" s="2" t="s">
        <v>79</v>
      </c>
      <c r="H178" s="82">
        <f>H173-(2025-2015)*H171</f>
        <v>17666329.454711385</v>
      </c>
      <c r="K178" s="133"/>
      <c r="L178" s="39"/>
      <c r="M178" s="39"/>
    </row>
    <row r="179" spans="2:13" x14ac:dyDescent="0.2">
      <c r="B179" s="2" t="s">
        <v>338</v>
      </c>
      <c r="F179" s="2" t="s">
        <v>79</v>
      </c>
      <c r="H179" s="82">
        <f>AVERAGE(H177,H178)</f>
        <v>19072262.788044717</v>
      </c>
      <c r="K179" s="39"/>
      <c r="L179" s="39"/>
      <c r="M179" s="39"/>
    </row>
    <row r="182" spans="2:13" x14ac:dyDescent="0.2">
      <c r="B182" s="1" t="s">
        <v>178</v>
      </c>
    </row>
    <row r="184" spans="2:13" x14ac:dyDescent="0.2">
      <c r="B184" s="4" t="s">
        <v>117</v>
      </c>
    </row>
    <row r="185" spans="2:13" x14ac:dyDescent="0.2">
      <c r="B185" s="74" t="s">
        <v>118</v>
      </c>
    </row>
    <row r="186" spans="2:13" x14ac:dyDescent="0.2">
      <c r="B186" s="2" t="s">
        <v>179</v>
      </c>
      <c r="F186" s="2" t="s">
        <v>79</v>
      </c>
      <c r="H186" s="82">
        <f>H35/H36</f>
        <v>83665.729729729734</v>
      </c>
    </row>
    <row r="187" spans="2:13" x14ac:dyDescent="0.2">
      <c r="B187" s="2" t="s">
        <v>339</v>
      </c>
      <c r="F187" s="2" t="s">
        <v>79</v>
      </c>
      <c r="H187" s="82">
        <f>H35-(DATE(2024,1,1)-H37)/365.25*H186</f>
        <v>132298.94052574132</v>
      </c>
      <c r="J187" s="39"/>
    </row>
    <row r="189" spans="2:13" x14ac:dyDescent="0.2">
      <c r="B189" s="74" t="s">
        <v>124</v>
      </c>
    </row>
    <row r="190" spans="2:13" x14ac:dyDescent="0.2">
      <c r="B190" s="2" t="s">
        <v>180</v>
      </c>
      <c r="H190" s="91"/>
    </row>
    <row r="193" spans="2:8" x14ac:dyDescent="0.2">
      <c r="B193" s="4" t="s">
        <v>125</v>
      </c>
    </row>
    <row r="194" spans="2:8" x14ac:dyDescent="0.2">
      <c r="B194" s="74" t="s">
        <v>124</v>
      </c>
    </row>
    <row r="195" spans="2:8" x14ac:dyDescent="0.2">
      <c r="B195" s="2" t="s">
        <v>345</v>
      </c>
    </row>
    <row r="197" spans="2:8" x14ac:dyDescent="0.2">
      <c r="B197" s="74" t="s">
        <v>124</v>
      </c>
    </row>
    <row r="198" spans="2:8" x14ac:dyDescent="0.2">
      <c r="B198" s="2" t="s">
        <v>345</v>
      </c>
    </row>
    <row r="201" spans="2:8" x14ac:dyDescent="0.2">
      <c r="B201" s="4" t="s">
        <v>126</v>
      </c>
    </row>
    <row r="202" spans="2:8" x14ac:dyDescent="0.2">
      <c r="B202" s="74" t="s">
        <v>127</v>
      </c>
    </row>
    <row r="203" spans="2:8" x14ac:dyDescent="0.2">
      <c r="B203" s="2" t="s">
        <v>345</v>
      </c>
    </row>
    <row r="206" spans="2:8" x14ac:dyDescent="0.2">
      <c r="B206" s="4" t="s">
        <v>128</v>
      </c>
    </row>
    <row r="207" spans="2:8" x14ac:dyDescent="0.2">
      <c r="B207" s="74" t="s">
        <v>129</v>
      </c>
    </row>
    <row r="208" spans="2:8" x14ac:dyDescent="0.2">
      <c r="B208" s="2" t="s">
        <v>179</v>
      </c>
      <c r="F208" s="2" t="s">
        <v>79</v>
      </c>
      <c r="H208" s="82">
        <f>H68/H69</f>
        <v>3048.75</v>
      </c>
    </row>
    <row r="209" spans="2:13" x14ac:dyDescent="0.2">
      <c r="B209" s="2" t="s">
        <v>341</v>
      </c>
      <c r="F209" s="2" t="s">
        <v>79</v>
      </c>
      <c r="H209" s="82">
        <f>H68-(DATE(2023,1,1)-H70)/365.25*H208</f>
        <v>1510.811088295688</v>
      </c>
    </row>
    <row r="210" spans="2:13" x14ac:dyDescent="0.2">
      <c r="B210" s="2" t="s">
        <v>192</v>
      </c>
      <c r="F210" s="2" t="s">
        <v>79</v>
      </c>
      <c r="H210" s="29">
        <f>H209</f>
        <v>1510.811088295688</v>
      </c>
    </row>
    <row r="211" spans="2:13" x14ac:dyDescent="0.2">
      <c r="B211" s="2" t="s">
        <v>340</v>
      </c>
      <c r="F211" s="2" t="s">
        <v>79</v>
      </c>
      <c r="H211" s="82">
        <f>H209-H210</f>
        <v>0</v>
      </c>
    </row>
    <row r="214" spans="2:13" x14ac:dyDescent="0.2">
      <c r="B214" s="4" t="s">
        <v>130</v>
      </c>
    </row>
    <row r="215" spans="2:13" x14ac:dyDescent="0.2">
      <c r="B215" s="74" t="s">
        <v>129</v>
      </c>
    </row>
    <row r="216" spans="2:13" x14ac:dyDescent="0.2">
      <c r="B216" s="2" t="s">
        <v>179</v>
      </c>
      <c r="F216" s="2" t="s">
        <v>79</v>
      </c>
      <c r="H216" s="82">
        <f>H75/H76</f>
        <v>1094.75</v>
      </c>
    </row>
    <row r="217" spans="2:13" x14ac:dyDescent="0.2">
      <c r="B217" s="2" t="s">
        <v>344</v>
      </c>
      <c r="F217" s="2" t="s">
        <v>79</v>
      </c>
      <c r="H217" s="82">
        <f>H75-(DATE(2024,1,1)-H77)/365.25*H216</f>
        <v>269.75359342915817</v>
      </c>
    </row>
    <row r="219" spans="2:13" x14ac:dyDescent="0.2">
      <c r="L219" s="39"/>
      <c r="M219" s="39"/>
    </row>
    <row r="220" spans="2:13" x14ac:dyDescent="0.2">
      <c r="B220" s="4" t="s">
        <v>181</v>
      </c>
      <c r="K220" s="39"/>
      <c r="L220" s="39"/>
      <c r="M220" s="39"/>
    </row>
    <row r="221" spans="2:13" x14ac:dyDescent="0.2">
      <c r="B221" s="2" t="s">
        <v>342</v>
      </c>
      <c r="F221" s="2" t="s">
        <v>79</v>
      </c>
      <c r="H221" s="30">
        <f>H187+H211+H217</f>
        <v>132568.69411917048</v>
      </c>
      <c r="K221" s="39"/>
      <c r="M221" s="39"/>
    </row>
    <row r="222" spans="2:13" x14ac:dyDescent="0.2">
      <c r="B222" s="2" t="s">
        <v>343</v>
      </c>
      <c r="F222" s="2" t="s">
        <v>79</v>
      </c>
      <c r="H222" s="30">
        <f>H186+H210+H216</f>
        <v>86271.290818025416</v>
      </c>
      <c r="K222" s="39"/>
      <c r="L222" s="39"/>
      <c r="M222" s="39"/>
    </row>
    <row r="225" spans="1:10" x14ac:dyDescent="0.2">
      <c r="B225" s="1" t="s">
        <v>133</v>
      </c>
    </row>
    <row r="227" spans="1:10" x14ac:dyDescent="0.2">
      <c r="B227" s="74" t="s">
        <v>182</v>
      </c>
    </row>
    <row r="228" spans="1:10" x14ac:dyDescent="0.2">
      <c r="A228" s="9"/>
      <c r="B228" s="2" t="s">
        <v>179</v>
      </c>
      <c r="F228" s="2" t="s">
        <v>79</v>
      </c>
      <c r="H228" s="30" t="e">
        <f>H82/H83</f>
        <v>#VALUE!</v>
      </c>
      <c r="J228" s="140" t="s">
        <v>588</v>
      </c>
    </row>
    <row r="229" spans="1:10" x14ac:dyDescent="0.2">
      <c r="A229" s="9"/>
      <c r="B229" s="2" t="s">
        <v>346</v>
      </c>
      <c r="F229" s="2" t="s">
        <v>79</v>
      </c>
      <c r="H229" s="92" t="e">
        <f>H82-(DATE(2023,1,1)-H84)/365.25*H228</f>
        <v>#VALUE!</v>
      </c>
    </row>
    <row r="230" spans="1:10" x14ac:dyDescent="0.2">
      <c r="A230" s="9"/>
      <c r="B230" s="2" t="s">
        <v>193</v>
      </c>
      <c r="F230" s="2" t="s">
        <v>79</v>
      </c>
      <c r="H230" s="92" t="e">
        <f>H82-(DATE(2024,1,1)-H84)/365.25*H228</f>
        <v>#VALUE!</v>
      </c>
    </row>
    <row r="231" spans="1:10" x14ac:dyDescent="0.2">
      <c r="A231" s="9"/>
      <c r="B231" s="2" t="s">
        <v>347</v>
      </c>
      <c r="F231" s="2" t="s">
        <v>79</v>
      </c>
      <c r="H231" s="30" t="e">
        <f>AVERAGE(H229:H230)</f>
        <v>#VALUE!</v>
      </c>
    </row>
    <row r="232" spans="1:10" x14ac:dyDescent="0.2">
      <c r="A232" s="9"/>
      <c r="B232" s="2" t="s">
        <v>192</v>
      </c>
      <c r="F232" s="2" t="s">
        <v>79</v>
      </c>
      <c r="H232" s="29" t="e">
        <f>H228</f>
        <v>#VALUE!</v>
      </c>
    </row>
    <row r="233" spans="1:10" x14ac:dyDescent="0.2">
      <c r="A233" s="9"/>
    </row>
    <row r="234" spans="1:10" x14ac:dyDescent="0.2">
      <c r="A234" s="9"/>
      <c r="B234" s="2" t="s">
        <v>348</v>
      </c>
      <c r="F234" s="2" t="s">
        <v>79</v>
      </c>
      <c r="H234" s="92" t="e">
        <f>H82-(DATE(2025,1,1)-H84)/365.25*H228</f>
        <v>#VALUE!</v>
      </c>
      <c r="J234" s="140" t="s">
        <v>588</v>
      </c>
    </row>
    <row r="235" spans="1:10" x14ac:dyDescent="0.2">
      <c r="A235" s="9"/>
      <c r="B235" s="2" t="s">
        <v>349</v>
      </c>
      <c r="F235" s="2" t="s">
        <v>79</v>
      </c>
      <c r="H235" s="92" t="e">
        <f>H82-(DATE(2026,1,1)-H84)/365.25*H228</f>
        <v>#VALUE!</v>
      </c>
    </row>
    <row r="236" spans="1:10" x14ac:dyDescent="0.2">
      <c r="A236" s="9"/>
      <c r="B236" s="2" t="s">
        <v>350</v>
      </c>
      <c r="F236" s="2" t="s">
        <v>79</v>
      </c>
      <c r="H236" s="30" t="e">
        <f>AVERAGE(H234:H235)</f>
        <v>#VALUE!</v>
      </c>
    </row>
    <row r="237" spans="1:10" x14ac:dyDescent="0.2">
      <c r="A237" s="9"/>
    </row>
    <row r="238" spans="1:10" x14ac:dyDescent="0.2">
      <c r="A238" s="9"/>
      <c r="B238" s="74" t="s">
        <v>183</v>
      </c>
    </row>
    <row r="239" spans="1:10" x14ac:dyDescent="0.2">
      <c r="A239" s="9"/>
      <c r="B239" s="2" t="s">
        <v>179</v>
      </c>
      <c r="F239" s="2" t="s">
        <v>79</v>
      </c>
      <c r="H239" s="30" t="e">
        <f>H86/H87</f>
        <v>#VALUE!</v>
      </c>
      <c r="J239" s="140" t="s">
        <v>588</v>
      </c>
    </row>
    <row r="240" spans="1:10" x14ac:dyDescent="0.2">
      <c r="A240" s="9"/>
      <c r="B240" s="2" t="s">
        <v>346</v>
      </c>
      <c r="F240" s="2" t="s">
        <v>79</v>
      </c>
      <c r="H240" s="92" t="e">
        <f>H86-(DATE(2023,1,1)-H88)/365.25*H239</f>
        <v>#VALUE!</v>
      </c>
    </row>
    <row r="241" spans="1:13" x14ac:dyDescent="0.2">
      <c r="A241" s="9"/>
      <c r="B241" s="2" t="s">
        <v>193</v>
      </c>
      <c r="F241" s="2" t="s">
        <v>79</v>
      </c>
      <c r="H241" s="92" t="e">
        <f>H86-(DATE(2024,1,1)-H88)/365.25*H239</f>
        <v>#VALUE!</v>
      </c>
    </row>
    <row r="242" spans="1:13" x14ac:dyDescent="0.2">
      <c r="A242" s="9"/>
      <c r="B242" s="2" t="s">
        <v>347</v>
      </c>
      <c r="F242" s="2" t="s">
        <v>79</v>
      </c>
      <c r="H242" s="30" t="e">
        <f>AVERAGE(H240:H241)</f>
        <v>#VALUE!</v>
      </c>
    </row>
    <row r="243" spans="1:13" x14ac:dyDescent="0.2">
      <c r="A243" s="9"/>
      <c r="B243" s="2" t="s">
        <v>192</v>
      </c>
      <c r="F243" s="2" t="s">
        <v>79</v>
      </c>
      <c r="H243" s="29" t="e">
        <f>H239</f>
        <v>#VALUE!</v>
      </c>
    </row>
    <row r="244" spans="1:13" x14ac:dyDescent="0.2">
      <c r="A244" s="9"/>
    </row>
    <row r="245" spans="1:13" x14ac:dyDescent="0.2">
      <c r="A245" s="9"/>
      <c r="B245" s="2" t="s">
        <v>348</v>
      </c>
      <c r="F245" s="2" t="s">
        <v>79</v>
      </c>
      <c r="H245" s="92" t="e">
        <f>H86-(DATE(2025,1,1)-H88)/365.25*H239</f>
        <v>#VALUE!</v>
      </c>
      <c r="J245" s="140" t="s">
        <v>588</v>
      </c>
      <c r="L245" s="39"/>
    </row>
    <row r="246" spans="1:13" x14ac:dyDescent="0.2">
      <c r="A246" s="9"/>
      <c r="B246" s="2" t="s">
        <v>349</v>
      </c>
      <c r="F246" s="2" t="s">
        <v>79</v>
      </c>
      <c r="H246" s="92" t="e">
        <f>H86-(DATE(2026,1,1)-H88)/365.25*H239</f>
        <v>#VALUE!</v>
      </c>
      <c r="K246" s="39"/>
      <c r="L246" s="39"/>
      <c r="M246" s="39"/>
    </row>
    <row r="247" spans="1:13" x14ac:dyDescent="0.2">
      <c r="A247" s="9"/>
      <c r="B247" s="2" t="s">
        <v>350</v>
      </c>
      <c r="F247" s="2" t="s">
        <v>79</v>
      </c>
      <c r="H247" s="30" t="e">
        <f>AVERAGE(H245:H246)</f>
        <v>#VALUE!</v>
      </c>
      <c r="K247" s="39"/>
      <c r="L247" s="39"/>
      <c r="M247" s="39"/>
    </row>
    <row r="248" spans="1:13" x14ac:dyDescent="0.2">
      <c r="A248" s="9"/>
      <c r="K248" s="39"/>
      <c r="L248" s="39"/>
      <c r="M248" s="39"/>
    </row>
    <row r="249" spans="1:13" x14ac:dyDescent="0.2">
      <c r="A249" s="9"/>
    </row>
    <row r="250" spans="1:13" x14ac:dyDescent="0.2">
      <c r="A250" s="9"/>
      <c r="B250" s="1" t="s">
        <v>329</v>
      </c>
    </row>
    <row r="251" spans="1:13" x14ac:dyDescent="0.2">
      <c r="A251" s="9"/>
    </row>
    <row r="252" spans="1:13" x14ac:dyDescent="0.2">
      <c r="A252" s="9"/>
      <c r="B252" s="74" t="s">
        <v>184</v>
      </c>
    </row>
    <row r="253" spans="1:13" x14ac:dyDescent="0.2">
      <c r="A253" s="9"/>
      <c r="B253" s="2" t="s">
        <v>179</v>
      </c>
      <c r="F253" s="2" t="s">
        <v>79</v>
      </c>
      <c r="H253" s="30" t="e">
        <f>H93/H94</f>
        <v>#VALUE!</v>
      </c>
      <c r="J253" s="140" t="s">
        <v>588</v>
      </c>
    </row>
    <row r="254" spans="1:13" x14ac:dyDescent="0.2">
      <c r="A254" s="9"/>
      <c r="B254" s="2" t="s">
        <v>192</v>
      </c>
      <c r="F254" s="2" t="s">
        <v>79</v>
      </c>
      <c r="H254" s="30" t="e">
        <f>((DATE(2024,1,1)-H95)/365.25)*H253</f>
        <v>#VALUE!</v>
      </c>
    </row>
    <row r="255" spans="1:13" x14ac:dyDescent="0.2">
      <c r="A255" s="9"/>
      <c r="B255" s="2" t="s">
        <v>188</v>
      </c>
      <c r="F255" s="2" t="s">
        <v>79</v>
      </c>
      <c r="H255" s="29" t="str">
        <f>H93</f>
        <v>confidential</v>
      </c>
    </row>
    <row r="256" spans="1:13" x14ac:dyDescent="0.2">
      <c r="A256" s="9"/>
      <c r="B256" s="2" t="s">
        <v>193</v>
      </c>
      <c r="F256" s="2" t="s">
        <v>79</v>
      </c>
      <c r="H256" s="30" t="e">
        <f>H255-H254</f>
        <v>#VALUE!</v>
      </c>
    </row>
    <row r="257" spans="1:11" x14ac:dyDescent="0.2">
      <c r="A257" s="9"/>
      <c r="B257" s="2" t="s">
        <v>354</v>
      </c>
      <c r="F257" s="2" t="s">
        <v>79</v>
      </c>
      <c r="H257" s="30" t="e">
        <f>AVERAGE(H255:H256)</f>
        <v>#VALUE!</v>
      </c>
    </row>
    <row r="258" spans="1:11" x14ac:dyDescent="0.2">
      <c r="A258" s="9"/>
      <c r="B258" s="2" t="s">
        <v>355</v>
      </c>
      <c r="F258" s="2" t="s">
        <v>189</v>
      </c>
      <c r="H258" s="30" t="e">
        <f>((DATE(2024,1,1)-H95)/365.25)*12</f>
        <v>#VALUE!</v>
      </c>
    </row>
    <row r="259" spans="1:11" x14ac:dyDescent="0.2">
      <c r="A259" s="9"/>
      <c r="B259" s="2" t="s">
        <v>356</v>
      </c>
      <c r="F259" s="2" t="s">
        <v>79</v>
      </c>
      <c r="H259" s="30" t="e">
        <f>H257*(H258/12)*(1-H96)</f>
        <v>#VALUE!</v>
      </c>
    </row>
    <row r="260" spans="1:11" x14ac:dyDescent="0.2">
      <c r="A260" s="9"/>
      <c r="B260" s="2" t="s">
        <v>353</v>
      </c>
      <c r="F260" s="2" t="s">
        <v>79</v>
      </c>
      <c r="H260" s="30" t="e">
        <f>H254*(1-H96)</f>
        <v>#VALUE!</v>
      </c>
    </row>
    <row r="261" spans="1:11" x14ac:dyDescent="0.2">
      <c r="A261" s="9"/>
      <c r="H261" s="93"/>
    </row>
    <row r="262" spans="1:11" x14ac:dyDescent="0.2">
      <c r="A262" s="9"/>
      <c r="B262" s="2" t="s">
        <v>348</v>
      </c>
      <c r="F262" s="2" t="s">
        <v>79</v>
      </c>
      <c r="H262" s="30" t="e">
        <f>H93-(DATE(2025,1,1)-H95)/365.25*H253</f>
        <v>#VALUE!</v>
      </c>
      <c r="J262" s="140" t="s">
        <v>588</v>
      </c>
    </row>
    <row r="263" spans="1:11" x14ac:dyDescent="0.2">
      <c r="A263" s="9"/>
      <c r="B263" s="2" t="s">
        <v>349</v>
      </c>
      <c r="F263" s="2" t="s">
        <v>79</v>
      </c>
      <c r="H263" s="30" t="e">
        <f>H93-(DATE(2026,1,1)-H95)/365.25*H253</f>
        <v>#VALUE!</v>
      </c>
    </row>
    <row r="264" spans="1:11" x14ac:dyDescent="0.2">
      <c r="A264" s="9"/>
      <c r="B264" s="2" t="s">
        <v>350</v>
      </c>
      <c r="F264" s="2" t="s">
        <v>79</v>
      </c>
      <c r="H264" s="30" t="e">
        <f>AVERAGE(H262:H263)</f>
        <v>#VALUE!</v>
      </c>
    </row>
    <row r="265" spans="1:11" x14ac:dyDescent="0.2">
      <c r="A265" s="9"/>
      <c r="B265" s="2" t="s">
        <v>351</v>
      </c>
      <c r="F265" s="2" t="s">
        <v>79</v>
      </c>
      <c r="H265" s="94" t="e">
        <f>H264*(1-H96)</f>
        <v>#VALUE!</v>
      </c>
    </row>
    <row r="266" spans="1:11" x14ac:dyDescent="0.2">
      <c r="A266" s="9"/>
      <c r="B266" s="2" t="s">
        <v>352</v>
      </c>
      <c r="F266" s="2" t="s">
        <v>79</v>
      </c>
      <c r="H266" s="94" t="e">
        <f>H253*(1-H96)</f>
        <v>#VALUE!</v>
      </c>
    </row>
    <row r="267" spans="1:11" x14ac:dyDescent="0.2">
      <c r="A267" s="9"/>
    </row>
    <row r="268" spans="1:11" x14ac:dyDescent="0.2">
      <c r="A268" s="9"/>
      <c r="B268" s="74" t="s">
        <v>186</v>
      </c>
      <c r="K268" s="39"/>
    </row>
    <row r="269" spans="1:11" x14ac:dyDescent="0.2">
      <c r="A269" s="9"/>
      <c r="B269" s="2" t="s">
        <v>179</v>
      </c>
      <c r="F269" s="2" t="s">
        <v>79</v>
      </c>
      <c r="H269" s="30" t="e">
        <f>H98/H99</f>
        <v>#VALUE!</v>
      </c>
      <c r="J269" s="140" t="s">
        <v>588</v>
      </c>
      <c r="K269" s="73"/>
    </row>
    <row r="270" spans="1:11" x14ac:dyDescent="0.2">
      <c r="A270" s="9"/>
      <c r="B270" s="2" t="s">
        <v>192</v>
      </c>
      <c r="F270" s="2" t="s">
        <v>79</v>
      </c>
      <c r="H270" s="30" t="e">
        <f>((DATE(2024,1,1)-H100)/365.25)*H269</f>
        <v>#VALUE!</v>
      </c>
      <c r="K270" s="73"/>
    </row>
    <row r="271" spans="1:11" x14ac:dyDescent="0.2">
      <c r="A271" s="9"/>
      <c r="B271" s="2" t="s">
        <v>188</v>
      </c>
      <c r="F271" s="2" t="s">
        <v>79</v>
      </c>
      <c r="H271" s="29" t="str">
        <f>H98</f>
        <v>confidential</v>
      </c>
      <c r="K271" s="73"/>
    </row>
    <row r="272" spans="1:11" x14ac:dyDescent="0.2">
      <c r="A272" s="9"/>
      <c r="B272" s="2" t="s">
        <v>193</v>
      </c>
      <c r="F272" s="2" t="s">
        <v>79</v>
      </c>
      <c r="H272" s="30" t="e">
        <f>H271-H270</f>
        <v>#VALUE!</v>
      </c>
      <c r="K272" s="73"/>
    </row>
    <row r="273" spans="1:13" x14ac:dyDescent="0.2">
      <c r="A273" s="9"/>
      <c r="B273" s="2" t="s">
        <v>354</v>
      </c>
      <c r="F273" s="2" t="s">
        <v>79</v>
      </c>
      <c r="H273" s="30" t="e">
        <f>AVERAGE(H271:H272)</f>
        <v>#VALUE!</v>
      </c>
      <c r="K273" s="73"/>
    </row>
    <row r="274" spans="1:13" x14ac:dyDescent="0.2">
      <c r="A274" s="9"/>
      <c r="B274" s="2" t="s">
        <v>355</v>
      </c>
      <c r="F274" s="2" t="s">
        <v>189</v>
      </c>
      <c r="H274" s="30" t="e">
        <f>((DATE(2024,1,1)-H100)/365.25)*12</f>
        <v>#VALUE!</v>
      </c>
      <c r="K274" s="73"/>
    </row>
    <row r="275" spans="1:13" x14ac:dyDescent="0.2">
      <c r="A275" s="9"/>
      <c r="B275" s="2" t="s">
        <v>356</v>
      </c>
      <c r="F275" s="2" t="s">
        <v>79</v>
      </c>
      <c r="H275" s="30" t="e">
        <f>H273*(H274/12)*(1-H101)</f>
        <v>#VALUE!</v>
      </c>
      <c r="K275" s="73"/>
    </row>
    <row r="276" spans="1:13" x14ac:dyDescent="0.2">
      <c r="A276" s="9"/>
      <c r="B276" s="2" t="s">
        <v>353</v>
      </c>
      <c r="F276" s="2" t="s">
        <v>79</v>
      </c>
      <c r="H276" s="30" t="e">
        <f>H270*(1-H101)</f>
        <v>#VALUE!</v>
      </c>
      <c r="K276" s="73"/>
    </row>
    <row r="277" spans="1:13" x14ac:dyDescent="0.2">
      <c r="A277" s="9"/>
      <c r="H277" s="93"/>
      <c r="K277" s="73"/>
    </row>
    <row r="278" spans="1:13" x14ac:dyDescent="0.2">
      <c r="A278" s="9"/>
      <c r="B278" s="2" t="s">
        <v>348</v>
      </c>
      <c r="F278" s="2" t="s">
        <v>79</v>
      </c>
      <c r="H278" s="30" t="e">
        <f>H98-(DATE(2025,1,1)-H100)/365.25*H269</f>
        <v>#VALUE!</v>
      </c>
      <c r="J278" s="140" t="s">
        <v>588</v>
      </c>
      <c r="K278" s="73"/>
    </row>
    <row r="279" spans="1:13" x14ac:dyDescent="0.2">
      <c r="A279" s="9"/>
      <c r="B279" s="2" t="s">
        <v>349</v>
      </c>
      <c r="F279" s="2" t="s">
        <v>79</v>
      </c>
      <c r="H279" s="30" t="e">
        <f>H98-(DATE(2026,1,1)-H100)/365.25*H269</f>
        <v>#VALUE!</v>
      </c>
      <c r="K279" s="73"/>
      <c r="L279" s="39"/>
    </row>
    <row r="280" spans="1:13" x14ac:dyDescent="0.2">
      <c r="A280" s="9"/>
      <c r="B280" s="2" t="s">
        <v>350</v>
      </c>
      <c r="F280" s="2" t="s">
        <v>79</v>
      </c>
      <c r="H280" s="30" t="e">
        <f>AVERAGE(H278:H279)</f>
        <v>#VALUE!</v>
      </c>
      <c r="K280" s="39"/>
      <c r="L280" s="39"/>
      <c r="M280" s="39"/>
    </row>
    <row r="281" spans="1:13" x14ac:dyDescent="0.2">
      <c r="A281" s="9"/>
      <c r="B281" s="2" t="s">
        <v>351</v>
      </c>
      <c r="F281" s="2" t="s">
        <v>79</v>
      </c>
      <c r="H281" s="94" t="e">
        <f>H280*(1-H101)</f>
        <v>#VALUE!</v>
      </c>
      <c r="K281" s="39"/>
      <c r="L281" s="39"/>
    </row>
    <row r="282" spans="1:13" x14ac:dyDescent="0.2">
      <c r="A282" s="9"/>
      <c r="B282" s="2" t="s">
        <v>352</v>
      </c>
      <c r="F282" s="2" t="s">
        <v>79</v>
      </c>
      <c r="H282" s="94" t="e">
        <f>H269*(1-H101)</f>
        <v>#VALUE!</v>
      </c>
      <c r="K282" s="39"/>
      <c r="L282" s="39"/>
      <c r="M282" s="39"/>
    </row>
    <row r="283" spans="1:13" x14ac:dyDescent="0.2">
      <c r="A283" s="9"/>
    </row>
    <row r="284" spans="1:13" x14ac:dyDescent="0.2">
      <c r="A284" s="9"/>
    </row>
    <row r="285" spans="1:13" x14ac:dyDescent="0.2">
      <c r="A285" s="9"/>
      <c r="B285" s="1" t="s">
        <v>331</v>
      </c>
    </row>
    <row r="286" spans="1:13" x14ac:dyDescent="0.2">
      <c r="A286" s="9"/>
    </row>
    <row r="287" spans="1:13" x14ac:dyDescent="0.2">
      <c r="A287" s="85"/>
      <c r="B287" s="74" t="s">
        <v>187</v>
      </c>
    </row>
    <row r="288" spans="1:13" x14ac:dyDescent="0.2">
      <c r="A288" s="85"/>
      <c r="B288" s="2" t="s">
        <v>179</v>
      </c>
      <c r="F288" s="2" t="s">
        <v>79</v>
      </c>
      <c r="H288" s="30" t="e">
        <f>H107/H108</f>
        <v>#VALUE!</v>
      </c>
      <c r="J288" s="140" t="s">
        <v>588</v>
      </c>
    </row>
    <row r="289" spans="1:10" x14ac:dyDescent="0.2">
      <c r="A289" s="85"/>
      <c r="B289" s="2" t="s">
        <v>348</v>
      </c>
      <c r="F289" s="2" t="s">
        <v>79</v>
      </c>
      <c r="H289" s="30" t="e">
        <f>H107-((DATE(2025,1,1)-H109)/365.25)*H288</f>
        <v>#VALUE!</v>
      </c>
    </row>
    <row r="290" spans="1:10" x14ac:dyDescent="0.2">
      <c r="A290" s="85"/>
      <c r="B290" s="2" t="s">
        <v>349</v>
      </c>
      <c r="F290" s="2" t="s">
        <v>79</v>
      </c>
      <c r="H290" s="30" t="e">
        <f>H107-((DATE(2026,1,1)-H109)/365.25)*H288</f>
        <v>#VALUE!</v>
      </c>
    </row>
    <row r="291" spans="1:10" x14ac:dyDescent="0.2">
      <c r="A291" s="85"/>
      <c r="B291" s="2" t="s">
        <v>350</v>
      </c>
      <c r="F291" s="2" t="s">
        <v>79</v>
      </c>
      <c r="H291" s="94" t="e">
        <f>AVERAGE(H289:H290)</f>
        <v>#VALUE!</v>
      </c>
    </row>
    <row r="292" spans="1:10" x14ac:dyDescent="0.2">
      <c r="A292" s="9"/>
    </row>
    <row r="293" spans="1:10" x14ac:dyDescent="0.2">
      <c r="A293" s="9"/>
      <c r="B293" s="74" t="s">
        <v>190</v>
      </c>
    </row>
    <row r="294" spans="1:10" x14ac:dyDescent="0.2">
      <c r="A294" s="9"/>
      <c r="B294" s="2" t="s">
        <v>179</v>
      </c>
      <c r="F294" s="2" t="s">
        <v>79</v>
      </c>
      <c r="H294" s="30" t="e">
        <f>H112/H113</f>
        <v>#VALUE!</v>
      </c>
      <c r="J294" s="140" t="s">
        <v>588</v>
      </c>
    </row>
    <row r="295" spans="1:10" x14ac:dyDescent="0.2">
      <c r="A295" s="9"/>
      <c r="B295" s="2" t="s">
        <v>348</v>
      </c>
      <c r="F295" s="2" t="s">
        <v>79</v>
      </c>
      <c r="H295" s="30" t="e">
        <f>H112-((DATE(2025,1,1)-H114)/365.25)*H294</f>
        <v>#VALUE!</v>
      </c>
    </row>
    <row r="296" spans="1:10" x14ac:dyDescent="0.2">
      <c r="A296" s="9"/>
      <c r="B296" s="2" t="s">
        <v>349</v>
      </c>
      <c r="F296" s="2" t="s">
        <v>79</v>
      </c>
      <c r="H296" s="30" t="e">
        <f>H112-((DATE(2026,1,1)-H114)/365.25)*H294</f>
        <v>#VALUE!</v>
      </c>
    </row>
    <row r="297" spans="1:10" x14ac:dyDescent="0.2">
      <c r="A297" s="9"/>
      <c r="B297" s="2" t="s">
        <v>350</v>
      </c>
      <c r="F297" s="2" t="s">
        <v>79</v>
      </c>
      <c r="H297" s="94" t="e">
        <f>AVERAGE(H295:H296)</f>
        <v>#VALUE!</v>
      </c>
    </row>
    <row r="298" spans="1:10" x14ac:dyDescent="0.2">
      <c r="A298" s="9"/>
    </row>
    <row r="299" spans="1:10" x14ac:dyDescent="0.2">
      <c r="A299" s="9"/>
      <c r="B299" s="74" t="s">
        <v>191</v>
      </c>
    </row>
    <row r="300" spans="1:10" x14ac:dyDescent="0.2">
      <c r="A300" s="9"/>
      <c r="B300" s="2" t="s">
        <v>179</v>
      </c>
      <c r="F300" s="2" t="s">
        <v>79</v>
      </c>
      <c r="H300" s="30" t="e">
        <f>H117/H118</f>
        <v>#VALUE!</v>
      </c>
      <c r="J300" s="140" t="s">
        <v>588</v>
      </c>
    </row>
    <row r="301" spans="1:10" x14ac:dyDescent="0.2">
      <c r="A301" s="9"/>
      <c r="B301" s="2" t="s">
        <v>192</v>
      </c>
      <c r="F301" s="2" t="s">
        <v>79</v>
      </c>
      <c r="H301" s="30" t="e">
        <f>((DATE(2024,1,1)-H119)/365.25)*H300</f>
        <v>#VALUE!</v>
      </c>
    </row>
    <row r="302" spans="1:10" x14ac:dyDescent="0.2">
      <c r="A302" s="9"/>
      <c r="B302" s="2" t="s">
        <v>188</v>
      </c>
      <c r="F302" s="2" t="s">
        <v>79</v>
      </c>
      <c r="H302" s="29" t="str">
        <f>H117</f>
        <v>confidential</v>
      </c>
    </row>
    <row r="303" spans="1:10" x14ac:dyDescent="0.2">
      <c r="A303" s="9"/>
      <c r="B303" s="2" t="s">
        <v>193</v>
      </c>
      <c r="F303" s="2" t="s">
        <v>79</v>
      </c>
      <c r="H303" s="30" t="e">
        <f>H302-H301</f>
        <v>#VALUE!</v>
      </c>
    </row>
    <row r="304" spans="1:10" x14ac:dyDescent="0.2">
      <c r="A304" s="9"/>
      <c r="B304" s="2" t="s">
        <v>354</v>
      </c>
      <c r="F304" s="2" t="s">
        <v>79</v>
      </c>
      <c r="H304" s="30" t="e">
        <f>AVERAGE(H302:H303)</f>
        <v>#VALUE!</v>
      </c>
    </row>
    <row r="305" spans="1:13" x14ac:dyDescent="0.2">
      <c r="A305" s="9"/>
      <c r="B305" s="2" t="s">
        <v>355</v>
      </c>
      <c r="F305" s="2" t="s">
        <v>189</v>
      </c>
      <c r="H305" s="30" t="e">
        <f>((DATE(2024,1,1)-H119)/365.25)*12</f>
        <v>#VALUE!</v>
      </c>
    </row>
    <row r="306" spans="1:13" x14ac:dyDescent="0.2">
      <c r="A306" s="9"/>
      <c r="B306" s="2" t="s">
        <v>373</v>
      </c>
      <c r="F306" s="2" t="s">
        <v>79</v>
      </c>
      <c r="H306" s="30" t="e">
        <f>H304*(H305/12)</f>
        <v>#VALUE!</v>
      </c>
    </row>
    <row r="307" spans="1:13" x14ac:dyDescent="0.2">
      <c r="A307" s="9"/>
      <c r="H307" s="93"/>
    </row>
    <row r="308" spans="1:13" x14ac:dyDescent="0.2">
      <c r="A308" s="9"/>
      <c r="B308" s="2" t="s">
        <v>348</v>
      </c>
      <c r="F308" s="2" t="s">
        <v>79</v>
      </c>
      <c r="H308" s="30" t="e">
        <f>H117-((DATE(2025,1,1)-H119)/365.25)*H300</f>
        <v>#VALUE!</v>
      </c>
      <c r="J308" s="140" t="s">
        <v>588</v>
      </c>
      <c r="K308" s="39"/>
      <c r="M308" s="39"/>
    </row>
    <row r="309" spans="1:13" x14ac:dyDescent="0.2">
      <c r="A309" s="9"/>
      <c r="B309" s="2" t="s">
        <v>349</v>
      </c>
      <c r="F309" s="2" t="s">
        <v>79</v>
      </c>
      <c r="H309" s="30" t="e">
        <f>H117-((DATE(2026,1,1)-H119)/365.25)*H300</f>
        <v>#VALUE!</v>
      </c>
      <c r="K309" s="39"/>
      <c r="M309" s="39"/>
    </row>
    <row r="310" spans="1:13" x14ac:dyDescent="0.2">
      <c r="A310" s="9"/>
      <c r="B310" s="2" t="s">
        <v>350</v>
      </c>
      <c r="F310" s="2" t="s">
        <v>79</v>
      </c>
      <c r="H310" s="94" t="e">
        <f>AVERAGE(H308,H309)</f>
        <v>#VALUE!</v>
      </c>
      <c r="K310" s="39"/>
      <c r="M310" s="39"/>
    </row>
    <row r="311" spans="1:13" x14ac:dyDescent="0.2">
      <c r="A311" s="9"/>
    </row>
    <row r="312" spans="1:13" x14ac:dyDescent="0.2">
      <c r="A312" s="9"/>
      <c r="B312" s="74" t="s">
        <v>577</v>
      </c>
    </row>
    <row r="313" spans="1:13" x14ac:dyDescent="0.2">
      <c r="A313" s="9"/>
      <c r="B313" s="2" t="s">
        <v>179</v>
      </c>
      <c r="F313" s="2" t="s">
        <v>79</v>
      </c>
      <c r="H313" s="30" t="e">
        <f>H122/H123</f>
        <v>#VALUE!</v>
      </c>
      <c r="J313" s="140" t="s">
        <v>588</v>
      </c>
    </row>
    <row r="314" spans="1:13" x14ac:dyDescent="0.2">
      <c r="A314" s="9"/>
      <c r="B314" s="2" t="s">
        <v>357</v>
      </c>
      <c r="F314" s="2" t="s">
        <v>79</v>
      </c>
      <c r="H314" s="94" t="e">
        <f>((DATE(2026,1,1)-H124)/365.25)*H313</f>
        <v>#VALUE!</v>
      </c>
    </row>
    <row r="315" spans="1:13" x14ac:dyDescent="0.2">
      <c r="A315" s="9"/>
      <c r="B315" s="2" t="s">
        <v>188</v>
      </c>
      <c r="F315" s="2" t="s">
        <v>79</v>
      </c>
      <c r="H315" s="29" t="str">
        <f>H122</f>
        <v>confidential</v>
      </c>
    </row>
    <row r="316" spans="1:13" x14ac:dyDescent="0.2">
      <c r="A316" s="9"/>
      <c r="B316" s="2" t="s">
        <v>349</v>
      </c>
      <c r="F316" s="2" t="s">
        <v>79</v>
      </c>
      <c r="H316" s="94" t="e">
        <f>H315-H314</f>
        <v>#VALUE!</v>
      </c>
    </row>
    <row r="317" spans="1:13" x14ac:dyDescent="0.2">
      <c r="A317" s="9"/>
      <c r="B317" s="2" t="s">
        <v>358</v>
      </c>
      <c r="F317" s="2" t="s">
        <v>79</v>
      </c>
      <c r="H317" s="94" t="e">
        <f>AVERAGE(H315:H316)</f>
        <v>#VALUE!</v>
      </c>
    </row>
    <row r="318" spans="1:13" x14ac:dyDescent="0.2">
      <c r="A318" s="9"/>
      <c r="B318" s="2" t="s">
        <v>359</v>
      </c>
      <c r="F318" s="2" t="s">
        <v>189</v>
      </c>
      <c r="H318" s="30" t="e">
        <f>((DATE(2026,1,1)-H124)/365.25)*12</f>
        <v>#VALUE!</v>
      </c>
    </row>
    <row r="319" spans="1:13" x14ac:dyDescent="0.2">
      <c r="A319" s="9"/>
      <c r="B319" s="2" t="s">
        <v>372</v>
      </c>
      <c r="F319" s="2" t="s">
        <v>79</v>
      </c>
      <c r="H319" s="94" t="e">
        <f>H317*(H318/12)</f>
        <v>#VALUE!</v>
      </c>
    </row>
    <row r="320" spans="1:13" x14ac:dyDescent="0.2">
      <c r="A320" s="9"/>
    </row>
    <row r="321" spans="1:10" x14ac:dyDescent="0.2">
      <c r="A321" s="9"/>
    </row>
    <row r="322" spans="1:10" x14ac:dyDescent="0.2">
      <c r="A322" s="9"/>
      <c r="B322" s="1" t="s">
        <v>514</v>
      </c>
    </row>
    <row r="323" spans="1:10" x14ac:dyDescent="0.2">
      <c r="A323" s="9"/>
    </row>
    <row r="324" spans="1:10" x14ac:dyDescent="0.2">
      <c r="A324" s="9"/>
      <c r="B324" s="74" t="s">
        <v>503</v>
      </c>
    </row>
    <row r="325" spans="1:10" x14ac:dyDescent="0.2">
      <c r="A325" s="9"/>
      <c r="B325" s="2" t="s">
        <v>179</v>
      </c>
      <c r="F325" s="2" t="s">
        <v>79</v>
      </c>
      <c r="H325" s="30" t="e">
        <f>H130/H131</f>
        <v>#VALUE!</v>
      </c>
      <c r="J325" s="140" t="s">
        <v>588</v>
      </c>
    </row>
    <row r="326" spans="1:10" x14ac:dyDescent="0.2">
      <c r="A326" s="9"/>
      <c r="B326" s="2" t="s">
        <v>357</v>
      </c>
      <c r="F326" s="2" t="s">
        <v>79</v>
      </c>
      <c r="H326" s="94" t="e">
        <f>((DATE(2026,1,1)-H132)/365.25)*H325</f>
        <v>#VALUE!</v>
      </c>
    </row>
    <row r="327" spans="1:10" x14ac:dyDescent="0.2">
      <c r="A327" s="9"/>
      <c r="B327" s="2" t="s">
        <v>188</v>
      </c>
      <c r="F327" s="2" t="s">
        <v>79</v>
      </c>
      <c r="H327" s="29" t="str">
        <f>H130</f>
        <v>confidential</v>
      </c>
    </row>
    <row r="328" spans="1:10" x14ac:dyDescent="0.2">
      <c r="A328" s="9"/>
      <c r="B328" s="2" t="s">
        <v>349</v>
      </c>
      <c r="F328" s="2" t="s">
        <v>79</v>
      </c>
      <c r="H328" s="94" t="e">
        <f>H327-H326</f>
        <v>#VALUE!</v>
      </c>
    </row>
    <row r="329" spans="1:10" x14ac:dyDescent="0.2">
      <c r="A329" s="9"/>
      <c r="B329" s="2" t="s">
        <v>358</v>
      </c>
      <c r="F329" s="2" t="s">
        <v>79</v>
      </c>
      <c r="H329" s="94" t="e">
        <f>AVERAGE(H327:H328)</f>
        <v>#VALUE!</v>
      </c>
    </row>
    <row r="330" spans="1:10" x14ac:dyDescent="0.2">
      <c r="A330" s="9"/>
      <c r="B330" s="2" t="s">
        <v>359</v>
      </c>
      <c r="F330" s="2" t="s">
        <v>189</v>
      </c>
      <c r="H330" s="94" t="e">
        <f>((DATE(2026,1,1)-H132)/365.25)*12</f>
        <v>#VALUE!</v>
      </c>
    </row>
    <row r="331" spans="1:10" x14ac:dyDescent="0.2">
      <c r="A331" s="9"/>
      <c r="B331" s="2" t="s">
        <v>516</v>
      </c>
      <c r="F331" s="2" t="s">
        <v>79</v>
      </c>
      <c r="H331" s="94" t="e">
        <f>H329*(H330/12)</f>
        <v>#VALUE!</v>
      </c>
    </row>
    <row r="332" spans="1:10" x14ac:dyDescent="0.2">
      <c r="A332" s="9"/>
    </row>
    <row r="333" spans="1:10" x14ac:dyDescent="0.2">
      <c r="A333" s="9"/>
      <c r="B333" s="74" t="s">
        <v>504</v>
      </c>
    </row>
    <row r="334" spans="1:10" x14ac:dyDescent="0.2">
      <c r="A334" s="9"/>
      <c r="B334" s="2" t="s">
        <v>179</v>
      </c>
      <c r="F334" s="2" t="s">
        <v>79</v>
      </c>
      <c r="H334" s="30" t="e">
        <f>H135/H136</f>
        <v>#VALUE!</v>
      </c>
      <c r="J334" s="140" t="s">
        <v>588</v>
      </c>
    </row>
    <row r="335" spans="1:10" x14ac:dyDescent="0.2">
      <c r="A335" s="9"/>
      <c r="B335" s="2" t="s">
        <v>357</v>
      </c>
      <c r="F335" s="2" t="s">
        <v>79</v>
      </c>
      <c r="H335" s="94" t="e">
        <f>((DATE(2026,1,1)-H137)/365.25)*H334</f>
        <v>#VALUE!</v>
      </c>
    </row>
    <row r="336" spans="1:10" x14ac:dyDescent="0.2">
      <c r="A336" s="9"/>
      <c r="B336" s="2" t="s">
        <v>188</v>
      </c>
      <c r="F336" s="2" t="s">
        <v>79</v>
      </c>
      <c r="H336" s="29" t="str">
        <f>H135</f>
        <v>confidential</v>
      </c>
    </row>
    <row r="337" spans="1:10" x14ac:dyDescent="0.2">
      <c r="A337" s="9"/>
      <c r="B337" s="2" t="s">
        <v>349</v>
      </c>
      <c r="F337" s="2" t="s">
        <v>79</v>
      </c>
      <c r="H337" s="94" t="e">
        <f>H336-H335</f>
        <v>#VALUE!</v>
      </c>
    </row>
    <row r="338" spans="1:10" x14ac:dyDescent="0.2">
      <c r="A338" s="9"/>
      <c r="B338" s="2" t="s">
        <v>358</v>
      </c>
      <c r="F338" s="2" t="s">
        <v>79</v>
      </c>
      <c r="H338" s="94" t="e">
        <f>AVERAGE(H336:H337)</f>
        <v>#VALUE!</v>
      </c>
    </row>
    <row r="339" spans="1:10" x14ac:dyDescent="0.2">
      <c r="A339" s="9"/>
      <c r="B339" s="2" t="s">
        <v>359</v>
      </c>
      <c r="F339" s="2" t="s">
        <v>189</v>
      </c>
      <c r="H339" s="94" t="e">
        <f>((DATE(2026,1,1)-H137)/365.25)*12</f>
        <v>#VALUE!</v>
      </c>
    </row>
    <row r="340" spans="1:10" x14ac:dyDescent="0.2">
      <c r="A340" s="9"/>
      <c r="B340" s="2" t="s">
        <v>516</v>
      </c>
      <c r="F340" s="2" t="s">
        <v>79</v>
      </c>
      <c r="H340" s="94" t="e">
        <f>H338*(H339/12)</f>
        <v>#VALUE!</v>
      </c>
    </row>
    <row r="341" spans="1:10" x14ac:dyDescent="0.2">
      <c r="A341" s="9"/>
    </row>
    <row r="342" spans="1:10" x14ac:dyDescent="0.2">
      <c r="A342" s="9"/>
      <c r="B342" s="74" t="s">
        <v>505</v>
      </c>
    </row>
    <row r="343" spans="1:10" x14ac:dyDescent="0.2">
      <c r="A343" s="9"/>
      <c r="B343" s="2" t="s">
        <v>179</v>
      </c>
      <c r="F343" s="2" t="s">
        <v>79</v>
      </c>
      <c r="H343" s="30" t="e">
        <f>H140/H141</f>
        <v>#VALUE!</v>
      </c>
      <c r="J343" s="140" t="s">
        <v>588</v>
      </c>
    </row>
    <row r="344" spans="1:10" x14ac:dyDescent="0.2">
      <c r="A344" s="9"/>
      <c r="B344" s="2" t="s">
        <v>357</v>
      </c>
      <c r="F344" s="2" t="s">
        <v>79</v>
      </c>
      <c r="H344" s="94" t="e">
        <f>((DATE(2026,1,1)-H142)/365.25)*H343</f>
        <v>#VALUE!</v>
      </c>
    </row>
    <row r="345" spans="1:10" x14ac:dyDescent="0.2">
      <c r="A345" s="9"/>
      <c r="B345" s="2" t="s">
        <v>188</v>
      </c>
      <c r="F345" s="2" t="s">
        <v>79</v>
      </c>
      <c r="H345" s="29" t="str">
        <f>H140</f>
        <v>confidential</v>
      </c>
    </row>
    <row r="346" spans="1:10" x14ac:dyDescent="0.2">
      <c r="A346" s="9"/>
      <c r="B346" s="2" t="s">
        <v>349</v>
      </c>
      <c r="F346" s="2" t="s">
        <v>79</v>
      </c>
      <c r="H346" s="94" t="e">
        <f>H345-H344</f>
        <v>#VALUE!</v>
      </c>
    </row>
    <row r="347" spans="1:10" x14ac:dyDescent="0.2">
      <c r="A347" s="9"/>
      <c r="B347" s="2" t="s">
        <v>358</v>
      </c>
      <c r="F347" s="2" t="s">
        <v>79</v>
      </c>
      <c r="H347" s="94" t="e">
        <f>AVERAGE(H345:H346)</f>
        <v>#VALUE!</v>
      </c>
    </row>
    <row r="348" spans="1:10" x14ac:dyDescent="0.2">
      <c r="A348" s="9"/>
      <c r="B348" s="2" t="s">
        <v>359</v>
      </c>
      <c r="F348" s="2" t="s">
        <v>189</v>
      </c>
      <c r="H348" s="94" t="e">
        <f>((DATE(2026,1,1)-H142)/365.25)*12</f>
        <v>#VALUE!</v>
      </c>
    </row>
    <row r="349" spans="1:10" x14ac:dyDescent="0.2">
      <c r="A349" s="9"/>
      <c r="B349" s="2" t="s">
        <v>516</v>
      </c>
      <c r="F349" s="2" t="s">
        <v>79</v>
      </c>
      <c r="H349" s="94" t="e">
        <f>H347*(H348/12)</f>
        <v>#VALUE!</v>
      </c>
    </row>
    <row r="350" spans="1:10" x14ac:dyDescent="0.2">
      <c r="A350" s="9"/>
    </row>
    <row r="351" spans="1:10" x14ac:dyDescent="0.2">
      <c r="A351" s="9"/>
      <c r="B351" s="74" t="s">
        <v>508</v>
      </c>
    </row>
    <row r="352" spans="1:10" x14ac:dyDescent="0.2">
      <c r="A352" s="9"/>
      <c r="B352" s="2" t="s">
        <v>179</v>
      </c>
      <c r="F352" s="2" t="s">
        <v>79</v>
      </c>
      <c r="H352" s="30" t="e">
        <f>H145/H146</f>
        <v>#VALUE!</v>
      </c>
      <c r="J352" s="140" t="s">
        <v>588</v>
      </c>
    </row>
    <row r="353" spans="1:10" x14ac:dyDescent="0.2">
      <c r="A353" s="9"/>
      <c r="B353" s="2" t="s">
        <v>357</v>
      </c>
      <c r="F353" s="2" t="s">
        <v>79</v>
      </c>
      <c r="H353" s="94" t="e">
        <f>((DATE(2026,1,1)-H147)/365.25)*H352</f>
        <v>#VALUE!</v>
      </c>
    </row>
    <row r="354" spans="1:10" x14ac:dyDescent="0.2">
      <c r="A354" s="9"/>
      <c r="B354" s="2" t="s">
        <v>188</v>
      </c>
      <c r="F354" s="2" t="s">
        <v>79</v>
      </c>
      <c r="H354" s="29" t="str">
        <f>H145</f>
        <v>confidential</v>
      </c>
    </row>
    <row r="355" spans="1:10" x14ac:dyDescent="0.2">
      <c r="A355" s="9"/>
      <c r="B355" s="2" t="s">
        <v>349</v>
      </c>
      <c r="F355" s="2" t="s">
        <v>79</v>
      </c>
      <c r="H355" s="94" t="e">
        <f>H354-H353</f>
        <v>#VALUE!</v>
      </c>
    </row>
    <row r="356" spans="1:10" x14ac:dyDescent="0.2">
      <c r="A356" s="9"/>
      <c r="B356" s="2" t="s">
        <v>358</v>
      </c>
      <c r="F356" s="2" t="s">
        <v>79</v>
      </c>
      <c r="H356" s="94" t="e">
        <f>AVERAGE(H354:H355)</f>
        <v>#VALUE!</v>
      </c>
    </row>
    <row r="357" spans="1:10" x14ac:dyDescent="0.2">
      <c r="A357" s="9"/>
      <c r="B357" s="2" t="s">
        <v>359</v>
      </c>
      <c r="F357" s="2" t="s">
        <v>189</v>
      </c>
      <c r="H357" s="94" t="e">
        <f>((DATE(2026,1,1)-H147)/365.25)*12</f>
        <v>#VALUE!</v>
      </c>
    </row>
    <row r="358" spans="1:10" x14ac:dyDescent="0.2">
      <c r="A358" s="9"/>
      <c r="B358" s="2" t="s">
        <v>516</v>
      </c>
      <c r="F358" s="2" t="s">
        <v>79</v>
      </c>
      <c r="H358" s="94" t="e">
        <f>H356*(H357/12)</f>
        <v>#VALUE!</v>
      </c>
    </row>
    <row r="359" spans="1:10" x14ac:dyDescent="0.2">
      <c r="A359" s="9"/>
    </row>
    <row r="360" spans="1:10" x14ac:dyDescent="0.2">
      <c r="A360" s="9"/>
      <c r="B360" s="74" t="s">
        <v>509</v>
      </c>
    </row>
    <row r="361" spans="1:10" x14ac:dyDescent="0.2">
      <c r="A361" s="9"/>
      <c r="B361" s="2" t="s">
        <v>179</v>
      </c>
      <c r="F361" s="2" t="s">
        <v>79</v>
      </c>
      <c r="H361" s="30" t="e">
        <f>H150/H151</f>
        <v>#VALUE!</v>
      </c>
      <c r="J361" s="140" t="s">
        <v>588</v>
      </c>
    </row>
    <row r="362" spans="1:10" x14ac:dyDescent="0.2">
      <c r="A362" s="9"/>
      <c r="B362" s="2" t="s">
        <v>357</v>
      </c>
      <c r="F362" s="2" t="s">
        <v>79</v>
      </c>
      <c r="H362" s="94" t="e">
        <f>((DATE(2026,1,1)-H152)/365.25)*H361</f>
        <v>#VALUE!</v>
      </c>
    </row>
    <row r="363" spans="1:10" x14ac:dyDescent="0.2">
      <c r="A363" s="9"/>
      <c r="B363" s="2" t="s">
        <v>188</v>
      </c>
      <c r="F363" s="2" t="s">
        <v>79</v>
      </c>
      <c r="H363" s="29" t="str">
        <f>H150</f>
        <v>confidential</v>
      </c>
    </row>
    <row r="364" spans="1:10" x14ac:dyDescent="0.2">
      <c r="A364" s="9"/>
      <c r="B364" s="2" t="s">
        <v>349</v>
      </c>
      <c r="F364" s="2" t="s">
        <v>79</v>
      </c>
      <c r="H364" s="94" t="e">
        <f>H363-H362</f>
        <v>#VALUE!</v>
      </c>
    </row>
    <row r="365" spans="1:10" x14ac:dyDescent="0.2">
      <c r="A365" s="9"/>
      <c r="B365" s="2" t="s">
        <v>358</v>
      </c>
      <c r="F365" s="2" t="s">
        <v>79</v>
      </c>
      <c r="H365" s="94" t="e">
        <f>AVERAGE(H363:H364)</f>
        <v>#VALUE!</v>
      </c>
    </row>
    <row r="366" spans="1:10" x14ac:dyDescent="0.2">
      <c r="A366" s="9"/>
      <c r="B366" s="2" t="s">
        <v>359</v>
      </c>
      <c r="F366" s="2" t="s">
        <v>189</v>
      </c>
      <c r="H366" s="94" t="e">
        <f>((DATE(2026,1,1)-H152)/365.25)*12</f>
        <v>#VALUE!</v>
      </c>
    </row>
    <row r="367" spans="1:10" x14ac:dyDescent="0.2">
      <c r="A367" s="9"/>
      <c r="B367" s="2" t="s">
        <v>516</v>
      </c>
      <c r="F367" s="2" t="s">
        <v>79</v>
      </c>
      <c r="H367" s="94" t="e">
        <f>H365*(H366/12)</f>
        <v>#VALUE!</v>
      </c>
    </row>
    <row r="368" spans="1:10" x14ac:dyDescent="0.2">
      <c r="A368" s="9"/>
    </row>
    <row r="369" spans="1:10" x14ac:dyDescent="0.2">
      <c r="A369" s="9"/>
      <c r="B369" s="74" t="s">
        <v>510</v>
      </c>
    </row>
    <row r="370" spans="1:10" x14ac:dyDescent="0.2">
      <c r="A370" s="9"/>
      <c r="B370" s="2" t="s">
        <v>179</v>
      </c>
      <c r="F370" s="2" t="s">
        <v>79</v>
      </c>
      <c r="H370" s="30" t="e">
        <f>H155/H156</f>
        <v>#VALUE!</v>
      </c>
      <c r="J370" s="140" t="s">
        <v>588</v>
      </c>
    </row>
    <row r="371" spans="1:10" x14ac:dyDescent="0.2">
      <c r="A371" s="9"/>
      <c r="B371" s="2" t="s">
        <v>357</v>
      </c>
      <c r="F371" s="2" t="s">
        <v>79</v>
      </c>
      <c r="H371" s="94" t="e">
        <f>((DATE(2026,1,1)-H157)/365.25)*H370</f>
        <v>#VALUE!</v>
      </c>
    </row>
    <row r="372" spans="1:10" x14ac:dyDescent="0.2">
      <c r="A372" s="9"/>
      <c r="B372" s="2" t="s">
        <v>188</v>
      </c>
      <c r="F372" s="2" t="s">
        <v>79</v>
      </c>
      <c r="H372" s="29" t="str">
        <f>H155</f>
        <v>confidential</v>
      </c>
    </row>
    <row r="373" spans="1:10" x14ac:dyDescent="0.2">
      <c r="A373" s="9"/>
      <c r="B373" s="2" t="s">
        <v>349</v>
      </c>
      <c r="F373" s="2" t="s">
        <v>79</v>
      </c>
      <c r="H373" s="94" t="e">
        <f>H372-H371</f>
        <v>#VALUE!</v>
      </c>
    </row>
    <row r="374" spans="1:10" x14ac:dyDescent="0.2">
      <c r="A374" s="9"/>
      <c r="B374" s="2" t="s">
        <v>358</v>
      </c>
      <c r="F374" s="2" t="s">
        <v>79</v>
      </c>
      <c r="H374" s="94" t="e">
        <f>AVERAGE(H372:H373)</f>
        <v>#VALUE!</v>
      </c>
    </row>
    <row r="375" spans="1:10" x14ac:dyDescent="0.2">
      <c r="A375" s="9"/>
      <c r="B375" s="2" t="s">
        <v>359</v>
      </c>
      <c r="F375" s="2" t="s">
        <v>189</v>
      </c>
      <c r="H375" s="94" t="e">
        <f>((DATE(2026,1,1)-H157)/365.25)*12</f>
        <v>#VALUE!</v>
      </c>
    </row>
    <row r="376" spans="1:10" x14ac:dyDescent="0.2">
      <c r="A376" s="9"/>
      <c r="B376" s="2" t="s">
        <v>516</v>
      </c>
      <c r="F376" s="2" t="s">
        <v>79</v>
      </c>
      <c r="H376" s="94" t="e">
        <f>H374*(H375/12)</f>
        <v>#VALUE!</v>
      </c>
    </row>
    <row r="377" spans="1:10" x14ac:dyDescent="0.2">
      <c r="A377" s="9"/>
    </row>
    <row r="378" spans="1:10" x14ac:dyDescent="0.2">
      <c r="A378" s="9"/>
      <c r="B378" s="74" t="s">
        <v>511</v>
      </c>
    </row>
    <row r="379" spans="1:10" x14ac:dyDescent="0.2">
      <c r="A379" s="9"/>
      <c r="B379" s="2" t="s">
        <v>179</v>
      </c>
      <c r="F379" s="2" t="s">
        <v>79</v>
      </c>
      <c r="H379" s="30" t="e">
        <f>H160/H161</f>
        <v>#VALUE!</v>
      </c>
      <c r="J379" s="140" t="s">
        <v>588</v>
      </c>
    </row>
    <row r="380" spans="1:10" x14ac:dyDescent="0.2">
      <c r="A380" s="9"/>
      <c r="B380" s="2" t="s">
        <v>357</v>
      </c>
      <c r="F380" s="2" t="s">
        <v>79</v>
      </c>
      <c r="H380" s="94" t="e">
        <f>((DATE(2026,1,1)-H162)/365.25)*H379</f>
        <v>#VALUE!</v>
      </c>
    </row>
    <row r="381" spans="1:10" x14ac:dyDescent="0.2">
      <c r="A381" s="9"/>
      <c r="B381" s="2" t="s">
        <v>188</v>
      </c>
      <c r="F381" s="2" t="s">
        <v>79</v>
      </c>
      <c r="H381" s="29" t="str">
        <f>H160</f>
        <v>confidential</v>
      </c>
    </row>
    <row r="382" spans="1:10" x14ac:dyDescent="0.2">
      <c r="A382" s="9"/>
      <c r="B382" s="2" t="s">
        <v>349</v>
      </c>
      <c r="F382" s="2" t="s">
        <v>79</v>
      </c>
      <c r="H382" s="94" t="e">
        <f>H381-H380</f>
        <v>#VALUE!</v>
      </c>
    </row>
    <row r="383" spans="1:10" x14ac:dyDescent="0.2">
      <c r="A383" s="9"/>
      <c r="B383" s="2" t="s">
        <v>358</v>
      </c>
      <c r="F383" s="2" t="s">
        <v>79</v>
      </c>
      <c r="H383" s="94" t="e">
        <f>AVERAGE(H381:H382)</f>
        <v>#VALUE!</v>
      </c>
    </row>
    <row r="384" spans="1:10" x14ac:dyDescent="0.2">
      <c r="A384" s="9"/>
      <c r="B384" s="2" t="s">
        <v>359</v>
      </c>
      <c r="F384" s="2" t="s">
        <v>189</v>
      </c>
      <c r="H384" s="94" t="e">
        <f>((DATE(2026,1,1)-H162)/365.25)*12</f>
        <v>#VALUE!</v>
      </c>
    </row>
    <row r="385" spans="1:13" x14ac:dyDescent="0.2">
      <c r="A385" s="9"/>
      <c r="B385" s="2" t="s">
        <v>516</v>
      </c>
      <c r="F385" s="2" t="s">
        <v>79</v>
      </c>
      <c r="H385" s="94" t="e">
        <f>H383*(H384/12)</f>
        <v>#VALUE!</v>
      </c>
    </row>
    <row r="388" spans="1:13" s="8" customFormat="1" x14ac:dyDescent="0.2">
      <c r="B388" s="8" t="s">
        <v>375</v>
      </c>
      <c r="H388" s="95"/>
    </row>
    <row r="389" spans="1:13" ht="12" customHeight="1" x14ac:dyDescent="0.2"/>
    <row r="390" spans="1:13" ht="12" customHeight="1" x14ac:dyDescent="0.2">
      <c r="B390" s="1" t="s">
        <v>194</v>
      </c>
      <c r="K390" s="9"/>
      <c r="L390" s="9"/>
      <c r="M390" s="9"/>
    </row>
    <row r="391" spans="1:13" ht="12" customHeight="1" x14ac:dyDescent="0.2">
      <c r="A391" s="9"/>
      <c r="B391" s="2" t="s">
        <v>360</v>
      </c>
      <c r="F391" s="2" t="s">
        <v>79</v>
      </c>
      <c r="H391" s="140">
        <v>46375346.711018033</v>
      </c>
      <c r="K391" s="91"/>
      <c r="L391" s="116"/>
      <c r="M391" s="116"/>
    </row>
    <row r="392" spans="1:13" ht="12" customHeight="1" x14ac:dyDescent="0.2">
      <c r="A392" s="9"/>
      <c r="B392" s="2" t="s">
        <v>361</v>
      </c>
      <c r="F392" s="2" t="s">
        <v>79</v>
      </c>
      <c r="H392" s="140">
        <v>4673775.7772674896</v>
      </c>
      <c r="K392" s="91"/>
      <c r="L392" s="116"/>
      <c r="M392" s="116"/>
    </row>
    <row r="393" spans="1:13" ht="12" customHeight="1" x14ac:dyDescent="0.2">
      <c r="A393" s="9"/>
      <c r="B393" s="2" t="s">
        <v>491</v>
      </c>
      <c r="F393" s="2" t="s">
        <v>277</v>
      </c>
      <c r="H393" s="140">
        <v>421559.03743539058</v>
      </c>
      <c r="J393" s="2" t="s">
        <v>492</v>
      </c>
      <c r="K393" s="91"/>
      <c r="L393" s="116"/>
      <c r="M393" s="116"/>
    </row>
    <row r="394" spans="1:13" ht="12" customHeight="1" x14ac:dyDescent="0.2">
      <c r="B394" s="2" t="s">
        <v>362</v>
      </c>
      <c r="F394" s="2" t="s">
        <v>277</v>
      </c>
      <c r="H394" s="96">
        <f>H391*H19+H392+H393</f>
        <v>8912025.8490196634</v>
      </c>
      <c r="J394" s="2" t="s">
        <v>474</v>
      </c>
      <c r="K394" s="131"/>
      <c r="L394" s="116"/>
      <c r="M394" s="116"/>
    </row>
    <row r="395" spans="1:13" ht="12" customHeight="1" x14ac:dyDescent="0.2"/>
    <row r="396" spans="1:13" s="49" customFormat="1" x14ac:dyDescent="0.2"/>
    <row r="397" spans="1:13" s="8" customFormat="1" x14ac:dyDescent="0.2">
      <c r="B397" s="8" t="s">
        <v>363</v>
      </c>
      <c r="H397" s="95"/>
    </row>
    <row r="398" spans="1:13" ht="12" customHeight="1" x14ac:dyDescent="0.2"/>
    <row r="399" spans="1:13" ht="12" customHeight="1" x14ac:dyDescent="0.2">
      <c r="B399" s="1" t="s">
        <v>110</v>
      </c>
    </row>
    <row r="400" spans="1:13" ht="12" customHeight="1" x14ac:dyDescent="0.2">
      <c r="B400" s="2" t="s">
        <v>364</v>
      </c>
      <c r="F400" s="2" t="s">
        <v>79</v>
      </c>
      <c r="H400" s="29">
        <f>H179</f>
        <v>19072262.788044717</v>
      </c>
    </row>
    <row r="401" spans="1:10" ht="12" customHeight="1" x14ac:dyDescent="0.2">
      <c r="B401" s="2" t="s">
        <v>365</v>
      </c>
      <c r="F401" s="2" t="s">
        <v>79</v>
      </c>
      <c r="H401" s="29">
        <f>H171</f>
        <v>2811866.6666666665</v>
      </c>
    </row>
    <row r="402" spans="1:10" ht="12" customHeight="1" x14ac:dyDescent="0.2">
      <c r="B402" s="2" t="s">
        <v>366</v>
      </c>
      <c r="F402" s="2" t="s">
        <v>374</v>
      </c>
      <c r="H402" s="24">
        <f>H400*$H$20+H401</f>
        <v>4042027.6164955506</v>
      </c>
    </row>
    <row r="403" spans="1:10" ht="12" customHeight="1" x14ac:dyDescent="0.2">
      <c r="B403" s="1"/>
    </row>
    <row r="404" spans="1:10" ht="12" customHeight="1" x14ac:dyDescent="0.2">
      <c r="B404" s="1" t="s">
        <v>178</v>
      </c>
    </row>
    <row r="405" spans="1:10" ht="12" customHeight="1" x14ac:dyDescent="0.2">
      <c r="B405" s="2" t="s">
        <v>367</v>
      </c>
      <c r="F405" s="2" t="s">
        <v>79</v>
      </c>
      <c r="H405" s="29">
        <f>H221</f>
        <v>132568.69411917048</v>
      </c>
    </row>
    <row r="406" spans="1:10" ht="12" customHeight="1" x14ac:dyDescent="0.2">
      <c r="B406" s="2" t="s">
        <v>365</v>
      </c>
      <c r="F406" s="2" t="s">
        <v>79</v>
      </c>
      <c r="H406" s="29">
        <f>H222</f>
        <v>86271.290818025416</v>
      </c>
    </row>
    <row r="407" spans="1:10" ht="12" customHeight="1" x14ac:dyDescent="0.2">
      <c r="B407" s="2" t="s">
        <v>366</v>
      </c>
      <c r="F407" s="2" t="s">
        <v>374</v>
      </c>
      <c r="H407" s="24">
        <f>H405*$H$20+H406</f>
        <v>94821.971588711909</v>
      </c>
    </row>
    <row r="408" spans="1:10" ht="12" customHeight="1" x14ac:dyDescent="0.2">
      <c r="B408" s="1"/>
    </row>
    <row r="409" spans="1:10" ht="12" customHeight="1" x14ac:dyDescent="0.2">
      <c r="B409" s="1" t="s">
        <v>133</v>
      </c>
    </row>
    <row r="410" spans="1:10" ht="12" customHeight="1" x14ac:dyDescent="0.2">
      <c r="A410" s="9"/>
      <c r="B410" s="2" t="s">
        <v>364</v>
      </c>
      <c r="F410" s="2" t="s">
        <v>79</v>
      </c>
      <c r="H410" s="140">
        <v>13390966.461327855</v>
      </c>
    </row>
    <row r="411" spans="1:10" ht="12" customHeight="1" x14ac:dyDescent="0.2">
      <c r="A411" s="9"/>
      <c r="B411" s="2" t="s">
        <v>365</v>
      </c>
      <c r="F411" s="2" t="s">
        <v>79</v>
      </c>
      <c r="H411" s="140">
        <v>1466000</v>
      </c>
    </row>
    <row r="412" spans="1:10" ht="12" customHeight="1" x14ac:dyDescent="0.2">
      <c r="A412" s="9"/>
      <c r="B412" s="2" t="s">
        <v>366</v>
      </c>
      <c r="F412" s="2" t="s">
        <v>374</v>
      </c>
      <c r="H412" s="24">
        <f>H410*$H$20+H411</f>
        <v>2329717.3367556464</v>
      </c>
    </row>
    <row r="413" spans="1:10" ht="12" customHeight="1" x14ac:dyDescent="0.2">
      <c r="A413" s="9"/>
      <c r="B413" s="1"/>
    </row>
    <row r="414" spans="1:10" ht="12" customHeight="1" x14ac:dyDescent="0.2">
      <c r="A414" s="9"/>
      <c r="B414" s="1" t="s">
        <v>368</v>
      </c>
    </row>
    <row r="415" spans="1:10" ht="12" customHeight="1" x14ac:dyDescent="0.2">
      <c r="A415" s="9"/>
      <c r="B415" s="2" t="s">
        <v>364</v>
      </c>
      <c r="F415" s="2" t="s">
        <v>79</v>
      </c>
      <c r="H415" s="140">
        <v>8261704.0291054063</v>
      </c>
      <c r="J415" s="2" t="s">
        <v>185</v>
      </c>
    </row>
    <row r="416" spans="1:10" ht="12" customHeight="1" x14ac:dyDescent="0.2">
      <c r="A416" s="9"/>
      <c r="B416" s="2" t="s">
        <v>365</v>
      </c>
      <c r="F416" s="2" t="s">
        <v>79</v>
      </c>
      <c r="H416" s="140">
        <v>477209.99033333332</v>
      </c>
    </row>
    <row r="417" spans="1:11" ht="12" customHeight="1" x14ac:dyDescent="0.2">
      <c r="A417" s="9"/>
      <c r="B417" s="2" t="s">
        <v>366</v>
      </c>
      <c r="F417" s="2" t="s">
        <v>374</v>
      </c>
      <c r="H417" s="24">
        <f>H415*$H$20+H416</f>
        <v>1010089.900210632</v>
      </c>
    </row>
    <row r="418" spans="1:11" ht="12" customHeight="1" x14ac:dyDescent="0.2">
      <c r="A418" s="9"/>
    </row>
    <row r="419" spans="1:11" ht="12" customHeight="1" x14ac:dyDescent="0.2">
      <c r="A419" s="9"/>
      <c r="B419" s="1" t="s">
        <v>331</v>
      </c>
    </row>
    <row r="420" spans="1:11" ht="12" customHeight="1" x14ac:dyDescent="0.2">
      <c r="A420" s="9"/>
      <c r="B420" s="2" t="s">
        <v>364</v>
      </c>
      <c r="F420" s="2" t="s">
        <v>79</v>
      </c>
      <c r="H420" s="140">
        <v>6815442.4569176007</v>
      </c>
    </row>
    <row r="421" spans="1:11" ht="12" customHeight="1" x14ac:dyDescent="0.2">
      <c r="A421" s="9"/>
      <c r="B421" s="2" t="s">
        <v>365</v>
      </c>
      <c r="F421" s="2" t="s">
        <v>79</v>
      </c>
      <c r="H421" s="140">
        <v>1413910.8025409745</v>
      </c>
    </row>
    <row r="422" spans="1:11" ht="12" customHeight="1" x14ac:dyDescent="0.2">
      <c r="A422" s="9"/>
      <c r="B422" s="2" t="s">
        <v>366</v>
      </c>
      <c r="F422" s="2" t="s">
        <v>374</v>
      </c>
      <c r="H422" s="24">
        <f>H420*$H$20+H421</f>
        <v>1853506.8410121598</v>
      </c>
    </row>
    <row r="423" spans="1:11" ht="12" customHeight="1" x14ac:dyDescent="0.2">
      <c r="A423" s="9"/>
    </row>
    <row r="424" spans="1:11" ht="12" customHeight="1" x14ac:dyDescent="0.2">
      <c r="A424" s="9"/>
      <c r="B424" s="1" t="s">
        <v>514</v>
      </c>
    </row>
    <row r="425" spans="1:11" ht="12" customHeight="1" x14ac:dyDescent="0.2">
      <c r="A425" s="9"/>
      <c r="B425" s="2" t="s">
        <v>364</v>
      </c>
      <c r="F425" s="2" t="s">
        <v>79</v>
      </c>
      <c r="H425" s="140">
        <v>2442685.3126657335</v>
      </c>
    </row>
    <row r="426" spans="1:11" ht="12" customHeight="1" x14ac:dyDescent="0.2">
      <c r="A426" s="9"/>
      <c r="B426" s="2" t="s">
        <v>365</v>
      </c>
      <c r="F426" s="2" t="s">
        <v>79</v>
      </c>
      <c r="H426" s="140">
        <v>348556.57697275461</v>
      </c>
    </row>
    <row r="427" spans="1:11" ht="12" customHeight="1" x14ac:dyDescent="0.2">
      <c r="A427" s="9"/>
      <c r="B427" s="2" t="s">
        <v>366</v>
      </c>
      <c r="F427" s="2" t="s">
        <v>374</v>
      </c>
      <c r="H427" s="24">
        <f>H425*H20+H426</f>
        <v>506109.77963969443</v>
      </c>
    </row>
    <row r="428" spans="1:11" ht="12" customHeight="1" x14ac:dyDescent="0.2"/>
    <row r="429" spans="1:11" x14ac:dyDescent="0.2">
      <c r="B429" s="2" t="s">
        <v>369</v>
      </c>
      <c r="F429" s="2" t="s">
        <v>79</v>
      </c>
      <c r="H429" s="30">
        <f>SUM(H400,H405,H410,H415,H420,H425)</f>
        <v>50115629.742180482</v>
      </c>
      <c r="J429" s="93"/>
      <c r="K429" s="39"/>
    </row>
    <row r="430" spans="1:11" x14ac:dyDescent="0.2">
      <c r="B430" s="2" t="s">
        <v>370</v>
      </c>
      <c r="F430" s="2" t="s">
        <v>79</v>
      </c>
      <c r="H430" s="30">
        <f>SUM(H401,H406,H411,H416,H421,H426)</f>
        <v>6603815.3273317553</v>
      </c>
      <c r="J430" s="93"/>
      <c r="K430" s="39"/>
    </row>
    <row r="431" spans="1:11" x14ac:dyDescent="0.2">
      <c r="B431" s="2" t="s">
        <v>371</v>
      </c>
      <c r="F431" s="2" t="s">
        <v>374</v>
      </c>
      <c r="H431" s="30">
        <f>SUM(H402,H407,H412,H417,H422,H427)</f>
        <v>9836273.4457023945</v>
      </c>
      <c r="J431" s="93"/>
      <c r="K431" s="39"/>
    </row>
    <row r="439" spans="2:2" x14ac:dyDescent="0.2">
      <c r="B439" s="4" t="s">
        <v>60</v>
      </c>
    </row>
  </sheetData>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4A079-D346-4919-B091-3B52E86BABF8}">
  <sheetPr>
    <tabColor rgb="FFFFFFCC"/>
  </sheetPr>
  <dimension ref="A2:JC54"/>
  <sheetViews>
    <sheetView showGridLines="0" zoomScale="85" zoomScaleNormal="85" workbookViewId="0">
      <pane xSplit="6" ySplit="11" topLeftCell="G12"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50.85546875" style="2" customWidth="1"/>
    <col min="3" max="3" width="4.7109375" style="2" customWidth="1"/>
    <col min="4" max="5" width="4.5703125" style="2" customWidth="1"/>
    <col min="6" max="6" width="13.7109375" style="2" customWidth="1"/>
    <col min="7" max="7" width="2.7109375" style="2" customWidth="1"/>
    <col min="8" max="8" width="10.5703125" style="2" customWidth="1"/>
    <col min="9" max="11" width="2.7109375" style="2" customWidth="1"/>
    <col min="12" max="12" width="8.85546875" style="2" customWidth="1"/>
    <col min="13" max="13" width="2.7109375" style="2" customWidth="1"/>
    <col min="14" max="25" width="12.85546875" style="2" customWidth="1"/>
    <col min="26" max="26" width="2.7109375" style="2" customWidth="1"/>
    <col min="27" max="16384" width="9.140625" style="2"/>
  </cols>
  <sheetData>
    <row r="2" spans="1:263" s="14" customFormat="1" ht="18" x14ac:dyDescent="0.2">
      <c r="B2" s="14" t="s">
        <v>376</v>
      </c>
    </row>
    <row r="4" spans="1:263" x14ac:dyDescent="0.2">
      <c r="B4" s="22" t="s">
        <v>166</v>
      </c>
      <c r="C4" s="1"/>
      <c r="D4" s="1"/>
    </row>
    <row r="5" spans="1:263" x14ac:dyDescent="0.2">
      <c r="B5" s="2" t="s">
        <v>377</v>
      </c>
      <c r="H5" s="15"/>
    </row>
    <row r="6" spans="1:263" x14ac:dyDescent="0.2">
      <c r="B6" s="2" t="s">
        <v>378</v>
      </c>
      <c r="H6" s="15"/>
    </row>
    <row r="7" spans="1:263" x14ac:dyDescent="0.2">
      <c r="B7" s="2" t="s">
        <v>195</v>
      </c>
      <c r="H7" s="15"/>
    </row>
    <row r="8" spans="1:263" x14ac:dyDescent="0.2">
      <c r="B8" s="4"/>
    </row>
    <row r="10" spans="1:263" customFormat="1" ht="25.5" x14ac:dyDescent="0.2">
      <c r="A10" s="8"/>
      <c r="B10" s="8" t="s">
        <v>12</v>
      </c>
      <c r="C10" s="8"/>
      <c r="D10" s="8"/>
      <c r="E10" s="8"/>
      <c r="F10" s="8" t="s">
        <v>33</v>
      </c>
      <c r="G10" s="8"/>
      <c r="H10" s="8" t="s">
        <v>34</v>
      </c>
      <c r="I10" s="8"/>
      <c r="J10" s="8"/>
      <c r="K10" s="8"/>
      <c r="L10" s="38" t="s">
        <v>138</v>
      </c>
      <c r="M10" s="81"/>
      <c r="N10" s="81" t="s">
        <v>293</v>
      </c>
      <c r="O10" s="81" t="s">
        <v>294</v>
      </c>
      <c r="P10" s="81" t="s">
        <v>295</v>
      </c>
      <c r="Q10" s="81" t="s">
        <v>296</v>
      </c>
      <c r="R10" s="81" t="s">
        <v>297</v>
      </c>
      <c r="S10" s="81" t="s">
        <v>298</v>
      </c>
      <c r="T10" s="81" t="s">
        <v>299</v>
      </c>
      <c r="U10" s="81" t="s">
        <v>300</v>
      </c>
      <c r="V10" s="81" t="s">
        <v>301</v>
      </c>
      <c r="W10" s="81" t="s">
        <v>302</v>
      </c>
      <c r="X10" s="81" t="s">
        <v>303</v>
      </c>
      <c r="Y10" s="81" t="s">
        <v>304</v>
      </c>
      <c r="Z10" s="8"/>
      <c r="AA10" s="8" t="s">
        <v>36</v>
      </c>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row>
    <row r="13" spans="1:263" customFormat="1" x14ac:dyDescent="0.2">
      <c r="A13" s="8"/>
      <c r="B13" s="8" t="s">
        <v>196</v>
      </c>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row>
    <row r="14" spans="1:263" customForma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row>
    <row r="15" spans="1:263" customFormat="1" x14ac:dyDescent="0.2">
      <c r="A15" s="2"/>
      <c r="B15" s="1" t="s">
        <v>197</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row>
    <row r="16" spans="1:263" customFormat="1" x14ac:dyDescent="0.2">
      <c r="A16" s="9"/>
      <c r="B16" s="2" t="s">
        <v>140</v>
      </c>
      <c r="C16" s="2"/>
      <c r="D16" s="2"/>
      <c r="E16" s="2"/>
      <c r="F16" s="2" t="s">
        <v>84</v>
      </c>
      <c r="G16" s="2"/>
      <c r="H16" s="2"/>
      <c r="I16" s="2"/>
      <c r="J16" s="2"/>
      <c r="K16" s="2"/>
      <c r="L16" s="2"/>
      <c r="M16" s="2"/>
      <c r="N16" s="97" t="str">
        <f>'Production and fuel costs 2023'!N18</f>
        <v>confidential</v>
      </c>
      <c r="O16" s="97" t="str">
        <f>'Production and fuel costs 2023'!O18</f>
        <v>confidential</v>
      </c>
      <c r="P16" s="97" t="str">
        <f>'Production and fuel costs 2023'!P18</f>
        <v>confidential</v>
      </c>
      <c r="Q16" s="97" t="str">
        <f>'Production and fuel costs 2023'!Q18</f>
        <v>confidential</v>
      </c>
      <c r="R16" s="97" t="str">
        <f>'Production and fuel costs 2023'!R18</f>
        <v>confidential</v>
      </c>
      <c r="S16" s="97" t="str">
        <f>'Production and fuel costs 2023'!S18</f>
        <v>confidential</v>
      </c>
      <c r="T16" s="97" t="str">
        <f>'Production and fuel costs 2023'!T18</f>
        <v>confidential</v>
      </c>
      <c r="U16" s="97" t="str">
        <f>'Production and fuel costs 2023'!U18</f>
        <v>confidential</v>
      </c>
      <c r="V16" s="97" t="str">
        <f>'Production and fuel costs 2023'!V18</f>
        <v>confidential</v>
      </c>
      <c r="W16" s="97" t="str">
        <f>'Production and fuel costs 2023'!W18</f>
        <v>confidential</v>
      </c>
      <c r="X16" s="97" t="str">
        <f>'Production and fuel costs 2023'!X18</f>
        <v>confidential</v>
      </c>
      <c r="Y16" s="97" t="str">
        <f>'Production and fuel costs 2023'!Y18</f>
        <v>confidential</v>
      </c>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row>
    <row r="17" spans="1:263" customFormat="1" x14ac:dyDescent="0.2">
      <c r="A17" s="9"/>
      <c r="B17" s="2" t="s">
        <v>141</v>
      </c>
      <c r="C17" s="2"/>
      <c r="D17" s="2"/>
      <c r="E17" s="2"/>
      <c r="F17" s="2" t="s">
        <v>142</v>
      </c>
      <c r="G17" s="2"/>
      <c r="H17" s="2"/>
      <c r="I17" s="2"/>
      <c r="J17" s="2"/>
      <c r="K17" s="2"/>
      <c r="L17" s="2"/>
      <c r="M17" s="2"/>
      <c r="N17" s="98" t="str">
        <f>'Production and fuel costs 2023'!N19</f>
        <v>confidential</v>
      </c>
      <c r="O17" s="98" t="str">
        <f>'Production and fuel costs 2023'!O19</f>
        <v>confidential</v>
      </c>
      <c r="P17" s="98" t="str">
        <f>'Production and fuel costs 2023'!P19</f>
        <v>confidential</v>
      </c>
      <c r="Q17" s="98" t="str">
        <f>'Production and fuel costs 2023'!Q19</f>
        <v>confidential</v>
      </c>
      <c r="R17" s="98" t="str">
        <f>'Production and fuel costs 2023'!R19</f>
        <v>confidential</v>
      </c>
      <c r="S17" s="98" t="str">
        <f>'Production and fuel costs 2023'!S19</f>
        <v>confidential</v>
      </c>
      <c r="T17" s="98" t="str">
        <f>'Production and fuel costs 2023'!T19</f>
        <v>confidential</v>
      </c>
      <c r="U17" s="98" t="str">
        <f>'Production and fuel costs 2023'!U19</f>
        <v>confidential</v>
      </c>
      <c r="V17" s="98" t="str">
        <f>'Production and fuel costs 2023'!V19</f>
        <v>confidential</v>
      </c>
      <c r="W17" s="98" t="str">
        <f>'Production and fuel costs 2023'!W19</f>
        <v>confidential</v>
      </c>
      <c r="X17" s="98" t="str">
        <f>'Production and fuel costs 2023'!X19</f>
        <v>confidential</v>
      </c>
      <c r="Y17" s="98" t="str">
        <f>'Production and fuel costs 2023'!Y19</f>
        <v>confidential</v>
      </c>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row>
    <row r="18" spans="1:263" customFormat="1" x14ac:dyDescent="0.2">
      <c r="A18" s="9"/>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row>
    <row r="19" spans="1:263" customFormat="1" x14ac:dyDescent="0.2">
      <c r="A19" s="2"/>
      <c r="B19" s="22" t="s">
        <v>143</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row>
    <row r="20" spans="1:263" customFormat="1" x14ac:dyDescent="0.2">
      <c r="A20" s="2"/>
      <c r="B20" s="2" t="s">
        <v>144</v>
      </c>
      <c r="C20" s="2"/>
      <c r="D20" s="2"/>
      <c r="E20" s="2"/>
      <c r="F20" s="2" t="s">
        <v>67</v>
      </c>
      <c r="G20" s="2"/>
      <c r="H20" s="2"/>
      <c r="I20" s="2"/>
      <c r="J20" s="2"/>
      <c r="K20" s="2"/>
      <c r="L20" s="2"/>
      <c r="M20" s="2"/>
      <c r="N20" s="98">
        <f>'Production and fuel costs 2023'!N22</f>
        <v>9235870</v>
      </c>
      <c r="O20" s="98">
        <f>'Production and fuel costs 2023'!O22</f>
        <v>7905090</v>
      </c>
      <c r="P20" s="98">
        <f>'Production and fuel costs 2023'!P22</f>
        <v>9005080</v>
      </c>
      <c r="Q20" s="98">
        <f>'Production and fuel costs 2023'!Q22</f>
        <v>9155290</v>
      </c>
      <c r="R20" s="98">
        <f>'Production and fuel costs 2023'!R22</f>
        <v>9433690</v>
      </c>
      <c r="S20" s="98">
        <f>'Production and fuel costs 2023'!S22</f>
        <v>10120610</v>
      </c>
      <c r="T20" s="98">
        <f>'Production and fuel costs 2023'!T22</f>
        <v>9985660</v>
      </c>
      <c r="U20" s="98">
        <f>'Production and fuel costs 2023'!U22</f>
        <v>11323240</v>
      </c>
      <c r="V20" s="98">
        <f>'Production and fuel costs 2023'!V22</f>
        <v>11376690</v>
      </c>
      <c r="W20" s="98">
        <f>'Production and fuel costs 2023'!W22</f>
        <v>12907760</v>
      </c>
      <c r="X20" s="98">
        <f>'Production and fuel costs 2023'!X22</f>
        <v>11063900</v>
      </c>
      <c r="Y20" s="98">
        <f>'Production and fuel costs 2023'!Y22</f>
        <v>10724910</v>
      </c>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row>
    <row r="21" spans="1:263" customFormat="1" x14ac:dyDescent="0.2">
      <c r="A21" s="2"/>
      <c r="B21" s="2" t="s">
        <v>146</v>
      </c>
      <c r="C21" s="2"/>
      <c r="D21" s="2"/>
      <c r="E21" s="2"/>
      <c r="F21" s="2" t="s">
        <v>67</v>
      </c>
      <c r="G21" s="2"/>
      <c r="H21" s="2"/>
      <c r="I21" s="2"/>
      <c r="J21" s="2"/>
      <c r="K21" s="2"/>
      <c r="L21" s="2"/>
      <c r="M21" s="2"/>
      <c r="N21" s="98">
        <f>'Production and fuel costs 2023'!N23</f>
        <v>1469820</v>
      </c>
      <c r="O21" s="98">
        <f>'Production and fuel costs 2023'!O23</f>
        <v>1933760</v>
      </c>
      <c r="P21" s="98">
        <f>'Production and fuel costs 2023'!P23</f>
        <v>2308120</v>
      </c>
      <c r="Q21" s="98">
        <f>'Production and fuel costs 2023'!Q23</f>
        <v>2141190</v>
      </c>
      <c r="R21" s="98">
        <f>'Production and fuel costs 2023'!R23</f>
        <v>3419960</v>
      </c>
      <c r="S21" s="98">
        <f>'Production and fuel costs 2023'!S23</f>
        <v>3111730</v>
      </c>
      <c r="T21" s="98">
        <f>'Production and fuel costs 2023'!T23</f>
        <v>3160490.0000000005</v>
      </c>
      <c r="U21" s="98">
        <f>'Production and fuel costs 2023'!U23</f>
        <v>2806990</v>
      </c>
      <c r="V21" s="98">
        <f>'Production and fuel costs 2023'!V23</f>
        <v>2855720</v>
      </c>
      <c r="W21" s="98">
        <f>'Production and fuel costs 2023'!W23</f>
        <v>1744400</v>
      </c>
      <c r="X21" s="98">
        <f>'Production and fuel costs 2023'!X23</f>
        <v>2024699.9999999998</v>
      </c>
      <c r="Y21" s="98">
        <f>'Production and fuel costs 2023'!Y23</f>
        <v>2208680.0000000005</v>
      </c>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row>
    <row r="22" spans="1:263" customForma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row>
    <row r="23" spans="1:263" customFormat="1" x14ac:dyDescent="0.2">
      <c r="A23" s="2"/>
      <c r="B23" s="2" t="s">
        <v>147</v>
      </c>
      <c r="C23" s="2"/>
      <c r="D23" s="2"/>
      <c r="E23" s="2"/>
      <c r="F23" s="2" t="s">
        <v>67</v>
      </c>
      <c r="G23" s="2"/>
      <c r="H23" s="2"/>
      <c r="I23" s="2"/>
      <c r="J23" s="2"/>
      <c r="K23" s="2"/>
      <c r="L23" s="2"/>
      <c r="M23" s="2"/>
      <c r="N23" s="82">
        <f>N20+N21</f>
        <v>10705690</v>
      </c>
      <c r="O23" s="82">
        <f t="shared" ref="O23:Y23" si="0">O20+O21</f>
        <v>9838850</v>
      </c>
      <c r="P23" s="82">
        <f t="shared" si="0"/>
        <v>11313200</v>
      </c>
      <c r="Q23" s="82">
        <f t="shared" si="0"/>
        <v>11296480</v>
      </c>
      <c r="R23" s="82">
        <f t="shared" si="0"/>
        <v>12853650</v>
      </c>
      <c r="S23" s="82">
        <f t="shared" si="0"/>
        <v>13232340</v>
      </c>
      <c r="T23" s="82">
        <f t="shared" si="0"/>
        <v>13146150</v>
      </c>
      <c r="U23" s="82">
        <f t="shared" si="0"/>
        <v>14130230</v>
      </c>
      <c r="V23" s="82">
        <f t="shared" si="0"/>
        <v>14232410</v>
      </c>
      <c r="W23" s="82">
        <f t="shared" si="0"/>
        <v>14652160</v>
      </c>
      <c r="X23" s="82">
        <f t="shared" si="0"/>
        <v>13088600</v>
      </c>
      <c r="Y23" s="82">
        <f t="shared" si="0"/>
        <v>12933590</v>
      </c>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row>
    <row r="24" spans="1:263" customForma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row>
    <row r="25" spans="1:263" customFormat="1" x14ac:dyDescent="0.2">
      <c r="A25" s="2"/>
      <c r="B25" s="2" t="s">
        <v>198</v>
      </c>
      <c r="C25" s="2"/>
      <c r="D25" s="2"/>
      <c r="E25" s="2"/>
      <c r="F25" s="2" t="s">
        <v>83</v>
      </c>
      <c r="G25" s="2"/>
      <c r="H25" s="145">
        <v>0.27072405350260342</v>
      </c>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row>
    <row r="26" spans="1:263" customForma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row>
    <row r="27" spans="1:263" customForma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row>
    <row r="28" spans="1:263" customFormat="1" x14ac:dyDescent="0.2">
      <c r="A28" s="8"/>
      <c r="B28" s="8" t="s">
        <v>199</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row>
    <row r="29" spans="1:263" customForma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row>
    <row r="30" spans="1:263" customFormat="1" x14ac:dyDescent="0.2">
      <c r="A30" s="2"/>
      <c r="B30" s="1" t="s">
        <v>148</v>
      </c>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row>
    <row r="31" spans="1:263" customFormat="1" x14ac:dyDescent="0.2">
      <c r="A31" s="9"/>
      <c r="B31" s="2" t="s">
        <v>200</v>
      </c>
      <c r="C31" s="2"/>
      <c r="D31" s="2"/>
      <c r="E31" s="2"/>
      <c r="F31" s="2" t="s">
        <v>150</v>
      </c>
      <c r="G31" s="2"/>
      <c r="H31" s="2"/>
      <c r="I31" s="2"/>
      <c r="J31" s="2"/>
      <c r="K31" s="2"/>
      <c r="L31" s="2"/>
      <c r="M31" s="2"/>
      <c r="N31" s="99" t="str">
        <f>'Production and fuel costs 2023'!N31</f>
        <v>confidential</v>
      </c>
      <c r="O31" s="99" t="str">
        <f>'Production and fuel costs 2023'!O31</f>
        <v>confidential</v>
      </c>
      <c r="P31" s="99" t="str">
        <f>'Production and fuel costs 2023'!P31</f>
        <v>confidential</v>
      </c>
      <c r="Q31" s="99" t="str">
        <f>'Production and fuel costs 2023'!Q31</f>
        <v>confidential</v>
      </c>
      <c r="R31" s="99" t="str">
        <f>'Production and fuel costs 2023'!R31</f>
        <v>confidential</v>
      </c>
      <c r="S31" s="99" t="str">
        <f>'Production and fuel costs 2023'!S31</f>
        <v>confidential</v>
      </c>
      <c r="T31" s="99" t="str">
        <f>'Production and fuel costs 2023'!T31</f>
        <v>confidential</v>
      </c>
      <c r="U31" s="99" t="str">
        <f>'Production and fuel costs 2023'!U31</f>
        <v>confidential</v>
      </c>
      <c r="V31" s="99" t="str">
        <f>'Production and fuel costs 2023'!V31</f>
        <v>confidential</v>
      </c>
      <c r="W31" s="99" t="str">
        <f>'Production and fuel costs 2023'!W31</f>
        <v>confidential</v>
      </c>
      <c r="X31" s="99" t="str">
        <f>'Production and fuel costs 2023'!X31</f>
        <v>confidential</v>
      </c>
      <c r="Y31" s="99" t="str">
        <f>'Production and fuel costs 2023'!Y31</f>
        <v>confidential</v>
      </c>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row>
    <row r="32" spans="1:263" customFormat="1" x14ac:dyDescent="0.2">
      <c r="A32" s="9"/>
      <c r="B32" s="2" t="s">
        <v>151</v>
      </c>
      <c r="C32" s="2"/>
      <c r="D32" s="2"/>
      <c r="E32" s="2"/>
      <c r="F32" s="2" t="s">
        <v>67</v>
      </c>
      <c r="G32" s="2"/>
      <c r="H32" s="2"/>
      <c r="I32" s="2"/>
      <c r="J32" s="2"/>
      <c r="K32" s="2"/>
      <c r="L32" s="2"/>
      <c r="M32" s="2"/>
      <c r="N32" s="100" t="str">
        <f>'Production and fuel costs 2023'!N32</f>
        <v>confidential</v>
      </c>
      <c r="O32" s="100" t="str">
        <f>'Production and fuel costs 2023'!O32</f>
        <v>confidential</v>
      </c>
      <c r="P32" s="100" t="str">
        <f>'Production and fuel costs 2023'!P32</f>
        <v>confidential</v>
      </c>
      <c r="Q32" s="100" t="str">
        <f>'Production and fuel costs 2023'!Q32</f>
        <v>confidential</v>
      </c>
      <c r="R32" s="100" t="str">
        <f>'Production and fuel costs 2023'!R32</f>
        <v>confidential</v>
      </c>
      <c r="S32" s="100" t="str">
        <f>'Production and fuel costs 2023'!S32</f>
        <v>confidential</v>
      </c>
      <c r="T32" s="100" t="str">
        <f>'Production and fuel costs 2023'!T32</f>
        <v>confidential</v>
      </c>
      <c r="U32" s="100" t="str">
        <f>'Production and fuel costs 2023'!U32</f>
        <v>confidential</v>
      </c>
      <c r="V32" s="100" t="str">
        <f>'Production and fuel costs 2023'!V32</f>
        <v>confidential</v>
      </c>
      <c r="W32" s="100" t="str">
        <f>'Production and fuel costs 2023'!W32</f>
        <v>confidential</v>
      </c>
      <c r="X32" s="100" t="str">
        <f>'Production and fuel costs 2023'!X32</f>
        <v>confidential</v>
      </c>
      <c r="Y32" s="100" t="str">
        <f>'Production and fuel costs 2023'!Y32</f>
        <v>confidential</v>
      </c>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row>
    <row r="33" spans="1:263" customFormat="1" x14ac:dyDescent="0.2">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row>
    <row r="34" spans="1:263" customFormat="1" x14ac:dyDescent="0.2">
      <c r="A34" s="2"/>
      <c r="B34" s="1" t="s">
        <v>201</v>
      </c>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row>
    <row r="35" spans="1:263" customFormat="1" x14ac:dyDescent="0.2">
      <c r="A35" s="2"/>
      <c r="B35" s="2" t="s">
        <v>202</v>
      </c>
      <c r="C35" s="2"/>
      <c r="D35" s="2"/>
      <c r="E35" s="2"/>
      <c r="F35" s="2" t="s">
        <v>150</v>
      </c>
      <c r="G35" s="2"/>
      <c r="H35" s="2"/>
      <c r="I35" s="2"/>
      <c r="J35" s="2"/>
      <c r="K35" s="2"/>
      <c r="L35" s="2"/>
      <c r="M35" s="2"/>
      <c r="N35" s="101">
        <f>'Production and fuel costs 2023'!$H$38</f>
        <v>0.13636000000000001</v>
      </c>
      <c r="O35" s="101">
        <f>'Production and fuel costs 2023'!$H$38</f>
        <v>0.13636000000000001</v>
      </c>
      <c r="P35" s="101">
        <f>'Production and fuel costs 2023'!$H$38</f>
        <v>0.13636000000000001</v>
      </c>
      <c r="Q35" s="101">
        <f>'Production and fuel costs 2023'!$H$38</f>
        <v>0.13636000000000001</v>
      </c>
      <c r="R35" s="101">
        <f>'Production and fuel costs 2023'!$H$38</f>
        <v>0.13636000000000001</v>
      </c>
      <c r="S35" s="101">
        <f>'Production and fuel costs 2023'!$H$38</f>
        <v>0.13636000000000001</v>
      </c>
      <c r="T35" s="101">
        <f>'Production and fuel costs 2023'!$H$38</f>
        <v>0.13636000000000001</v>
      </c>
      <c r="U35" s="101">
        <f>'Production and fuel costs 2023'!$H$38</f>
        <v>0.13636000000000001</v>
      </c>
      <c r="V35" s="101">
        <f>'Production and fuel costs 2023'!$H$38</f>
        <v>0.13636000000000001</v>
      </c>
      <c r="W35" s="101">
        <f>'Production and fuel costs 2023'!$H$38</f>
        <v>0.13636000000000001</v>
      </c>
      <c r="X35" s="101">
        <f>'Production and fuel costs 2023'!$H$38</f>
        <v>0.13636000000000001</v>
      </c>
      <c r="Y35" s="101">
        <f>'Production and fuel costs 2023'!$H$38</f>
        <v>0.13636000000000001</v>
      </c>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row>
    <row r="36" spans="1:263" customForma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row>
    <row r="37" spans="1:263" customForma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row>
    <row r="38" spans="1:263" customFormat="1" x14ac:dyDescent="0.2">
      <c r="A38" s="8"/>
      <c r="B38" s="8" t="s">
        <v>379</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row>
    <row r="39" spans="1:263" customForma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row>
    <row r="40" spans="1:263" customFormat="1" x14ac:dyDescent="0.2">
      <c r="A40" s="2"/>
      <c r="B40" s="1" t="s">
        <v>203</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row>
    <row r="41" spans="1:263" customFormat="1" x14ac:dyDescent="0.2">
      <c r="A41" s="9"/>
      <c r="B41" s="2" t="s">
        <v>204</v>
      </c>
      <c r="C41" s="2"/>
      <c r="D41" s="2"/>
      <c r="E41" s="2"/>
      <c r="F41" s="2" t="s">
        <v>150</v>
      </c>
      <c r="G41" s="2"/>
      <c r="H41" s="2"/>
      <c r="I41" s="2"/>
      <c r="J41" s="2"/>
      <c r="K41" s="2"/>
      <c r="L41" s="2"/>
      <c r="M41" s="140"/>
      <c r="N41" s="102" t="e">
        <f t="shared" ref="N41:Y41" si="1">N31-N35</f>
        <v>#VALUE!</v>
      </c>
      <c r="O41" s="102" t="e">
        <f t="shared" si="1"/>
        <v>#VALUE!</v>
      </c>
      <c r="P41" s="102" t="e">
        <f t="shared" si="1"/>
        <v>#VALUE!</v>
      </c>
      <c r="Q41" s="102" t="e">
        <f t="shared" si="1"/>
        <v>#VALUE!</v>
      </c>
      <c r="R41" s="102" t="e">
        <f t="shared" si="1"/>
        <v>#VALUE!</v>
      </c>
      <c r="S41" s="102" t="e">
        <f t="shared" si="1"/>
        <v>#VALUE!</v>
      </c>
      <c r="T41" s="102" t="e">
        <f t="shared" si="1"/>
        <v>#VALUE!</v>
      </c>
      <c r="U41" s="102" t="e">
        <f t="shared" si="1"/>
        <v>#VALUE!</v>
      </c>
      <c r="V41" s="102" t="e">
        <f t="shared" si="1"/>
        <v>#VALUE!</v>
      </c>
      <c r="W41" s="102" t="e">
        <f t="shared" si="1"/>
        <v>#VALUE!</v>
      </c>
      <c r="X41" s="102" t="e">
        <f t="shared" si="1"/>
        <v>#VALUE!</v>
      </c>
      <c r="Y41" s="102" t="e">
        <f t="shared" si="1"/>
        <v>#VALUE!</v>
      </c>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row>
    <row r="42" spans="1:263" customFormat="1" x14ac:dyDescent="0.2">
      <c r="A42" s="9"/>
      <c r="B42" s="2" t="s">
        <v>205</v>
      </c>
      <c r="C42" s="2"/>
      <c r="D42" s="2"/>
      <c r="E42" s="2"/>
      <c r="F42" s="2" t="s">
        <v>79</v>
      </c>
      <c r="G42" s="2"/>
      <c r="H42" s="2"/>
      <c r="I42" s="2"/>
      <c r="J42" s="2"/>
      <c r="K42" s="2"/>
      <c r="L42" s="2"/>
      <c r="M42" s="140"/>
      <c r="N42" s="30" t="e">
        <f t="shared" ref="N42:Y42" si="2">N41*N32</f>
        <v>#VALUE!</v>
      </c>
      <c r="O42" s="30" t="e">
        <f t="shared" si="2"/>
        <v>#VALUE!</v>
      </c>
      <c r="P42" s="30" t="e">
        <f t="shared" si="2"/>
        <v>#VALUE!</v>
      </c>
      <c r="Q42" s="30" t="e">
        <f t="shared" si="2"/>
        <v>#VALUE!</v>
      </c>
      <c r="R42" s="30" t="e">
        <f t="shared" si="2"/>
        <v>#VALUE!</v>
      </c>
      <c r="S42" s="30" t="e">
        <f t="shared" si="2"/>
        <v>#VALUE!</v>
      </c>
      <c r="T42" s="30" t="e">
        <f t="shared" si="2"/>
        <v>#VALUE!</v>
      </c>
      <c r="U42" s="30" t="e">
        <f t="shared" si="2"/>
        <v>#VALUE!</v>
      </c>
      <c r="V42" s="30" t="e">
        <f t="shared" si="2"/>
        <v>#VALUE!</v>
      </c>
      <c r="W42" s="30" t="e">
        <f t="shared" si="2"/>
        <v>#VALUE!</v>
      </c>
      <c r="X42" s="30" t="e">
        <f t="shared" si="2"/>
        <v>#VALUE!</v>
      </c>
      <c r="Y42" s="30" t="e">
        <f t="shared" si="2"/>
        <v>#VALUE!</v>
      </c>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row>
    <row r="43" spans="1:263" customFormat="1" x14ac:dyDescent="0.2">
      <c r="A43" s="9"/>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row>
    <row r="44" spans="1:263" customFormat="1" x14ac:dyDescent="0.2">
      <c r="A44" s="9"/>
      <c r="B44" s="1" t="s">
        <v>206</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row>
    <row r="45" spans="1:263" customFormat="1" x14ac:dyDescent="0.2">
      <c r="A45" s="9"/>
      <c r="B45" s="2" t="s">
        <v>207</v>
      </c>
      <c r="C45" s="2"/>
      <c r="D45" s="2"/>
      <c r="E45" s="2"/>
      <c r="F45" s="2" t="s">
        <v>79</v>
      </c>
      <c r="G45" s="2"/>
      <c r="H45" s="2"/>
      <c r="I45" s="2"/>
      <c r="J45" s="2"/>
      <c r="K45" s="2"/>
      <c r="L45" s="2"/>
      <c r="M45" s="140"/>
      <c r="N45" s="82" t="e">
        <f t="shared" ref="N45:Y45" si="3">N16*N17</f>
        <v>#VALUE!</v>
      </c>
      <c r="O45" s="82" t="e">
        <f t="shared" si="3"/>
        <v>#VALUE!</v>
      </c>
      <c r="P45" s="82" t="e">
        <f t="shared" si="3"/>
        <v>#VALUE!</v>
      </c>
      <c r="Q45" s="82" t="e">
        <f t="shared" si="3"/>
        <v>#VALUE!</v>
      </c>
      <c r="R45" s="82" t="e">
        <f t="shared" si="3"/>
        <v>#VALUE!</v>
      </c>
      <c r="S45" s="82" t="e">
        <f t="shared" si="3"/>
        <v>#VALUE!</v>
      </c>
      <c r="T45" s="82" t="e">
        <f t="shared" si="3"/>
        <v>#VALUE!</v>
      </c>
      <c r="U45" s="82" t="e">
        <f t="shared" si="3"/>
        <v>#VALUE!</v>
      </c>
      <c r="V45" s="82" t="e">
        <f t="shared" si="3"/>
        <v>#VALUE!</v>
      </c>
      <c r="W45" s="82" t="e">
        <f t="shared" si="3"/>
        <v>#VALUE!</v>
      </c>
      <c r="X45" s="82" t="e">
        <f t="shared" si="3"/>
        <v>#VALUE!</v>
      </c>
      <c r="Y45" s="82" t="e">
        <f t="shared" si="3"/>
        <v>#VALUE!</v>
      </c>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row>
    <row r="46" spans="1:263" customFormat="1" x14ac:dyDescent="0.2">
      <c r="A46" s="2"/>
      <c r="B46" s="2"/>
      <c r="C46" s="2"/>
      <c r="D46" s="2"/>
      <c r="E46" s="2"/>
      <c r="F46" s="2"/>
      <c r="G46" s="2"/>
      <c r="H46" s="2"/>
      <c r="I46" s="2"/>
      <c r="J46" s="2"/>
      <c r="K46" s="2"/>
      <c r="L46" s="2"/>
      <c r="M46" s="2"/>
      <c r="N46" s="73"/>
      <c r="O46" s="73"/>
      <c r="P46" s="73"/>
      <c r="Q46" s="73"/>
      <c r="R46" s="73"/>
      <c r="S46" s="73"/>
      <c r="T46" s="73"/>
      <c r="U46" s="73"/>
      <c r="V46" s="73"/>
      <c r="W46" s="73"/>
      <c r="X46" s="73"/>
      <c r="Y46" s="73"/>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row>
    <row r="47" spans="1:263" customFormat="1" x14ac:dyDescent="0.2">
      <c r="A47" s="2"/>
      <c r="B47" s="2" t="s">
        <v>208</v>
      </c>
      <c r="C47" s="2"/>
      <c r="D47" s="2"/>
      <c r="E47" s="2"/>
      <c r="F47" s="2" t="s">
        <v>79</v>
      </c>
      <c r="G47" s="2"/>
      <c r="H47" s="2"/>
      <c r="I47" s="2"/>
      <c r="J47" s="2"/>
      <c r="K47" s="2"/>
      <c r="L47" s="2"/>
      <c r="M47" s="140"/>
      <c r="N47" s="140">
        <v>477528.22300000209</v>
      </c>
      <c r="O47" s="140">
        <v>-84587.862499998882</v>
      </c>
      <c r="P47" s="140">
        <v>266641.79100000067</v>
      </c>
      <c r="Q47" s="140">
        <v>387272.98440000089</v>
      </c>
      <c r="R47" s="140">
        <v>-122175.97190000117</v>
      </c>
      <c r="S47" s="140">
        <v>-288993.54400000116</v>
      </c>
      <c r="T47" s="140">
        <v>-91438.713999999687</v>
      </c>
      <c r="U47" s="140">
        <v>153920.20250000106</v>
      </c>
      <c r="V47" s="140">
        <v>176950.61900000041</v>
      </c>
      <c r="W47" s="140">
        <v>803574.16880000057</v>
      </c>
      <c r="X47" s="140">
        <v>880772.77620000159</v>
      </c>
      <c r="Y47" s="140">
        <v>478329.49599999888</v>
      </c>
      <c r="Z47" s="2"/>
      <c r="AA47" s="2" t="s">
        <v>380</v>
      </c>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row>
    <row r="48" spans="1:263" customFormat="1" x14ac:dyDescent="0.2">
      <c r="A48" s="2"/>
      <c r="B48" s="2"/>
      <c r="C48" s="2"/>
      <c r="D48" s="2"/>
      <c r="E48" s="2"/>
      <c r="F48" s="2"/>
      <c r="G48" s="2"/>
      <c r="H48" s="2"/>
      <c r="I48" s="2"/>
      <c r="J48" s="2"/>
      <c r="K48" s="2"/>
      <c r="L48" s="2"/>
      <c r="M48" s="2"/>
      <c r="N48" s="73"/>
      <c r="O48" s="73"/>
      <c r="P48" s="73"/>
      <c r="Q48" s="73"/>
      <c r="R48" s="73"/>
      <c r="S48" s="73"/>
      <c r="T48" s="73"/>
      <c r="U48" s="73"/>
      <c r="V48" s="73"/>
      <c r="W48" s="73"/>
      <c r="X48" s="73"/>
      <c r="Y48" s="73"/>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row>
    <row r="49" spans="1:263" customFormat="1" x14ac:dyDescent="0.2">
      <c r="A49" s="2"/>
      <c r="B49" s="2" t="s">
        <v>382</v>
      </c>
      <c r="C49" s="2"/>
      <c r="D49" s="2"/>
      <c r="E49" s="2"/>
      <c r="F49" s="2" t="s">
        <v>277</v>
      </c>
      <c r="G49" s="2"/>
      <c r="H49" s="96">
        <f>SUM(N47:Y47)</f>
        <v>3037794.1685000053</v>
      </c>
      <c r="I49" s="2"/>
      <c r="J49" s="2"/>
      <c r="K49" s="2"/>
      <c r="L49" s="2"/>
      <c r="M49" s="2"/>
      <c r="N49" s="73"/>
      <c r="O49" s="73"/>
      <c r="P49" s="73"/>
      <c r="Q49" s="73"/>
      <c r="R49" s="73"/>
      <c r="S49" s="73"/>
      <c r="T49" s="73"/>
      <c r="U49" s="73"/>
      <c r="V49" s="73"/>
      <c r="W49" s="73"/>
      <c r="X49" s="73"/>
      <c r="Z49" s="2"/>
      <c r="AA49" s="2" t="s">
        <v>381</v>
      </c>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row>
    <row r="50" spans="1:263" customFormat="1" x14ac:dyDescent="0.2">
      <c r="A50" s="2"/>
      <c r="B50" s="2"/>
      <c r="C50" s="2"/>
      <c r="D50" s="2"/>
      <c r="E50" s="2"/>
      <c r="F50" s="2"/>
      <c r="G50" s="2"/>
      <c r="H50" s="2"/>
      <c r="I50" s="2"/>
      <c r="J50" s="2"/>
      <c r="K50" s="2"/>
      <c r="L50" s="2"/>
      <c r="M50" s="2"/>
      <c r="N50" s="2"/>
      <c r="O50" s="2"/>
      <c r="P50" s="2"/>
      <c r="Q50" s="2"/>
      <c r="R50" s="103"/>
      <c r="S50" s="103"/>
      <c r="T50" s="103"/>
      <c r="U50" s="103"/>
      <c r="V50" s="103"/>
      <c r="W50" s="103"/>
      <c r="X50" s="103"/>
      <c r="Y50" s="103"/>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row>
    <row r="54" spans="1:263" x14ac:dyDescent="0.2">
      <c r="B54" s="4" t="s">
        <v>60</v>
      </c>
    </row>
  </sheetData>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444BD-7486-49C3-9B80-A51CBA4E83F2}">
  <sheetPr>
    <tabColor rgb="FFFFFFCC"/>
  </sheetPr>
  <dimension ref="A1:N68"/>
  <sheetViews>
    <sheetView showGridLines="0" zoomScale="85" zoomScaleNormal="85" workbookViewId="0">
      <pane xSplit="6" ySplit="11" topLeftCell="G12" activePane="bottomRight" state="frozen"/>
      <selection activeCell="H18" sqref="H18"/>
      <selection pane="topRight" activeCell="H18" sqref="H18"/>
      <selection pane="bottomLeft" activeCell="H18" sqref="H18"/>
      <selection pane="bottomRight"/>
    </sheetView>
  </sheetViews>
  <sheetFormatPr defaultRowHeight="12.75" x14ac:dyDescent="0.2"/>
  <cols>
    <col min="1" max="1" width="4.7109375" style="2" customWidth="1"/>
    <col min="2" max="2" width="63.5703125" style="2" customWidth="1"/>
    <col min="3" max="3" width="4.7109375" style="2" customWidth="1"/>
    <col min="4" max="5" width="4.5703125" style="2" customWidth="1"/>
    <col min="6" max="6" width="16.710937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1" width="12.140625" style="2" customWidth="1"/>
    <col min="22" max="24" width="2.7109375" style="2" customWidth="1"/>
    <col min="25" max="39" width="13.7109375" style="2" customWidth="1"/>
    <col min="40" max="16384" width="9.140625" style="2"/>
  </cols>
  <sheetData>
    <row r="1" spans="1:10" x14ac:dyDescent="0.2">
      <c r="A1" s="9"/>
    </row>
    <row r="2" spans="1:10" s="14" customFormat="1" ht="18" x14ac:dyDescent="0.2">
      <c r="B2" s="14" t="s">
        <v>383</v>
      </c>
    </row>
    <row r="4" spans="1:10" x14ac:dyDescent="0.2">
      <c r="B4" s="22" t="s">
        <v>166</v>
      </c>
      <c r="C4" s="1"/>
      <c r="D4" s="1"/>
    </row>
    <row r="5" spans="1:10" x14ac:dyDescent="0.2">
      <c r="B5" s="2" t="s">
        <v>209</v>
      </c>
      <c r="H5" s="15"/>
    </row>
    <row r="6" spans="1:10" x14ac:dyDescent="0.2">
      <c r="B6" s="2" t="s">
        <v>210</v>
      </c>
      <c r="H6" s="15"/>
    </row>
    <row r="7" spans="1:10" x14ac:dyDescent="0.2">
      <c r="B7" s="2" t="s">
        <v>211</v>
      </c>
      <c r="H7" s="15"/>
    </row>
    <row r="8" spans="1:10" x14ac:dyDescent="0.2">
      <c r="H8" s="15"/>
    </row>
    <row r="10" spans="1:10" s="8" customFormat="1" x14ac:dyDescent="0.2">
      <c r="B10" s="8" t="s">
        <v>12</v>
      </c>
      <c r="F10" s="8" t="s">
        <v>33</v>
      </c>
      <c r="H10" s="8" t="s">
        <v>34</v>
      </c>
      <c r="J10" s="8" t="s">
        <v>65</v>
      </c>
    </row>
    <row r="13" spans="1:10" s="8" customFormat="1" x14ac:dyDescent="0.2">
      <c r="B13" s="8" t="s">
        <v>384</v>
      </c>
    </row>
    <row r="15" spans="1:10" x14ac:dyDescent="0.2">
      <c r="B15" s="1" t="s">
        <v>550</v>
      </c>
    </row>
    <row r="16" spans="1:10" x14ac:dyDescent="0.2">
      <c r="B16" s="2" t="s">
        <v>274</v>
      </c>
      <c r="F16" s="2" t="s">
        <v>277</v>
      </c>
      <c r="H16" s="29">
        <f>'Est. and realized costs 2023'!H20</f>
        <v>17052597.59664645</v>
      </c>
    </row>
    <row r="17" spans="2:12" x14ac:dyDescent="0.2">
      <c r="B17" s="40" t="s">
        <v>275</v>
      </c>
      <c r="F17" s="2" t="s">
        <v>277</v>
      </c>
      <c r="H17" s="29">
        <f>'Est. and realized costs 2023'!H21</f>
        <v>997749.36790143989</v>
      </c>
    </row>
    <row r="19" spans="2:12" x14ac:dyDescent="0.2">
      <c r="B19" s="22" t="s">
        <v>580</v>
      </c>
    </row>
    <row r="20" spans="2:12" x14ac:dyDescent="0.2">
      <c r="B20" s="40" t="s">
        <v>274</v>
      </c>
      <c r="F20" s="2" t="s">
        <v>277</v>
      </c>
      <c r="H20" s="29">
        <f>'Est. and realized costs 2023'!H24</f>
        <v>18255534.237449519</v>
      </c>
    </row>
    <row r="22" spans="2:12" x14ac:dyDescent="0.2">
      <c r="B22" s="2" t="s">
        <v>385</v>
      </c>
      <c r="F22" s="2" t="s">
        <v>67</v>
      </c>
      <c r="H22" s="29">
        <f>'Est. and realized costs 2023'!H27</f>
        <v>139967600</v>
      </c>
    </row>
    <row r="24" spans="2:12" x14ac:dyDescent="0.2">
      <c r="B24" s="1" t="s">
        <v>386</v>
      </c>
    </row>
    <row r="25" spans="2:12" x14ac:dyDescent="0.2">
      <c r="B25" s="2" t="s">
        <v>107</v>
      </c>
      <c r="F25" s="2" t="s">
        <v>277</v>
      </c>
      <c r="H25" s="29">
        <f>'Est. and realized costs 2023'!H39</f>
        <v>9021811</v>
      </c>
    </row>
    <row r="26" spans="2:12" x14ac:dyDescent="0.2">
      <c r="B26" s="2" t="s">
        <v>475</v>
      </c>
      <c r="F26" s="2" t="s">
        <v>277</v>
      </c>
      <c r="H26" s="29">
        <f>'Calculation RAB'!H394</f>
        <v>8912025.8490196634</v>
      </c>
    </row>
    <row r="28" spans="2:12" x14ac:dyDescent="0.2">
      <c r="B28" s="2" t="s">
        <v>387</v>
      </c>
      <c r="F28" s="2" t="s">
        <v>67</v>
      </c>
      <c r="H28" s="29">
        <f>'Production and fuel costs 2023'!J25</f>
        <v>151423350</v>
      </c>
      <c r="J28" s="17"/>
      <c r="L28" s="73"/>
    </row>
    <row r="30" spans="2:12" x14ac:dyDescent="0.2">
      <c r="B30" s="2" t="s">
        <v>100</v>
      </c>
      <c r="F30" s="2" t="s">
        <v>76</v>
      </c>
      <c r="H30" s="87">
        <f>Parameters!H36</f>
        <v>0.5</v>
      </c>
    </row>
    <row r="33" spans="2:14" s="8" customFormat="1" x14ac:dyDescent="0.2">
      <c r="B33" s="8" t="s">
        <v>219</v>
      </c>
    </row>
    <row r="35" spans="2:14" x14ac:dyDescent="0.2">
      <c r="B35" s="1" t="s">
        <v>581</v>
      </c>
    </row>
    <row r="36" spans="2:14" x14ac:dyDescent="0.2">
      <c r="B36" s="36" t="s">
        <v>212</v>
      </c>
      <c r="F36" s="2" t="s">
        <v>277</v>
      </c>
      <c r="H36" s="29">
        <f>H17</f>
        <v>997749.36790143989</v>
      </c>
      <c r="J36" s="2" t="s">
        <v>213</v>
      </c>
      <c r="L36" s="117"/>
    </row>
    <row r="37" spans="2:14" x14ac:dyDescent="0.2">
      <c r="B37" s="2" t="s">
        <v>388</v>
      </c>
      <c r="F37" s="2" t="s">
        <v>277</v>
      </c>
      <c r="H37" s="82">
        <f>H16-H36</f>
        <v>16054848.22874501</v>
      </c>
      <c r="J37" s="39"/>
      <c r="L37" s="91"/>
    </row>
    <row r="38" spans="2:14" x14ac:dyDescent="0.2">
      <c r="B38" s="2" t="s">
        <v>214</v>
      </c>
      <c r="F38" s="2" t="s">
        <v>396</v>
      </c>
      <c r="H38" s="102">
        <f>H36/H22</f>
        <v>7.1284309218807773E-3</v>
      </c>
      <c r="J38" s="39" t="s">
        <v>215</v>
      </c>
      <c r="L38" s="122"/>
    </row>
    <row r="39" spans="2:14" x14ac:dyDescent="0.2">
      <c r="L39" s="9"/>
    </row>
    <row r="40" spans="2:14" x14ac:dyDescent="0.2">
      <c r="B40" s="1" t="s">
        <v>392</v>
      </c>
      <c r="H40" s="73"/>
    </row>
    <row r="41" spans="2:14" x14ac:dyDescent="0.2">
      <c r="B41" s="2" t="s">
        <v>393</v>
      </c>
      <c r="F41" s="2" t="s">
        <v>277</v>
      </c>
      <c r="H41" s="82">
        <f>H37*(H28/H22)</f>
        <v>17368868.956373729</v>
      </c>
      <c r="L41" s="91"/>
    </row>
    <row r="42" spans="2:14" x14ac:dyDescent="0.2">
      <c r="B42" s="2" t="s">
        <v>394</v>
      </c>
      <c r="F42" s="2" t="s">
        <v>277</v>
      </c>
      <c r="H42" s="24">
        <f>H37-H41</f>
        <v>-1314020.7276287191</v>
      </c>
      <c r="J42" s="2" t="s">
        <v>578</v>
      </c>
      <c r="L42" s="123"/>
      <c r="N42" s="39"/>
    </row>
    <row r="45" spans="2:14" s="8" customFormat="1" x14ac:dyDescent="0.2">
      <c r="B45" s="8" t="s">
        <v>220</v>
      </c>
    </row>
    <row r="47" spans="2:14" x14ac:dyDescent="0.2">
      <c r="B47" s="1" t="s">
        <v>582</v>
      </c>
    </row>
    <row r="48" spans="2:14" x14ac:dyDescent="0.2">
      <c r="B48" s="36" t="s">
        <v>212</v>
      </c>
      <c r="F48" s="2" t="s">
        <v>277</v>
      </c>
      <c r="H48" s="29">
        <f>H17</f>
        <v>997749.36790143989</v>
      </c>
      <c r="J48" s="2" t="s">
        <v>213</v>
      </c>
      <c r="L48" s="117"/>
    </row>
    <row r="49" spans="2:14" x14ac:dyDescent="0.2">
      <c r="B49" s="2" t="s">
        <v>388</v>
      </c>
      <c r="F49" s="2" t="s">
        <v>277</v>
      </c>
      <c r="H49" s="82">
        <f>H20-H48</f>
        <v>17257784.869548079</v>
      </c>
      <c r="J49" s="39"/>
      <c r="L49" s="91"/>
    </row>
    <row r="50" spans="2:14" x14ac:dyDescent="0.2">
      <c r="B50" s="2" t="s">
        <v>214</v>
      </c>
      <c r="F50" s="2" t="s">
        <v>396</v>
      </c>
      <c r="H50" s="102">
        <f>H48/H22</f>
        <v>7.1284309218807773E-3</v>
      </c>
      <c r="J50" s="39" t="s">
        <v>215</v>
      </c>
      <c r="L50" s="122"/>
    </row>
    <row r="51" spans="2:14" x14ac:dyDescent="0.2">
      <c r="L51" s="9"/>
    </row>
    <row r="52" spans="2:14" x14ac:dyDescent="0.2">
      <c r="B52" s="2" t="s">
        <v>389</v>
      </c>
      <c r="F52" s="2" t="s">
        <v>277</v>
      </c>
      <c r="H52" s="30">
        <f>H50*H28</f>
        <v>1079410.8904347755</v>
      </c>
      <c r="L52" s="93"/>
    </row>
    <row r="53" spans="2:14" x14ac:dyDescent="0.2">
      <c r="B53" s="2" t="s">
        <v>390</v>
      </c>
      <c r="F53" s="2" t="s">
        <v>277</v>
      </c>
      <c r="H53" s="30">
        <f>H49+H52</f>
        <v>18337195.759982854</v>
      </c>
      <c r="J53" s="2" t="s">
        <v>216</v>
      </c>
      <c r="L53" s="93"/>
    </row>
    <row r="54" spans="2:14" x14ac:dyDescent="0.2">
      <c r="L54" s="9"/>
    </row>
    <row r="55" spans="2:14" x14ac:dyDescent="0.2">
      <c r="B55" s="1" t="s">
        <v>391</v>
      </c>
      <c r="L55" s="9"/>
    </row>
    <row r="56" spans="2:14" x14ac:dyDescent="0.2">
      <c r="B56" s="2" t="s">
        <v>217</v>
      </c>
      <c r="F56" s="2" t="s">
        <v>277</v>
      </c>
      <c r="H56" s="82">
        <f>SUM(H25:H26)</f>
        <v>17933836.849019662</v>
      </c>
      <c r="J56" s="2" t="s">
        <v>218</v>
      </c>
      <c r="L56" s="91"/>
    </row>
    <row r="58" spans="2:14" x14ac:dyDescent="0.2">
      <c r="B58" s="1" t="s">
        <v>221</v>
      </c>
    </row>
    <row r="59" spans="2:14" x14ac:dyDescent="0.2">
      <c r="B59" s="2" t="s">
        <v>395</v>
      </c>
      <c r="F59" s="2" t="s">
        <v>277</v>
      </c>
      <c r="H59" s="30">
        <f>H53-H56</f>
        <v>403358.91096319258</v>
      </c>
    </row>
    <row r="60" spans="2:14" x14ac:dyDescent="0.2">
      <c r="B60" s="2" t="s">
        <v>222</v>
      </c>
      <c r="F60" s="2" t="s">
        <v>277</v>
      </c>
      <c r="H60" s="24">
        <f>H59*-1*H30</f>
        <v>-201679.45548159629</v>
      </c>
      <c r="J60" s="2" t="s">
        <v>579</v>
      </c>
      <c r="N60" s="39"/>
    </row>
    <row r="68" spans="2:2" x14ac:dyDescent="0.2">
      <c r="B68" s="4" t="s">
        <v>60</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0E214-F21A-4E01-84D3-8E163BB75F0C}">
  <sheetPr>
    <tabColor rgb="FFFFFFCC"/>
  </sheetPr>
  <dimension ref="A1:AB94"/>
  <sheetViews>
    <sheetView showGridLines="0" zoomScale="85" zoomScaleNormal="85" workbookViewId="0">
      <pane xSplit="6" ySplit="10" topLeftCell="G29" activePane="bottomRight" state="frozen"/>
      <selection activeCell="H18" sqref="H18"/>
      <selection pane="topRight" activeCell="H18" sqref="H18"/>
      <selection pane="bottomLeft" activeCell="H18" sqref="H18"/>
      <selection pane="bottomRight" activeCell="H58" sqref="H58"/>
    </sheetView>
  </sheetViews>
  <sheetFormatPr defaultRowHeight="12.75" x14ac:dyDescent="0.2"/>
  <cols>
    <col min="1" max="1" width="4.7109375" style="2" customWidth="1"/>
    <col min="2" max="2" width="67.28515625" style="2" customWidth="1"/>
    <col min="3" max="3" width="4.7109375" style="2" customWidth="1"/>
    <col min="4" max="5" width="4.5703125" style="2" customWidth="1"/>
    <col min="6" max="6" width="18.42578125" style="2" customWidth="1"/>
    <col min="7" max="7" width="2.7109375" style="2" customWidth="1"/>
    <col min="8" max="8" width="13.7109375" style="2" customWidth="1"/>
    <col min="9" max="9" width="2.7109375" style="2" customWidth="1"/>
    <col min="10" max="10" width="13.7109375" style="2" customWidth="1"/>
    <col min="11" max="11" width="2.7109375" style="2" customWidth="1"/>
    <col min="12" max="21" width="12.140625" style="2" customWidth="1"/>
    <col min="22" max="24" width="2.7109375" style="2" customWidth="1"/>
    <col min="25" max="39" width="13.7109375" style="2" customWidth="1"/>
    <col min="40" max="16384" width="9.140625" style="2"/>
  </cols>
  <sheetData>
    <row r="1" spans="1:10" x14ac:dyDescent="0.2">
      <c r="A1" s="9"/>
    </row>
    <row r="2" spans="1:10" s="14" customFormat="1" ht="18" x14ac:dyDescent="0.2">
      <c r="B2" s="14" t="s">
        <v>397</v>
      </c>
    </row>
    <row r="4" spans="1:10" x14ac:dyDescent="0.2">
      <c r="B4" s="22" t="s">
        <v>166</v>
      </c>
      <c r="C4" s="1"/>
      <c r="D4" s="1"/>
    </row>
    <row r="5" spans="1:10" x14ac:dyDescent="0.2">
      <c r="B5" s="2" t="s">
        <v>398</v>
      </c>
      <c r="H5" s="15"/>
    </row>
    <row r="6" spans="1:10" x14ac:dyDescent="0.2">
      <c r="B6" s="2" t="s">
        <v>223</v>
      </c>
      <c r="H6" s="15"/>
    </row>
    <row r="7" spans="1:10" x14ac:dyDescent="0.2">
      <c r="B7" s="23"/>
    </row>
    <row r="9" spans="1:10" s="8" customFormat="1" x14ac:dyDescent="0.2">
      <c r="B9" s="8" t="s">
        <v>12</v>
      </c>
      <c r="F9" s="8" t="s">
        <v>33</v>
      </c>
      <c r="H9" s="8" t="s">
        <v>34</v>
      </c>
      <c r="J9" s="8" t="s">
        <v>65</v>
      </c>
    </row>
    <row r="12" spans="1:10" s="8" customFormat="1" x14ac:dyDescent="0.2">
      <c r="B12" s="8" t="s">
        <v>224</v>
      </c>
    </row>
    <row r="14" spans="1:10" x14ac:dyDescent="0.2">
      <c r="B14" s="2" t="s">
        <v>94</v>
      </c>
      <c r="F14" s="2" t="s">
        <v>76</v>
      </c>
      <c r="H14" s="104">
        <f>Parameters!H18</f>
        <v>1.9E-2</v>
      </c>
    </row>
    <row r="15" spans="1:10" x14ac:dyDescent="0.2">
      <c r="B15" s="2" t="s">
        <v>265</v>
      </c>
      <c r="F15" s="2" t="s">
        <v>76</v>
      </c>
      <c r="H15" s="104">
        <f>Parameters!H19</f>
        <v>2.5000000000000001E-2</v>
      </c>
    </row>
    <row r="17" spans="1:8" x14ac:dyDescent="0.2">
      <c r="B17" s="2" t="s">
        <v>399</v>
      </c>
      <c r="F17" s="2" t="s">
        <v>76</v>
      </c>
      <c r="H17" s="104">
        <f>Parameters!H24</f>
        <v>0.03</v>
      </c>
    </row>
    <row r="18" spans="1:8" x14ac:dyDescent="0.2">
      <c r="B18" s="2" t="s">
        <v>400</v>
      </c>
      <c r="F18" s="2" t="s">
        <v>225</v>
      </c>
      <c r="H18" s="105">
        <f>(1+$H$17)^2</f>
        <v>1.0609</v>
      </c>
    </row>
    <row r="21" spans="1:8" s="8" customFormat="1" x14ac:dyDescent="0.2">
      <c r="B21" s="8" t="s">
        <v>401</v>
      </c>
    </row>
    <row r="23" spans="1:8" x14ac:dyDescent="0.2">
      <c r="B23" s="1" t="s">
        <v>402</v>
      </c>
    </row>
    <row r="24" spans="1:8" x14ac:dyDescent="0.2">
      <c r="B24" s="2" t="s">
        <v>403</v>
      </c>
      <c r="F24" s="2" t="s">
        <v>277</v>
      </c>
      <c r="H24" s="29">
        <f>'Est. and realized costs 2023'!H39</f>
        <v>9021811</v>
      </c>
    </row>
    <row r="25" spans="1:8" x14ac:dyDescent="0.2">
      <c r="B25" s="17" t="s">
        <v>527</v>
      </c>
      <c r="F25" s="2" t="s">
        <v>277</v>
      </c>
      <c r="H25" s="29">
        <f>'Est. and realized costs 2023'!H42</f>
        <v>45077</v>
      </c>
    </row>
    <row r="26" spans="1:8" x14ac:dyDescent="0.2">
      <c r="A26" s="9"/>
      <c r="B26" s="4" t="s">
        <v>464</v>
      </c>
    </row>
    <row r="27" spans="1:8" x14ac:dyDescent="0.2">
      <c r="A27" s="9"/>
      <c r="B27" s="2" t="s">
        <v>461</v>
      </c>
      <c r="F27" s="2" t="s">
        <v>374</v>
      </c>
      <c r="H27" s="29" t="str">
        <f>'Est. production and costs 2025'!H86</f>
        <v>confidential</v>
      </c>
    </row>
    <row r="28" spans="1:8" x14ac:dyDescent="0.2">
      <c r="A28" s="9"/>
      <c r="B28" s="2" t="s">
        <v>467</v>
      </c>
      <c r="F28" s="2" t="s">
        <v>374</v>
      </c>
      <c r="H28" s="29" t="e">
        <f>'Est. production and costs 2025'!H90</f>
        <v>#VALUE!</v>
      </c>
    </row>
    <row r="29" spans="1:8" x14ac:dyDescent="0.2">
      <c r="A29" s="9"/>
      <c r="B29" s="2" t="s">
        <v>519</v>
      </c>
      <c r="F29" s="2" t="s">
        <v>374</v>
      </c>
      <c r="H29" s="29" t="str">
        <f>'Est. production and costs 2025'!H92</f>
        <v>confidential</v>
      </c>
    </row>
    <row r="30" spans="1:8" x14ac:dyDescent="0.2">
      <c r="A30" s="9"/>
      <c r="B30" s="4" t="s">
        <v>471</v>
      </c>
      <c r="H30" s="117"/>
    </row>
    <row r="31" spans="1:8" x14ac:dyDescent="0.2">
      <c r="B31" s="2" t="s">
        <v>226</v>
      </c>
      <c r="F31" s="2" t="s">
        <v>76</v>
      </c>
      <c r="H31" s="106">
        <f>'Est. production and costs 2025'!H98</f>
        <v>0.11</v>
      </c>
    </row>
    <row r="33" spans="2:12" x14ac:dyDescent="0.2">
      <c r="B33" s="1" t="s">
        <v>404</v>
      </c>
    </row>
    <row r="34" spans="2:12" x14ac:dyDescent="0.2">
      <c r="B34" s="2" t="s">
        <v>227</v>
      </c>
      <c r="F34" s="2" t="s">
        <v>374</v>
      </c>
      <c r="H34" s="29">
        <f>'Calculation RAB'!H402</f>
        <v>4042027.6164955506</v>
      </c>
    </row>
    <row r="35" spans="2:12" x14ac:dyDescent="0.2">
      <c r="B35" s="2" t="s">
        <v>228</v>
      </c>
      <c r="F35" s="2" t="s">
        <v>374</v>
      </c>
      <c r="H35" s="29">
        <f>'Calculation RAB'!H407</f>
        <v>94821.971588711909</v>
      </c>
    </row>
    <row r="36" spans="2:12" x14ac:dyDescent="0.2">
      <c r="B36" s="2" t="s">
        <v>229</v>
      </c>
      <c r="F36" s="2" t="s">
        <v>374</v>
      </c>
      <c r="H36" s="29">
        <f>'Calculation RAB'!H412</f>
        <v>2329717.3367556464</v>
      </c>
    </row>
    <row r="37" spans="2:12" x14ac:dyDescent="0.2">
      <c r="B37" s="2" t="s">
        <v>405</v>
      </c>
      <c r="F37" s="2" t="s">
        <v>374</v>
      </c>
      <c r="H37" s="29">
        <f>'Calculation RAB'!H417</f>
        <v>1010089.900210632</v>
      </c>
      <c r="L37" s="39"/>
    </row>
    <row r="38" spans="2:12" x14ac:dyDescent="0.2">
      <c r="B38" s="2" t="s">
        <v>406</v>
      </c>
      <c r="F38" s="2" t="s">
        <v>374</v>
      </c>
      <c r="H38" s="29">
        <f>'Calculation RAB'!H422</f>
        <v>1853506.8410121598</v>
      </c>
    </row>
    <row r="39" spans="2:12" x14ac:dyDescent="0.2">
      <c r="B39" s="2" t="s">
        <v>517</v>
      </c>
      <c r="F39" s="2" t="s">
        <v>374</v>
      </c>
      <c r="H39" s="29">
        <f>'Calculation RAB'!H427</f>
        <v>506109.77963969443</v>
      </c>
    </row>
    <row r="40" spans="2:12" x14ac:dyDescent="0.2">
      <c r="B40" s="1"/>
    </row>
    <row r="41" spans="2:12" s="8" customFormat="1" x14ac:dyDescent="0.2">
      <c r="B41" s="8" t="s">
        <v>407</v>
      </c>
    </row>
    <row r="43" spans="2:12" x14ac:dyDescent="0.2">
      <c r="B43" s="1" t="s">
        <v>230</v>
      </c>
    </row>
    <row r="44" spans="2:12" x14ac:dyDescent="0.2">
      <c r="B44" s="2" t="s">
        <v>439</v>
      </c>
      <c r="F44" s="2" t="s">
        <v>67</v>
      </c>
      <c r="H44" s="29">
        <f>'Est. production and costs 2025'!H13</f>
        <v>140827230.99999997</v>
      </c>
      <c r="J44" s="27"/>
    </row>
    <row r="45" spans="2:12" s="49" customFormat="1" x14ac:dyDescent="0.2">
      <c r="B45" s="2" t="s">
        <v>440</v>
      </c>
      <c r="F45" s="40" t="s">
        <v>67</v>
      </c>
      <c r="H45" s="29">
        <f>'Est. production and costs 2025'!H16</f>
        <v>45356000</v>
      </c>
      <c r="J45" s="27"/>
    </row>
    <row r="46" spans="2:12" s="49" customFormat="1" x14ac:dyDescent="0.2">
      <c r="B46" s="2" t="s">
        <v>441</v>
      </c>
      <c r="F46" s="40" t="s">
        <v>67</v>
      </c>
      <c r="H46" s="30">
        <f>H44+H45</f>
        <v>186183230.99999997</v>
      </c>
      <c r="J46" s="27"/>
    </row>
    <row r="48" spans="2:12" x14ac:dyDescent="0.2">
      <c r="B48" s="2" t="s">
        <v>584</v>
      </c>
      <c r="F48" s="2" t="s">
        <v>76</v>
      </c>
      <c r="H48" s="67">
        <f>H44/H46</f>
        <v>0.75639052047603572</v>
      </c>
    </row>
    <row r="50" spans="1:28" s="49" customFormat="1" x14ac:dyDescent="0.2">
      <c r="B50" s="47" t="s">
        <v>231</v>
      </c>
      <c r="J50" s="107"/>
      <c r="M50" s="108"/>
      <c r="AB50" s="79"/>
    </row>
    <row r="51" spans="1:28" s="49" customFormat="1" x14ac:dyDescent="0.2">
      <c r="B51" s="2" t="s">
        <v>232</v>
      </c>
      <c r="C51" s="2"/>
      <c r="D51" s="2"/>
      <c r="E51" s="2"/>
      <c r="F51" s="2" t="s">
        <v>83</v>
      </c>
      <c r="G51" s="2"/>
      <c r="H51" s="97">
        <f>'Fuel costs and income 2023'!H25</f>
        <v>0.27072405350260342</v>
      </c>
      <c r="J51" s="2"/>
      <c r="L51" s="108"/>
      <c r="M51" s="108"/>
      <c r="AB51" s="79"/>
    </row>
    <row r="52" spans="1:28" x14ac:dyDescent="0.2">
      <c r="B52" s="2" t="s">
        <v>323</v>
      </c>
      <c r="F52" s="2" t="s">
        <v>84</v>
      </c>
      <c r="H52" s="97">
        <f>'Est. production and costs 2025'!H19</f>
        <v>0.82369999999999999</v>
      </c>
    </row>
    <row r="55" spans="1:28" s="8" customFormat="1" x14ac:dyDescent="0.2">
      <c r="B55" s="8" t="s">
        <v>408</v>
      </c>
    </row>
    <row r="57" spans="1:28" x14ac:dyDescent="0.2">
      <c r="B57" s="1" t="s">
        <v>409</v>
      </c>
    </row>
    <row r="58" spans="1:28" x14ac:dyDescent="0.2">
      <c r="B58" s="2" t="s">
        <v>233</v>
      </c>
      <c r="F58" s="2" t="s">
        <v>374</v>
      </c>
      <c r="H58" s="30">
        <f>(H24-H25)*(1+H14)*(1+H15)</f>
        <v>9375974.244649997</v>
      </c>
      <c r="J58" s="2" t="s">
        <v>478</v>
      </c>
    </row>
    <row r="59" spans="1:28" x14ac:dyDescent="0.2">
      <c r="A59" s="9"/>
      <c r="B59" s="2" t="s">
        <v>465</v>
      </c>
      <c r="F59" s="2" t="s">
        <v>374</v>
      </c>
      <c r="H59" s="139" t="str">
        <f>H27</f>
        <v>confidential</v>
      </c>
      <c r="L59" s="93"/>
    </row>
    <row r="60" spans="1:28" x14ac:dyDescent="0.2">
      <c r="A60" s="9"/>
      <c r="B60" s="2" t="s">
        <v>472</v>
      </c>
      <c r="F60" s="2" t="s">
        <v>374</v>
      </c>
      <c r="H60" s="139" t="e">
        <f>H28</f>
        <v>#VALUE!</v>
      </c>
      <c r="L60" s="93"/>
    </row>
    <row r="61" spans="1:28" x14ac:dyDescent="0.2">
      <c r="A61" s="9"/>
      <c r="B61" s="2" t="s">
        <v>520</v>
      </c>
      <c r="F61" s="2" t="s">
        <v>374</v>
      </c>
      <c r="H61" s="139" t="str">
        <f>H29</f>
        <v>confidential</v>
      </c>
      <c r="L61" s="93"/>
    </row>
    <row r="62" spans="1:28" x14ac:dyDescent="0.2">
      <c r="B62" s="2" t="s">
        <v>81</v>
      </c>
      <c r="F62" s="2" t="s">
        <v>374</v>
      </c>
      <c r="H62" s="30">
        <f>SUM(H34:H39)</f>
        <v>9836273.4457023945</v>
      </c>
      <c r="J62" s="93"/>
      <c r="L62" s="93"/>
    </row>
    <row r="63" spans="1:28" x14ac:dyDescent="0.2">
      <c r="B63" s="2" t="s">
        <v>422</v>
      </c>
      <c r="F63" s="2" t="s">
        <v>374</v>
      </c>
      <c r="H63" s="140">
        <v>21287008.520352401</v>
      </c>
      <c r="L63" s="93"/>
      <c r="N63" s="93"/>
      <c r="O63" s="39"/>
    </row>
    <row r="64" spans="1:28" x14ac:dyDescent="0.2">
      <c r="B64" s="1"/>
      <c r="H64" s="39"/>
    </row>
    <row r="65" spans="2:12" x14ac:dyDescent="0.2">
      <c r="B65" s="1" t="s">
        <v>410</v>
      </c>
    </row>
    <row r="66" spans="2:12" x14ac:dyDescent="0.2">
      <c r="B66" s="2" t="s">
        <v>411</v>
      </c>
      <c r="F66" s="2" t="s">
        <v>374</v>
      </c>
      <c r="H66" s="29">
        <f>H63</f>
        <v>21287008.520352401</v>
      </c>
    </row>
    <row r="68" spans="2:12" x14ac:dyDescent="0.2">
      <c r="B68" s="4" t="s">
        <v>234</v>
      </c>
    </row>
    <row r="69" spans="2:12" x14ac:dyDescent="0.2">
      <c r="B69" s="2" t="s">
        <v>412</v>
      </c>
      <c r="F69" s="2" t="s">
        <v>277</v>
      </c>
      <c r="H69" s="29">
        <f>'Volume and PS corrections 2023'!H42</f>
        <v>-1314020.7276287191</v>
      </c>
    </row>
    <row r="70" spans="2:12" x14ac:dyDescent="0.2">
      <c r="B70" s="2" t="s">
        <v>413</v>
      </c>
      <c r="F70" s="2" t="s">
        <v>277</v>
      </c>
      <c r="H70" s="29">
        <f>'Volume and PS corrections 2023'!H60</f>
        <v>-201679.45548159629</v>
      </c>
    </row>
    <row r="71" spans="2:12" x14ac:dyDescent="0.2">
      <c r="B71" s="2" t="s">
        <v>414</v>
      </c>
      <c r="F71" s="2" t="s">
        <v>277</v>
      </c>
      <c r="H71" s="29">
        <f>'Fuel costs and income 2023'!H49</f>
        <v>3037794.1685000053</v>
      </c>
    </row>
    <row r="72" spans="2:12" x14ac:dyDescent="0.2">
      <c r="B72" s="2" t="s">
        <v>521</v>
      </c>
      <c r="F72" s="2" t="s">
        <v>277</v>
      </c>
      <c r="H72" s="29">
        <f>'Est. and realized costs 2023'!H47</f>
        <v>1202936.6408030689</v>
      </c>
    </row>
    <row r="73" spans="2:12" x14ac:dyDescent="0.2">
      <c r="B73" s="2" t="s">
        <v>415</v>
      </c>
      <c r="F73" s="2" t="s">
        <v>374</v>
      </c>
      <c r="H73" s="30">
        <f>SUM(H69:H72)*H18</f>
        <v>2890984.9913278976</v>
      </c>
      <c r="J73" s="2" t="s">
        <v>235</v>
      </c>
    </row>
    <row r="74" spans="2:12" x14ac:dyDescent="0.2">
      <c r="J74" s="21"/>
    </row>
    <row r="75" spans="2:12" x14ac:dyDescent="0.2">
      <c r="J75" s="21"/>
    </row>
    <row r="76" spans="2:12" x14ac:dyDescent="0.2">
      <c r="B76" s="2" t="s">
        <v>416</v>
      </c>
      <c r="F76" s="2" t="s">
        <v>374</v>
      </c>
      <c r="H76" s="24">
        <f>H66+H73</f>
        <v>24177993.511680298</v>
      </c>
      <c r="J76" s="93"/>
      <c r="L76" s="39"/>
    </row>
    <row r="77" spans="2:12" x14ac:dyDescent="0.2">
      <c r="B77" s="1"/>
      <c r="J77" s="93"/>
    </row>
    <row r="78" spans="2:12" x14ac:dyDescent="0.2">
      <c r="B78" s="1"/>
      <c r="H78" s="39"/>
    </row>
    <row r="79" spans="2:12" x14ac:dyDescent="0.2">
      <c r="B79" s="4" t="s">
        <v>547</v>
      </c>
    </row>
    <row r="80" spans="2:12" x14ac:dyDescent="0.2">
      <c r="B80" s="17" t="s">
        <v>257</v>
      </c>
      <c r="F80" s="2" t="s">
        <v>374</v>
      </c>
      <c r="H80" s="140">
        <v>20409108.520352393</v>
      </c>
      <c r="J80" s="2" t="s">
        <v>522</v>
      </c>
    </row>
    <row r="81" spans="2:10" x14ac:dyDescent="0.2">
      <c r="B81" s="2" t="s">
        <v>417</v>
      </c>
      <c r="F81" s="2" t="s">
        <v>374</v>
      </c>
      <c r="H81" s="24">
        <f>H58*H31</f>
        <v>1031357.1669114997</v>
      </c>
      <c r="J81" s="2" t="s">
        <v>466</v>
      </c>
    </row>
    <row r="82" spans="2:10" x14ac:dyDescent="0.2">
      <c r="B82" s="1"/>
    </row>
    <row r="83" spans="2:10" x14ac:dyDescent="0.2">
      <c r="B83" s="1"/>
    </row>
    <row r="84" spans="2:10" s="8" customFormat="1" x14ac:dyDescent="0.2">
      <c r="B84" s="8" t="s">
        <v>418</v>
      </c>
    </row>
    <row r="86" spans="2:10" x14ac:dyDescent="0.2">
      <c r="B86" s="1" t="s">
        <v>236</v>
      </c>
    </row>
    <row r="87" spans="2:10" x14ac:dyDescent="0.2">
      <c r="B87" s="2" t="s">
        <v>419</v>
      </c>
      <c r="F87" s="2" t="s">
        <v>260</v>
      </c>
      <c r="H87" s="43">
        <f>H48*H52*H51</f>
        <v>0.168671608840674</v>
      </c>
      <c r="J87" s="27"/>
    </row>
    <row r="94" spans="2:10" x14ac:dyDescent="0.2">
      <c r="B94" s="4" t="s">
        <v>60</v>
      </c>
    </row>
  </sheetData>
  <phoneticPr fontId="33" type="noConversion"/>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file>

<file path=customXml/item2.xml><?xml version="1.0" encoding="utf-8"?>
<ct:contentTypeSchema xmlns:ct="http://schemas.microsoft.com/office/2006/metadata/contentType" xmlns:ma="http://schemas.microsoft.com/office/2006/metadata/properties/metaAttributes" ct:_="" ma:_="" ma:contentTypeName="Document" ma:contentTypeID="0x010100F459BCFB3BA7984093AF6B5FDACCE3FF" ma:contentTypeVersion="3" ma:contentTypeDescription="Een nieuw document maken." ma:contentTypeScope="" ma:versionID="44c9b78b1b5f99b81785515933270f61">
  <xsd:schema xmlns:xsd="http://www.w3.org/2001/XMLSchema" xmlns:xs="http://www.w3.org/2001/XMLSchema" xmlns:p="http://schemas.microsoft.com/office/2006/metadata/properties" xmlns:ns2="5e7bef76-b888-41a2-a261-5f525b37d47e" xmlns:ns3="94b38974-1436-4631-a0be-797faa579778" targetNamespace="http://schemas.microsoft.com/office/2006/metadata/properties" ma:root="true" ma:fieldsID="682d6accd8b13bfc1b5fd9028b61781a" ns2:_="" ns3:_="">
    <xsd:import namespace="5e7bef76-b888-41a2-a261-5f525b37d47e"/>
    <xsd:import namespace="94b38974-1436-4631-a0be-797faa579778"/>
    <xsd:element name="properties">
      <xsd:complexType>
        <xsd:sequence>
          <xsd:element name="documentManagement">
            <xsd:complexType>
              <xsd:all>
                <xsd:element ref="ns2:_dlc_DocId" minOccurs="0"/>
                <xsd:element ref="ns2:_dlc_DocIdUrl" minOccurs="0"/>
                <xsd:element ref="ns2:_dlc_DocIdPersistId"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7bef76-b888-41a2-a261-5f525b37d47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4b38974-1436-4631-a0be-797faa579778" elementFormDefault="qualified">
    <xsd:import namespace="http://schemas.microsoft.com/office/2006/documentManagement/types"/>
    <xsd:import namespace="http://schemas.microsoft.com/office/infopath/2007/PartnerControls"/>
    <xsd:element name="Status" ma:index="11" nillable="true" ma:displayName="Status" ma:default="Actueel" ma:format="RadioButtons" ma:internalName="Status">
      <xsd:simpleType>
        <xsd:restriction base="dms:Choice">
          <xsd:enumeration value="Actueel"/>
          <xsd:enumeration value="Arch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e7bef76-b888-41a2-a261-5f525b37d47e">ECT67VDXDTCW-640230012-29</_dlc_DocId>
    <_dlc_DocIdUrl xmlns="5e7bef76-b888-41a2-a261-5f525b37d47e">
      <Url>https://intranet.acm.local/project/excellent-in-excel/_layouts/15/DocIdRedir.aspx?ID=ECT67VDXDTCW-640230012-29</Url>
      <Description>ECT67VDXDTCW-640230012-29</Description>
    </_dlc_DocIdUrl>
    <Status xmlns="94b38974-1436-4631-a0be-797faa579778">Actueel</Status>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2835401-F49D-4D00-8F07-BF5788AC8903}">
  <ds:schemaRefs>
    <ds:schemaRef ds:uri="http://schemas.microsoft.com/sharepoint/v3/contenttype/forms"/>
  </ds:schemaRefs>
</ds:datastoreItem>
</file>

<file path=customXml/itemProps2.xml><?xml version="1.0" encoding="utf-8"?>
<ds:datastoreItem xmlns:ds="http://schemas.openxmlformats.org/officeDocument/2006/customXml" ds:itemID="{3ECAC030-B8B2-44C0-AB4D-D1C896A7A9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7bef76-b888-41a2-a261-5f525b37d47e"/>
    <ds:schemaRef ds:uri="94b38974-1436-4631-a0be-797faa5797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CDAB9D1-B815-4B0E-93E7-4496A7FE99F6}">
  <ds:schemaRefs>
    <ds:schemaRef ds:uri="http://schemas.microsoft.com/office/2006/documentManagement/types"/>
    <ds:schemaRef ds:uri="5e7bef76-b888-41a2-a261-5f525b37d47e"/>
    <ds:schemaRef ds:uri="http://purl.org/dc/elements/1.1/"/>
    <ds:schemaRef ds:uri="http://schemas.microsoft.com/office/2006/metadata/properties"/>
    <ds:schemaRef ds:uri="http://purl.org/dc/terms/"/>
    <ds:schemaRef ds:uri="http://schemas.openxmlformats.org/package/2006/metadata/core-properties"/>
    <ds:schemaRef ds:uri="94b38974-1436-4631-a0be-797faa579778"/>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29821432-9D6D-4FB8-B669-75517133F53E}">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15</vt:i4>
      </vt:variant>
    </vt:vector>
  </HeadingPairs>
  <TitlesOfParts>
    <vt:vector size="15" baseType="lpstr">
      <vt:lpstr>Cover sheet</vt:lpstr>
      <vt:lpstr>Explanation</vt:lpstr>
      <vt:lpstr>Sources and specifics</vt:lpstr>
      <vt:lpstr>Production price 2025</vt:lpstr>
      <vt:lpstr>Dictum and Appendix</vt:lpstr>
      <vt:lpstr>Input --&gt;</vt:lpstr>
      <vt:lpstr>Parameters</vt:lpstr>
      <vt:lpstr>Est. and realized costs 2023</vt:lpstr>
      <vt:lpstr>Production and fuel costs 2023</vt:lpstr>
      <vt:lpstr>Est. production and costs 2025</vt:lpstr>
      <vt:lpstr>Calculations --&gt;</vt:lpstr>
      <vt:lpstr>Calculation RAB</vt:lpstr>
      <vt:lpstr>Fuel costs and income 2023</vt:lpstr>
      <vt:lpstr>Volume and PS corrections 2023</vt:lpstr>
      <vt:lpstr>Total income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2018-05-15T11:27:11Z</dcterms:created>
  <dcterms:modified xsi:type="dcterms:W3CDTF">2024-12-12T16:00:03Z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0x010100F459BCFB3BA7984093AF6B5FDACCE3FF</vt:lpwstr>
  </property>
  <property fmtid="{D5CDD505-2E9C-101B-9397-08002B2CF9AE}" pid="3" name="_dlc_DocIdItemGuid">
    <vt:lpwstr>f800f4c5-783c-48b2-9d9a-fece4497d1d9</vt:lpwstr>
  </property>
</Properties>
</file>